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82D2ADE1-BF11-4AB2-866B-796975B7D7CC}"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M66" i="7"/>
  <c r="F27" i="7"/>
  <c r="F27" i="6"/>
  <c r="M66" i="6"/>
  <c r="M66" i="3"/>
  <c r="F27" i="3"/>
  <c r="F27" i="2"/>
  <c r="M66" i="2"/>
  <c r="F27" i="4"/>
  <c r="M66" i="4"/>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E43" i="7"/>
  <c r="B49" i="7" s="1"/>
  <c r="E43" i="6"/>
  <c r="B49" i="6"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49" i="6"/>
  <c r="D23" i="10"/>
  <c r="C48" i="7"/>
  <c r="E42" i="7"/>
  <c r="C54" i="8"/>
  <c r="E48" i="8"/>
  <c r="H26" i="10"/>
  <c r="D26" i="10"/>
  <c r="I26" i="10"/>
  <c r="C26" i="10"/>
  <c r="E20" i="10"/>
  <c r="C20" i="10"/>
  <c r="G20" i="10"/>
  <c r="H20" i="10"/>
  <c r="D20" i="10"/>
  <c r="G23" i="10"/>
  <c r="G19" i="10"/>
  <c r="E44" i="7"/>
  <c r="H23" i="10"/>
  <c r="E22" i="10"/>
  <c r="E25" i="10"/>
  <c r="F20" i="10"/>
  <c r="C49" i="7" l="1"/>
  <c r="C49"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L64" i="5"/>
  <c r="C57" i="8"/>
  <c r="C64" i="8" s="1"/>
  <c r="L56" i="8"/>
  <c r="B57" i="8"/>
  <c r="B64" i="8" s="1"/>
  <c r="C64" i="5"/>
  <c r="E64" i="5" s="1"/>
  <c r="B64" i="5"/>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D63" i="8" s="1"/>
  <c r="I7" i="9"/>
  <c r="Q8" i="13"/>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3" i="8" l="1"/>
  <c r="E63" i="8" s="1"/>
  <c r="D69" i="8" s="1"/>
  <c r="B63" i="8"/>
  <c r="L63" i="8"/>
  <c r="C70" i="3"/>
  <c r="D14" i="3" s="1"/>
  <c r="C69" i="7"/>
  <c r="D12" i="7" s="1"/>
  <c r="L69" i="7"/>
  <c r="D70" i="6"/>
  <c r="F14" i="6" s="1"/>
  <c r="E63" i="3"/>
  <c r="C69" i="3" s="1"/>
  <c r="D15" i="3" s="1"/>
  <c r="L70" i="3"/>
  <c r="B70" i="3"/>
  <c r="M70" i="3" s="1"/>
  <c r="L70" i="6"/>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3" i="3" l="1"/>
  <c r="Q14" i="3"/>
  <c r="O14" i="6"/>
  <c r="Q12" i="7"/>
  <c r="D15" i="7"/>
  <c r="O13" i="3"/>
  <c r="K13" i="3" s="1"/>
  <c r="Q13" i="6"/>
  <c r="E69" i="7"/>
  <c r="O15" i="7"/>
  <c r="D12" i="3"/>
  <c r="B69" i="6"/>
  <c r="M69" i="6" s="1"/>
  <c r="Q15" i="7"/>
  <c r="E70" i="3"/>
  <c r="Q14" i="6"/>
  <c r="E70" i="6"/>
  <c r="D14" i="6"/>
  <c r="F33" i="3"/>
  <c r="F13" i="6"/>
  <c r="F34" i="3"/>
  <c r="O12" i="7"/>
  <c r="F14" i="3"/>
  <c r="D69" i="3"/>
  <c r="E69" i="3" s="1"/>
  <c r="B69" i="3"/>
  <c r="M69" i="3" s="1"/>
  <c r="O13" i="6"/>
  <c r="C69" i="6"/>
  <c r="D12" i="6" s="1"/>
  <c r="F12" i="7"/>
  <c r="L69" i="3"/>
  <c r="Q12" i="3" s="1"/>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F32" i="2"/>
  <c r="O13" i="8"/>
  <c r="R13" i="8" s="1"/>
  <c r="S13" i="8"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3" l="1"/>
  <c r="K12" i="7"/>
  <c r="R15" i="7"/>
  <c r="S15" i="7" s="1"/>
  <c r="U9" i="4"/>
  <c r="J9" i="4" s="1"/>
  <c r="M9" i="4" s="1"/>
  <c r="G9" i="4" s="1"/>
  <c r="G10" i="16" s="1"/>
  <c r="T14" i="3"/>
  <c r="R13" i="3"/>
  <c r="S13" i="3" s="1"/>
  <c r="U13" i="3" s="1"/>
  <c r="J13" i="3" s="1"/>
  <c r="L13" i="3" s="1"/>
  <c r="P14" i="16" s="1"/>
  <c r="K14" i="6"/>
  <c r="T13" i="8"/>
  <c r="U13" i="8" s="1"/>
  <c r="J13" i="8" s="1"/>
  <c r="M13" i="8" s="1"/>
  <c r="Q15" i="6"/>
  <c r="F32" i="6"/>
  <c r="Q12" i="6"/>
  <c r="T15" i="7"/>
  <c r="O15" i="6"/>
  <c r="K13" i="6"/>
  <c r="T13" i="6"/>
  <c r="F35" i="6"/>
  <c r="K14" i="3"/>
  <c r="L14" i="3" s="1"/>
  <c r="P15" i="16" s="1"/>
  <c r="K15" i="7"/>
  <c r="T12" i="7"/>
  <c r="R13" i="6"/>
  <c r="S13" i="6" s="1"/>
  <c r="U13" i="6" s="1"/>
  <c r="J13" i="6" s="1"/>
  <c r="M13" i="6" s="1"/>
  <c r="G13" i="6" s="1"/>
  <c r="G13" i="9" s="1"/>
  <c r="R14" i="8"/>
  <c r="S14" i="8" s="1"/>
  <c r="R12" i="7"/>
  <c r="S12" i="7" s="1"/>
  <c r="T14" i="6"/>
  <c r="R14" i="6"/>
  <c r="S14" i="6" s="1"/>
  <c r="U14" i="6" s="1"/>
  <c r="J14" i="6" s="1"/>
  <c r="M14" i="6" s="1"/>
  <c r="G14" i="6" s="1"/>
  <c r="M15" i="13" s="1"/>
  <c r="O12" i="3"/>
  <c r="R12" i="3" s="1"/>
  <c r="S12" i="3" s="1"/>
  <c r="U12" i="3" s="1"/>
  <c r="J12" i="3" s="1"/>
  <c r="O12" i="6"/>
  <c r="O15" i="3"/>
  <c r="F32" i="3"/>
  <c r="F35" i="3"/>
  <c r="F15" i="3"/>
  <c r="F12" i="3"/>
  <c r="Q15" i="3"/>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R13" i="7"/>
  <c r="S13" i="7" s="1"/>
  <c r="Q13" i="2"/>
  <c r="U9" i="3"/>
  <c r="J9" i="3" s="1"/>
  <c r="L9" i="3" s="1"/>
  <c r="N30" i="5"/>
  <c r="L14" i="5"/>
  <c r="Q15" i="16" s="1"/>
  <c r="L13" i="5"/>
  <c r="Q14" i="16" s="1"/>
  <c r="L10" i="4"/>
  <c r="O11" i="16" s="1"/>
  <c r="K13" i="7"/>
  <c r="T8" i="2"/>
  <c r="U8" i="2" s="1"/>
  <c r="J8" i="2" s="1"/>
  <c r="M11" i="4"/>
  <c r="G11" i="4" s="1"/>
  <c r="T14" i="7"/>
  <c r="U14" i="7" s="1"/>
  <c r="J14" i="7" s="1"/>
  <c r="K14" i="7"/>
  <c r="N30" i="3"/>
  <c r="D10" i="9"/>
  <c r="G11" i="13"/>
  <c r="E10" i="9"/>
  <c r="I11"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5" i="7" l="1"/>
  <c r="J15" i="7" s="1"/>
  <c r="M15" i="7" s="1"/>
  <c r="L9" i="4"/>
  <c r="O10" i="16" s="1"/>
  <c r="G10" i="13"/>
  <c r="R15" i="6"/>
  <c r="S15" i="6" s="1"/>
  <c r="U15" i="6" s="1"/>
  <c r="J15" i="6" s="1"/>
  <c r="M15" i="6" s="1"/>
  <c r="G15" i="6" s="1"/>
  <c r="M13" i="3"/>
  <c r="G13" i="3" s="1"/>
  <c r="I14" i="13" s="1"/>
  <c r="D9" i="9"/>
  <c r="L15" i="7"/>
  <c r="S16" i="16" s="1"/>
  <c r="K15" i="6"/>
  <c r="T12" i="6"/>
  <c r="T15" i="6"/>
  <c r="U13" i="7"/>
  <c r="J13" i="7" s="1"/>
  <c r="M13" i="7" s="1"/>
  <c r="M14" i="13"/>
  <c r="U12" i="7"/>
  <c r="J12" i="7" s="1"/>
  <c r="L12" i="7" s="1"/>
  <c r="S13" i="16" s="1"/>
  <c r="R12" i="6"/>
  <c r="S12" i="6" s="1"/>
  <c r="U12" i="6" s="1"/>
  <c r="J12" i="6" s="1"/>
  <c r="M12" i="6" s="1"/>
  <c r="G12" i="6" s="1"/>
  <c r="L13" i="6"/>
  <c r="R14" i="16" s="1"/>
  <c r="K12" i="3"/>
  <c r="L12" i="3" s="1"/>
  <c r="P13" i="16" s="1"/>
  <c r="U14" i="8"/>
  <c r="J14" i="8" s="1"/>
  <c r="N30" i="8" s="1"/>
  <c r="T12" i="3"/>
  <c r="G13" i="8"/>
  <c r="K14" i="16" s="1"/>
  <c r="K12" i="6"/>
  <c r="K15" i="3"/>
  <c r="L13" i="8"/>
  <c r="T14" i="16" s="1"/>
  <c r="R15" i="3"/>
  <c r="S15" i="3" s="1"/>
  <c r="U15" i="3" s="1"/>
  <c r="J15" i="3" s="1"/>
  <c r="M15" i="3" s="1"/>
  <c r="G15" i="3" s="1"/>
  <c r="I16" i="16" s="1"/>
  <c r="T15" i="3"/>
  <c r="M13" i="9"/>
  <c r="U14" i="13"/>
  <c r="U12" i="13"/>
  <c r="M11" i="9"/>
  <c r="R12" i="8"/>
  <c r="S12" i="8" s="1"/>
  <c r="T13" i="2"/>
  <c r="U8" i="6"/>
  <c r="J8" i="6" s="1"/>
  <c r="M8" i="6" s="1"/>
  <c r="G8" i="6" s="1"/>
  <c r="M9" i="13" s="1"/>
  <c r="R13" i="2"/>
  <c r="S13" i="2" s="1"/>
  <c r="T15" i="8"/>
  <c r="V11" i="13"/>
  <c r="G14" i="9"/>
  <c r="T12" i="8"/>
  <c r="K12" i="8"/>
  <c r="R10" i="7"/>
  <c r="S10" i="7" s="1"/>
  <c r="U10" i="7" s="1"/>
  <c r="J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K9" i="7"/>
  <c r="T14" i="2"/>
  <c r="V12" i="13"/>
  <c r="U10" i="13"/>
  <c r="X14" i="13"/>
  <c r="N11" i="9"/>
  <c r="T15" i="5"/>
  <c r="W14" i="13"/>
  <c r="N13" i="9"/>
  <c r="N14" i="9"/>
  <c r="M9" i="3"/>
  <c r="G9" i="3" s="1"/>
  <c r="I10" i="13" s="1"/>
  <c r="G12" i="13"/>
  <c r="G12" i="16"/>
  <c r="N9" i="9"/>
  <c r="P10" i="16"/>
  <c r="M14" i="7"/>
  <c r="N30" i="7"/>
  <c r="L14" i="7"/>
  <c r="S15" i="16" s="1"/>
  <c r="L8" i="7"/>
  <c r="S9" i="16" s="1"/>
  <c r="O13" i="9"/>
  <c r="V14" i="13"/>
  <c r="M9" i="9"/>
  <c r="M10" i="9"/>
  <c r="O14" i="9"/>
  <c r="V10" i="13"/>
  <c r="V15"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I14" i="16" l="1"/>
  <c r="Q15" i="9"/>
  <c r="L15" i="6"/>
  <c r="R16" i="16" s="1"/>
  <c r="M12" i="7"/>
  <c r="L13" i="7"/>
  <c r="S14" i="16" s="1"/>
  <c r="L12" i="6"/>
  <c r="R13" i="16" s="1"/>
  <c r="P13" i="9"/>
  <c r="Q12" i="9"/>
  <c r="I13" i="9"/>
  <c r="U11" i="7"/>
  <c r="J11" i="7" s="1"/>
  <c r="M11" i="7" s="1"/>
  <c r="L14" i="8"/>
  <c r="T15" i="16" s="1"/>
  <c r="M14" i="8"/>
  <c r="G14" i="8" s="1"/>
  <c r="K15" i="16" s="1"/>
  <c r="Q14" i="13"/>
  <c r="R13" i="9"/>
  <c r="Z14" i="13"/>
  <c r="Y13" i="13"/>
  <c r="U12" i="8"/>
  <c r="J12" i="8" s="1"/>
  <c r="M12" i="8" s="1"/>
  <c r="G12" i="8" s="1"/>
  <c r="K13" i="16" s="1"/>
  <c r="L15" i="3"/>
  <c r="P16" i="16" s="1"/>
  <c r="I16" i="13"/>
  <c r="E15" i="9"/>
  <c r="U14" i="2"/>
  <c r="J14" i="2" s="1"/>
  <c r="M14" i="2" s="1"/>
  <c r="G14" i="2" s="1"/>
  <c r="E15" i="16" s="1"/>
  <c r="U13" i="2"/>
  <c r="J13" i="2" s="1"/>
  <c r="M13" i="2" s="1"/>
  <c r="G13" i="2" s="1"/>
  <c r="E14" i="16" s="1"/>
  <c r="L8" i="6"/>
  <c r="R9" i="16" s="1"/>
  <c r="L10" i="7"/>
  <c r="S11" i="16" s="1"/>
  <c r="L15" i="5"/>
  <c r="Q16" i="16" s="1"/>
  <c r="T9" i="13"/>
  <c r="L8" i="9"/>
  <c r="X15" i="13"/>
  <c r="P14" i="9"/>
  <c r="G8" i="9"/>
  <c r="Q14" i="9"/>
  <c r="Y15" i="13"/>
  <c r="E9" i="13"/>
  <c r="L10" i="2"/>
  <c r="N11" i="16" s="1"/>
  <c r="M10" i="7"/>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X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6" i="13" l="1"/>
  <c r="Y14" i="13"/>
  <c r="P15" i="9"/>
  <c r="Q13" i="9"/>
  <c r="P12" i="9"/>
  <c r="Q15" i="13"/>
  <c r="L11" i="7"/>
  <c r="S12" i="16" s="1"/>
  <c r="I14" i="9"/>
  <c r="Z15" i="13"/>
  <c r="R14" i="9"/>
  <c r="L12" i="8"/>
  <c r="T13" i="16" s="1"/>
  <c r="N15" i="9"/>
  <c r="V16" i="13"/>
  <c r="E15" i="13"/>
  <c r="C14" i="9"/>
  <c r="C13" i="9"/>
  <c r="N30" i="2"/>
  <c r="L14" i="2"/>
  <c r="N15" i="16" s="1"/>
  <c r="E14" i="13"/>
  <c r="L13" i="2"/>
  <c r="N14" i="16" s="1"/>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Y12" i="13" l="1"/>
  <c r="Q11" i="9"/>
  <c r="Z13" i="13"/>
  <c r="R12" i="9"/>
  <c r="L14" i="9"/>
  <c r="T15" i="13"/>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<sst xmlns="http://schemas.openxmlformats.org/spreadsheetml/2006/main" count="654" uniqueCount="141">
  <si>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</si>
  <si>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</si>
  <si>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</si>
  <si>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</si>
  <si>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</si>
  <si>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</si>
  <si>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</si>
  <si>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</si>
  <si>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</si>
  <si>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</si>
  <si>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</si>
  <si>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</si>
  <si>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</si>
  <si>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</si>
  <si>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</si>
  <si>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</si>
  <si>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</si>
  <si>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</si>
  <si>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</si>
  <si>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</si>
  <si>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</si>
  <si>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</si>
  <si>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</si>
  <si>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</si>
  <si>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</si>
  <si>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</si>
  <si>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</si>
  <si>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</si>
  <si>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</si>
  <si>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</si>
  <si>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</si>
  <si>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</si>
  <si>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</si>
  <si>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</si>
  <si>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</si>
  <si>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</si>
  <si>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</si>
  <si>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</si>
  <si>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</si>
  <si>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</si>
  <si>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</si>
  <si>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</si>
  <si>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</si>
  <si>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</si>
  <si>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</si>
  <si>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</si>
  <si>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</si>
  <si>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</si>
  <si>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</si>
  <si>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</si>
  <si>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</si>
  <si>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</si>
  <si>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</si>
  <si>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</si>
  <si>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</si>
  <si>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</si>
  <si>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</si>
  <si>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</si>
  <si>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</si>
  <si>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</si>
  <si>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</si>
  <si>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</si>
  <si>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</si>
  <si>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</si>
  <si>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</si>
  <si>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</si>
  <si>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</si>
  <si>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</si>
  <si>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</si>
  <si>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</si>
  <si>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</si>
  <si>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</si>
  <si>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</si>
  <si>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</si>
  <si>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</si>
  <si>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</si>
  <si>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</si>
  <si>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</si>
  <si>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</si>
  <si>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</si>
  <si>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</si>
  <si>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</si>
  <si>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</si>
  <si>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</si>
  <si>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</si>
  <si>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</si>
  <si>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</si>
  <si>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</si>
  <si>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</si>
  <si>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</si>
  <si>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</si>
  <si>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</si>
  <si>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</si>
  <si>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</si>
  <si>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</si>
  <si>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</si>
  <si>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</si>
  <si>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</si>
  <si>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</si>
  <si>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</si>
  <si>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</si>
  <si>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</si>
  <si>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</si>
  <si>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</si>
  <si>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</si>
  <si>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</si>
  <si>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</si>
  <si>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</si>
  <si>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</si>
  <si>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</si>
  <si>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</si>
  <si>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</si>
  <si>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</si>
  <si>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</si>
  <si>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</si>
  <si>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</si>
  <si>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</si>
  <si>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</si>
  <si>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</si>
  <si>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</si>
  <si>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</si>
  <si>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</si>
  <si>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</si>
  <si>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</si>
  <si>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</si>
  <si>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</si>
  <si>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</si>
  <si>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</si>
  <si>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</si>
  <si>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</si>
  <si>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</si>
  <si>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</si>
  <si>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</si>
  <si>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</si>
  <si>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</si>
  <si>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</si>
  <si>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</si>
  <si>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Wexford</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</si>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</sst>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Wexford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c:v>
                </c:pt>
                <c:pt idx="1">
                  <c:v>Confinement, total N=7</c:v>
                </c:pt>
                <c:pt idx="2">
                  <c:v>Delinquent Findings, total N=23</c:v>
                </c:pt>
                <c:pt idx="3">
                  <c:v>Petitions, total N=34</c:v>
                </c:pt>
                <c:pt idx="4">
                  <c:v>Detentions, total N=0</c:v>
                </c:pt>
                <c:pt idx="5">
                  <c:v>Referrals, total N=53</c:v>
                </c:pt>
                <c:pt idx="6">
                  <c:v>Arrests, total N=50</c:v>
                </c:pt>
                <c:pt idx="7">
                  <c:v>Population, total N=3177</c:v>
                </c:pt>
              </c:strCache>
            </c:strRef>
          </c:cat>
          <c:val>
            <c:numRef>
              <c:f>'Stacked 100%'!$B$7:$B$14</c:f>
              <c:numCache>
                <c:formatCode>0%</c:formatCode>
                <c:ptCount val="8"/>
                <c:pt idx="0">
                  <c:v>0</c:v>
                </c:pt>
                <c:pt idx="1">
                  <c:v>0</c:v>
                </c:pt>
                <c:pt idx="2">
                  <c:v>4.3478260869565216E-2</c:v>
                </c:pt>
                <c:pt idx="3">
                  <c:v>5.8823529411764705E-2</c:v>
                </c:pt>
                <c:pt idx="4">
                  <c:v>0</c:v>
                </c:pt>
                <c:pt idx="5">
                  <c:v>7.5471698113207544E-2</c:v>
                </c:pt>
                <c:pt idx="6">
                  <c:v>0.14000000000000001</c:v>
                </c:pt>
                <c:pt idx="7">
                  <c:v>2.0774315391879131E-2</c:v>
                </c:pt>
              </c:numCache>
            </c:numRef>
          </c:val>
          <c:extLst>
            <c:ext xmlns:c16="http://schemas.microsoft.com/office/drawing/2014/chart" uri="{C3380CC4-5D6E-409C-BE32-E72D297353CC}">
              <c16:uniqueId val="{00000000-193A-4EEE-BD2A-CF4827CEE20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c:v>
                </c:pt>
                <c:pt idx="1">
                  <c:v>Confinement, total N=7</c:v>
                </c:pt>
                <c:pt idx="2">
                  <c:v>Delinquent Findings, total N=23</c:v>
                </c:pt>
                <c:pt idx="3">
                  <c:v>Petitions, total N=34</c:v>
                </c:pt>
                <c:pt idx="4">
                  <c:v>Detentions, total N=0</c:v>
                </c:pt>
                <c:pt idx="5">
                  <c:v>Referrals, total N=53</c:v>
                </c:pt>
                <c:pt idx="6">
                  <c:v>Arrests, total N=50</c:v>
                </c:pt>
                <c:pt idx="7">
                  <c:v>Population, total N=3177</c:v>
                </c:pt>
              </c:strCache>
            </c:strRef>
          </c:cat>
          <c:val>
            <c:numRef>
              <c:f>'Stacked 100%'!$C$7:$C$14</c:f>
              <c:numCache>
                <c:formatCode>0%</c:formatCode>
                <c:ptCount val="8"/>
                <c:pt idx="0">
                  <c:v>0</c:v>
                </c:pt>
                <c:pt idx="1">
                  <c:v>0</c:v>
                </c:pt>
                <c:pt idx="2">
                  <c:v>0</c:v>
                </c:pt>
                <c:pt idx="3">
                  <c:v>0</c:v>
                </c:pt>
                <c:pt idx="4">
                  <c:v>0</c:v>
                </c:pt>
                <c:pt idx="5">
                  <c:v>0</c:v>
                </c:pt>
                <c:pt idx="6">
                  <c:v>0</c:v>
                </c:pt>
                <c:pt idx="7">
                  <c:v>2.8328611898016998E-2</c:v>
                </c:pt>
              </c:numCache>
            </c:numRef>
          </c:val>
          <c:extLst>
            <c:ext xmlns:c16="http://schemas.microsoft.com/office/drawing/2014/chart" uri="{C3380CC4-5D6E-409C-BE32-E72D297353CC}">
              <c16:uniqueId val="{00000001-193A-4EEE-BD2A-CF4827CEE20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N=2</c:v>
                </c:pt>
                <c:pt idx="1">
                  <c:v>Confinement, total N=7</c:v>
                </c:pt>
                <c:pt idx="2">
                  <c:v>Delinquent Findings, total N=23</c:v>
                </c:pt>
                <c:pt idx="3">
                  <c:v>Petitions, total N=34</c:v>
                </c:pt>
                <c:pt idx="4">
                  <c:v>Detentions, total N=0</c:v>
                </c:pt>
                <c:pt idx="5">
                  <c:v>Referrals, total N=53</c:v>
                </c:pt>
                <c:pt idx="6">
                  <c:v>Arrests, total N=50</c:v>
                </c:pt>
                <c:pt idx="7">
                  <c:v>Population, total N=3177</c:v>
                </c:pt>
              </c:strCache>
            </c:strRef>
          </c:cat>
          <c:val>
            <c:numRef>
              <c:f>'Stacked 100%'!$H$7:$H$14</c:f>
              <c:numCache>
                <c:formatCode>0%</c:formatCode>
                <c:ptCount val="8"/>
                <c:pt idx="0">
                  <c:v>0</c:v>
                </c:pt>
                <c:pt idx="1">
                  <c:v>2.0408163265306121E-2</c:v>
                </c:pt>
                <c:pt idx="2">
                  <c:v>7.5614366729678641E-3</c:v>
                </c:pt>
                <c:pt idx="3">
                  <c:v>3.4602076124567475E-3</c:v>
                </c:pt>
                <c:pt idx="4">
                  <c:v>0</c:v>
                </c:pt>
                <c:pt idx="5">
                  <c:v>1.4239943040227838E-3</c:v>
                </c:pt>
                <c:pt idx="6">
                  <c:v>0</c:v>
                </c:pt>
                <c:pt idx="7">
                  <c:v>4.9537669880769767E-6</c:v>
                </c:pt>
              </c:numCache>
            </c:numRef>
          </c:val>
          <c:extLst>
            <c:ext xmlns:c16="http://schemas.microsoft.com/office/drawing/2014/chart" uri="{C3380CC4-5D6E-409C-BE32-E72D297353CC}">
              <c16:uniqueId val="{00000002-193A-4EEE-BD2A-CF4827CEE20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c:v>
                </c:pt>
                <c:pt idx="1">
                  <c:v>Confinement, total N=7</c:v>
                </c:pt>
                <c:pt idx="2">
                  <c:v>Delinquent Findings, total N=23</c:v>
                </c:pt>
                <c:pt idx="3">
                  <c:v>Petitions, total N=34</c:v>
                </c:pt>
                <c:pt idx="4">
                  <c:v>Detentions, total N=0</c:v>
                </c:pt>
                <c:pt idx="5">
                  <c:v>Referrals, total N=53</c:v>
                </c:pt>
                <c:pt idx="6">
                  <c:v>Arrests, total N=50</c:v>
                </c:pt>
                <c:pt idx="7">
                  <c:v>Population, total N=3177</c:v>
                </c:pt>
              </c:strCache>
            </c:strRef>
          </c:cat>
          <c:val>
            <c:numRef>
              <c:f>'Stacked 100%'!$I$7:$I$14</c:f>
              <c:numCache>
                <c:formatCode>0%</c:formatCode>
                <c:ptCount val="8"/>
                <c:pt idx="0">
                  <c:v>1</c:v>
                </c:pt>
                <c:pt idx="1">
                  <c:v>0.8571428571428571</c:v>
                </c:pt>
                <c:pt idx="2">
                  <c:v>0.78260869565217395</c:v>
                </c:pt>
                <c:pt idx="3">
                  <c:v>0.82352941176470584</c:v>
                </c:pt>
                <c:pt idx="4">
                  <c:v>0</c:v>
                </c:pt>
                <c:pt idx="5">
                  <c:v>0.83018867924528306</c:v>
                </c:pt>
                <c:pt idx="6">
                  <c:v>0.86</c:v>
                </c:pt>
                <c:pt idx="7">
                  <c:v>0.93515895498898327</c:v>
                </c:pt>
              </c:numCache>
            </c:numRef>
          </c:val>
          <c:extLst>
            <c:ext xmlns:c16="http://schemas.microsoft.com/office/drawing/2014/chart" uri="{C3380CC4-5D6E-409C-BE32-E72D297353CC}">
              <c16:uniqueId val="{00000003-193A-4EEE-BD2A-CF4827CEE201}"/>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N=2</c:v>
                </c:pt>
                <c:pt idx="1">
                  <c:v>Confinement, total N=7</c:v>
                </c:pt>
                <c:pt idx="2">
                  <c:v>Delinquent Findings, total N=23</c:v>
                </c:pt>
                <c:pt idx="3">
                  <c:v>Petitions, total N=34</c:v>
                </c:pt>
                <c:pt idx="4">
                  <c:v>Detentions, total N=0</c:v>
                </c:pt>
                <c:pt idx="5">
                  <c:v>Referrals, total N=53</c:v>
                </c:pt>
                <c:pt idx="6">
                  <c:v>Arrests, total N=50</c:v>
                </c:pt>
                <c:pt idx="7">
                  <c:v>Population, total N=3177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93A-4EEE-BD2A-CF4827CEE201}"/>
            </c:ext>
          </c:extLst>
        </c:ser>
        <c:dLbls>
          <c:showLegendKey val="0"/>
          <c:showVal val="0"/>
          <c:showCatName val="0"/>
          <c:showSerName val="0"/>
          <c:showPercent val="0"/>
          <c:showBubbleSize val="0"/>
        </c:dLbls>
        <c:gapWidth val="150"/>
        <c:overlap val="100"/>
        <c:axId val="10806144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08061440"/>
        <c:crosses val="max"/>
        <c:crossBetween val="between"/>
      </c:valAx>
      <c:catAx>
        <c:axId val="10806144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5" sqref="D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3177</v>
      </c>
      <c r="C6" s="11">
        <v>2971</v>
      </c>
      <c r="D6" s="11">
        <v>66</v>
      </c>
      <c r="E6" s="11">
        <v>90</v>
      </c>
      <c r="F6" s="11">
        <v>25</v>
      </c>
      <c r="G6" s="11"/>
      <c r="H6" s="11">
        <v>25</v>
      </c>
      <c r="I6" s="11"/>
      <c r="J6" s="91">
        <f>SUM(D6:I6)</f>
        <v>206</v>
      </c>
      <c r="K6" s="92"/>
    </row>
    <row r="7" spans="1:11" ht="15.75" customHeight="1" thickBot="1" x14ac:dyDescent="0.25">
      <c r="A7" s="10" t="s">
        <v>8</v>
      </c>
      <c r="B7" s="11">
        <f t="shared" ref="B7:B15" si="0">SUM(C7:I7)+K7</f>
        <v>50</v>
      </c>
      <c r="C7" s="11">
        <v>43</v>
      </c>
      <c r="D7" s="11">
        <v>7</v>
      </c>
      <c r="E7" s="11"/>
      <c r="F7" s="11"/>
      <c r="G7" s="11"/>
      <c r="H7" s="11"/>
      <c r="I7" s="11"/>
      <c r="J7" s="91">
        <f t="shared" ref="J7:J15" si="1">SUM(D7:I7)</f>
        <v>7</v>
      </c>
      <c r="K7" s="92"/>
    </row>
    <row r="8" spans="1:11" ht="15.75" customHeight="1" thickBot="1" x14ac:dyDescent="0.25">
      <c r="A8" s="10" t="s">
        <v>9</v>
      </c>
      <c r="B8" s="11">
        <f t="shared" si="0"/>
        <v>53</v>
      </c>
      <c r="C8" s="11">
        <v>44</v>
      </c>
      <c r="D8" s="11">
        <v>4</v>
      </c>
      <c r="E8" s="11"/>
      <c r="F8" s="11"/>
      <c r="G8" s="11"/>
      <c r="H8" s="11"/>
      <c r="I8" s="11">
        <v>4</v>
      </c>
      <c r="J8" s="91">
        <f t="shared" si="1"/>
        <v>8</v>
      </c>
      <c r="K8" s="92">
        <v>1</v>
      </c>
    </row>
    <row r="9" spans="1:11" ht="15.75" customHeight="1" thickBot="1" x14ac:dyDescent="0.25">
      <c r="A9" s="10" t="s">
        <v>10</v>
      </c>
      <c r="B9" s="11">
        <f t="shared" si="0"/>
        <v>8</v>
      </c>
      <c r="C9" s="11">
        <v>7</v>
      </c>
      <c r="D9" s="11">
        <v>1</v>
      </c>
      <c r="E9" s="11"/>
      <c r="F9" s="11"/>
      <c r="G9" s="11"/>
      <c r="H9" s="11"/>
      <c r="I9" s="11"/>
      <c r="J9" s="91">
        <f t="shared" si="1"/>
        <v>1</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34</v>
      </c>
      <c r="C11" s="11">
        <v>28</v>
      </c>
      <c r="D11" s="11">
        <v>2</v>
      </c>
      <c r="E11" s="11"/>
      <c r="F11" s="11"/>
      <c r="G11" s="11"/>
      <c r="H11" s="11"/>
      <c r="I11" s="11">
        <v>4</v>
      </c>
      <c r="J11" s="91">
        <f t="shared" si="1"/>
        <v>6</v>
      </c>
      <c r="K11" s="92"/>
    </row>
    <row r="12" spans="1:11" ht="15.75" customHeight="1" thickBot="1" x14ac:dyDescent="0.25">
      <c r="A12" s="10" t="s">
        <v>13</v>
      </c>
      <c r="B12" s="11">
        <f t="shared" si="0"/>
        <v>23</v>
      </c>
      <c r="C12" s="11">
        <v>18</v>
      </c>
      <c r="D12" s="11">
        <v>1</v>
      </c>
      <c r="E12" s="11"/>
      <c r="F12" s="11"/>
      <c r="G12" s="11"/>
      <c r="H12" s="11"/>
      <c r="I12" s="11">
        <v>4</v>
      </c>
      <c r="J12" s="91">
        <f t="shared" si="1"/>
        <v>5</v>
      </c>
      <c r="K12" s="92"/>
    </row>
    <row r="13" spans="1:11" ht="15.75" customHeight="1" thickBot="1" x14ac:dyDescent="0.25">
      <c r="A13" s="10" t="s">
        <v>133</v>
      </c>
      <c r="B13" s="11">
        <f t="shared" si="0"/>
        <v>37</v>
      </c>
      <c r="C13" s="11">
        <v>31</v>
      </c>
      <c r="D13" s="11">
        <v>2</v>
      </c>
      <c r="E13" s="11"/>
      <c r="F13" s="11"/>
      <c r="G13" s="11"/>
      <c r="H13" s="11"/>
      <c r="I13" s="11">
        <v>4</v>
      </c>
      <c r="J13" s="91">
        <f t="shared" si="1"/>
        <v>6</v>
      </c>
      <c r="K13" s="92"/>
    </row>
    <row r="14" spans="1:11" ht="26.25" customHeight="1" thickBot="1" x14ac:dyDescent="0.25">
      <c r="A14" s="10" t="s">
        <v>123</v>
      </c>
      <c r="B14" s="11">
        <f t="shared" si="0"/>
        <v>7</v>
      </c>
      <c r="C14" s="11">
        <v>6</v>
      </c>
      <c r="D14" s="11"/>
      <c r="E14" s="11"/>
      <c r="F14" s="11"/>
      <c r="G14" s="11"/>
      <c r="H14" s="11"/>
      <c r="I14" s="11">
        <v>1</v>
      </c>
      <c r="J14" s="91">
        <f t="shared" si="1"/>
        <v>1</v>
      </c>
      <c r="K14" s="92"/>
    </row>
    <row r="15" spans="1:11" ht="15.75" customHeight="1" thickBot="1" x14ac:dyDescent="0.25">
      <c r="A15" s="10" t="s">
        <v>16</v>
      </c>
      <c r="B15" s="11">
        <f t="shared" si="0"/>
        <v>2</v>
      </c>
      <c r="C15" s="11">
        <v>2</v>
      </c>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Wexford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2971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43</v>
      </c>
      <c r="D7" s="34">
        <f>IF((AND(C66&gt;0,C7&gt;0)),(C7/C66),0)</f>
        <v>14.47324133288455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43</v>
      </c>
      <c r="Q7" s="42">
        <f>C6-C7</f>
        <v>2928</v>
      </c>
      <c r="R7" s="42">
        <f t="shared" ref="R7:R15" si="5">SUM(N7:Q7)</f>
        <v>2971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44</v>
      </c>
      <c r="D8" s="34">
        <f>IF((AND(C67&gt;0,C8&gt;0)),(C8/C67),0)</f>
        <v>102.32558139534883</v>
      </c>
      <c r="E8" s="33">
        <f>'Data Entry'!I8</f>
        <v>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4</v>
      </c>
      <c r="O8" s="42">
        <f>((D67*L67)-E8)+0.05</f>
        <v>-3.95</v>
      </c>
      <c r="P8" s="42">
        <f t="shared" si="4"/>
        <v>44</v>
      </c>
      <c r="Q8" s="42">
        <f>(C$67*L67)-C8</f>
        <v>-1</v>
      </c>
      <c r="R8" s="42">
        <f t="shared" si="5"/>
        <v>43.05</v>
      </c>
      <c r="S8" s="30">
        <f t="shared" si="6"/>
        <v>1241219.3220000002</v>
      </c>
      <c r="T8" s="30">
        <f t="shared" si="7"/>
        <v>-510.83999999999821</v>
      </c>
      <c r="U8" s="31">
        <f t="shared" si="8"/>
        <v>-2429.7614164904949</v>
      </c>
    </row>
    <row r="9" spans="2:21" ht="18" customHeight="1" x14ac:dyDescent="0.25">
      <c r="B9" s="32" t="str">
        <f>'Data Entry'!A9</f>
        <v xml:space="preserve">4. Cases Diverted </v>
      </c>
      <c r="C9" s="33">
        <f>'Data Entry'!C9</f>
        <v>7</v>
      </c>
      <c r="D9" s="34">
        <f>IF((AND(C68&gt;0,C9&gt;0)),((C9/C68)),0)</f>
        <v>15.909090909090908</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4</v>
      </c>
      <c r="P9" s="42">
        <f t="shared" si="4"/>
        <v>7</v>
      </c>
      <c r="Q9" s="42">
        <f>(C$68*L68)-C9</f>
        <v>37</v>
      </c>
      <c r="R9" s="42">
        <f t="shared" si="5"/>
        <v>48</v>
      </c>
      <c r="S9" s="30">
        <f t="shared" si="6"/>
        <v>37632</v>
      </c>
      <c r="T9" s="30">
        <f t="shared" si="7"/>
        <v>50512</v>
      </c>
      <c r="U9" s="31">
        <f t="shared" si="8"/>
        <v>0.74501108647450109</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44</v>
      </c>
      <c r="R10" s="42">
        <f t="shared" si="5"/>
        <v>48</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63.636363636363633</v>
      </c>
      <c r="E11" s="33">
        <f>'Data Entry'!I11</f>
        <v>4</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4</v>
      </c>
      <c r="O11" s="42">
        <f>(D$68*L68)-E11</f>
        <v>0</v>
      </c>
      <c r="P11" s="42">
        <f t="shared" si="4"/>
        <v>28</v>
      </c>
      <c r="Q11" s="42">
        <f>(C$68*L68)-C11</f>
        <v>16</v>
      </c>
      <c r="R11" s="42">
        <f t="shared" si="5"/>
        <v>48</v>
      </c>
      <c r="S11" s="30">
        <f t="shared" si="6"/>
        <v>196608</v>
      </c>
      <c r="T11" s="30">
        <f t="shared" si="7"/>
        <v>90112</v>
      </c>
      <c r="U11" s="31">
        <f t="shared" si="8"/>
        <v>2.1818181818181817</v>
      </c>
    </row>
    <row r="12" spans="2:21" ht="18" customHeight="1" x14ac:dyDescent="0.25">
      <c r="B12" s="32" t="str">
        <f>'Data Entry'!A12</f>
        <v>7. Cases Resulting in Delinquent Findings</v>
      </c>
      <c r="C12" s="33">
        <f>'Data Entry'!C12</f>
        <v>18</v>
      </c>
      <c r="D12" s="34">
        <f>IF(((AND(C69&gt;0,C12&gt;0))),(C12/(C69)),0)</f>
        <v>64.285714285714278</v>
      </c>
      <c r="E12" s="33">
        <f>'Data Entry'!I12</f>
        <v>4</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4</v>
      </c>
      <c r="O12" s="42">
        <f>(D69*L69)-E12</f>
        <v>0</v>
      </c>
      <c r="P12" s="42">
        <f t="shared" si="4"/>
        <v>18</v>
      </c>
      <c r="Q12" s="42">
        <f>(C69*L69)-C12</f>
        <v>10.000000000000004</v>
      </c>
      <c r="R12" s="42">
        <f t="shared" si="5"/>
        <v>32</v>
      </c>
      <c r="S12" s="30">
        <f t="shared" si="6"/>
        <v>51200.000000000036</v>
      </c>
      <c r="T12" s="30">
        <f t="shared" si="7"/>
        <v>24640.000000000015</v>
      </c>
      <c r="U12" s="31">
        <f t="shared" si="8"/>
        <v>2.0779220779220782</v>
      </c>
    </row>
    <row r="13" spans="2:21" ht="18" customHeight="1" x14ac:dyDescent="0.25">
      <c r="B13" s="32" t="str">
        <f>'Data Entry'!A13</f>
        <v>8. Cases Resulting in Probation Placement</v>
      </c>
      <c r="C13" s="33">
        <f>'Data Entry'!C13</f>
        <v>31</v>
      </c>
      <c r="D13" s="34">
        <f>IF(((AND(C70&gt;0,C13&gt;0))),(C13/(C70)),0)</f>
        <v>172.22222222222223</v>
      </c>
      <c r="E13" s="33">
        <f>'Data Entry'!I13</f>
        <v>4</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4</v>
      </c>
      <c r="O13" s="42">
        <f>(D70*L70)-E13</f>
        <v>0</v>
      </c>
      <c r="P13" s="42">
        <f t="shared" si="4"/>
        <v>31</v>
      </c>
      <c r="Q13" s="42">
        <f>(C70*L70)-C13</f>
        <v>-13</v>
      </c>
      <c r="R13" s="42">
        <f t="shared" si="5"/>
        <v>22</v>
      </c>
      <c r="S13" s="30">
        <f t="shared" si="6"/>
        <v>59488</v>
      </c>
      <c r="T13" s="30">
        <f t="shared" si="7"/>
        <v>-32760</v>
      </c>
      <c r="U13" s="31">
        <f t="shared" si="8"/>
        <v>-1.8158730158730159</v>
      </c>
    </row>
    <row r="14" spans="2:21" ht="30.75" customHeight="1" x14ac:dyDescent="0.25">
      <c r="B14" s="32" t="str">
        <f>'Data Entry'!A14</f>
        <v xml:space="preserve">9. Cases Resulting in Confinement in Secure Juvenile Correctional Facilities </v>
      </c>
      <c r="C14" s="33">
        <f>'Data Entry'!C14</f>
        <v>6</v>
      </c>
      <c r="D14" s="34">
        <f>IF(((AND(C70&gt;0,C14&gt;0))), ((C14/(C70))),0)</f>
        <v>33.333333333333336</v>
      </c>
      <c r="E14" s="33">
        <f>'Data Entry'!I14</f>
        <v>1</v>
      </c>
      <c r="F14" s="34">
        <f>IF(((AND($D$70&gt;0,$E$14&gt;0))), (($E$14/($D$70))),0)</f>
        <v>25</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1</v>
      </c>
      <c r="O14" s="42">
        <f>(D70*L70)-E14</f>
        <v>3</v>
      </c>
      <c r="P14" s="42">
        <f t="shared" si="4"/>
        <v>6</v>
      </c>
      <c r="Q14" s="42">
        <f>(C70*L70)-C14</f>
        <v>12</v>
      </c>
      <c r="R14" s="42">
        <f t="shared" si="5"/>
        <v>22</v>
      </c>
      <c r="S14" s="30">
        <f t="shared" si="6"/>
        <v>792</v>
      </c>
      <c r="T14" s="30">
        <f t="shared" si="7"/>
        <v>7560</v>
      </c>
      <c r="U14" s="31">
        <f t="shared" si="8"/>
        <v>0.10476190476190476</v>
      </c>
    </row>
    <row r="15" spans="2:21" ht="15.75" customHeight="1" x14ac:dyDescent="0.25">
      <c r="B15" s="32" t="str">
        <f>'Data Entry'!A15</f>
        <v xml:space="preserve">10. Cases Transferred to Adult Court </v>
      </c>
      <c r="C15" s="33">
        <f>'Data Entry'!C15</f>
        <v>2</v>
      </c>
      <c r="D15" s="34">
        <f>IF(((AND(C69&gt;0,C15&gt;0))),((C15/(C69))),0)</f>
        <v>7.1428571428571423</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4</v>
      </c>
      <c r="P15" s="42">
        <f t="shared" si="4"/>
        <v>2</v>
      </c>
      <c r="Q15" s="42">
        <f>(C69*L69)-C15</f>
        <v>26.000000000000004</v>
      </c>
      <c r="R15" s="42">
        <f t="shared" si="5"/>
        <v>32</v>
      </c>
      <c r="S15" s="30">
        <f t="shared" si="6"/>
        <v>2048</v>
      </c>
      <c r="T15" s="30">
        <f t="shared" si="7"/>
        <v>6720.0000000000018</v>
      </c>
      <c r="U15" s="31">
        <f t="shared" si="8"/>
        <v>0.30476190476190468</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2.9710000000000001</v>
      </c>
      <c r="D42" s="56">
        <f>E6/1000</f>
        <v>0</v>
      </c>
      <c r="E42" s="56">
        <f>MAX(C42:D42)</f>
        <v>2.9710000000000001</v>
      </c>
      <c r="G42" s="1" t="str">
        <f>B42</f>
        <v>per 1000 youth</v>
      </c>
      <c r="L42" s="57">
        <v>1000</v>
      </c>
      <c r="M42" s="57"/>
      <c r="R42" s="49"/>
    </row>
    <row r="43" spans="2:18" ht="15" hidden="1" customHeight="1" x14ac:dyDescent="0.25">
      <c r="B43" s="49" t="s">
        <v>87</v>
      </c>
      <c r="C43" s="56">
        <f>C7/100</f>
        <v>0.43</v>
      </c>
      <c r="D43" s="56">
        <f>E7/100</f>
        <v>0</v>
      </c>
      <c r="E43" s="56">
        <f>MAX(C43:D43,0)</f>
        <v>0.43</v>
      </c>
      <c r="G43" s="1" t="str">
        <f>B43</f>
        <v>per 100 arrests</v>
      </c>
      <c r="L43" s="57">
        <v>100</v>
      </c>
      <c r="M43" s="57"/>
      <c r="R43" s="49"/>
    </row>
    <row r="44" spans="2:18" ht="15" hidden="1" customHeight="1" x14ac:dyDescent="0.25">
      <c r="B44" s="49" t="s">
        <v>88</v>
      </c>
      <c r="C44" s="56">
        <f>C8/100</f>
        <v>0.44</v>
      </c>
      <c r="D44" s="56">
        <f>E8/100</f>
        <v>0.04</v>
      </c>
      <c r="E44" s="56">
        <f>MAX(C44:D44,0)</f>
        <v>0.44</v>
      </c>
      <c r="G44" s="1" t="str">
        <f>B44</f>
        <v>per 100 referrals</v>
      </c>
      <c r="L44" s="57">
        <v>100</v>
      </c>
      <c r="M44" s="57"/>
      <c r="R44" s="49"/>
    </row>
    <row r="45" spans="2:18" ht="15" hidden="1" customHeight="1" x14ac:dyDescent="0.25">
      <c r="B45" s="49" t="s">
        <v>89</v>
      </c>
      <c r="C45" s="49">
        <f>C11/100</f>
        <v>0.28000000000000003</v>
      </c>
      <c r="D45" s="49">
        <f>E11/100</f>
        <v>0.04</v>
      </c>
      <c r="E45" s="56">
        <f>MAX(C45:D45,0)</f>
        <v>0.28000000000000003</v>
      </c>
      <c r="G45" s="1" t="str">
        <f>B45</f>
        <v>per 100 youth petitioned</v>
      </c>
      <c r="L45" s="57">
        <v>100</v>
      </c>
      <c r="M45" s="57"/>
      <c r="R45" s="49"/>
    </row>
    <row r="46" spans="2:18" ht="15" hidden="1" customHeight="1" x14ac:dyDescent="0.25">
      <c r="B46" s="49" t="s">
        <v>90</v>
      </c>
      <c r="C46" s="49">
        <f>C12/100</f>
        <v>0.18</v>
      </c>
      <c r="D46" s="49">
        <f>E12/100</f>
        <v>0.04</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2.9710000000000001</v>
      </c>
      <c r="D48" s="56">
        <f>D42</f>
        <v>0</v>
      </c>
      <c r="E48" s="56">
        <f>MAX(C48:D48)</f>
        <v>2.9710000000000001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0.43</v>
      </c>
      <c r="D49" s="49">
        <f t="shared" si="9"/>
        <v>0</v>
      </c>
      <c r="E49" s="49">
        <f>MAX(C49:D49)</f>
        <v>0.43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0.04</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0.04</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0.04</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2.9710000000000001</v>
      </c>
      <c r="D54" s="56">
        <f>D48</f>
        <v>0</v>
      </c>
      <c r="E54" s="56">
        <f>MAX(C54:D54)</f>
        <v>2.9710000000000001</v>
      </c>
      <c r="G54" s="1" t="str">
        <f>G48</f>
        <v>per 1000 youth</v>
      </c>
      <c r="L54" s="58">
        <f>L48</f>
        <v>1000</v>
      </c>
      <c r="M54" s="58"/>
    </row>
    <row r="55" spans="2:18" ht="15" hidden="1" customHeight="1" x14ac:dyDescent="0.25">
      <c r="B55" s="49" t="str">
        <f t="shared" ref="B55:D56" si="10">IF(($E49&gt;0),B49,B48)</f>
        <v>per 100 arrests</v>
      </c>
      <c r="C55" s="49">
        <f t="shared" si="10"/>
        <v>0.43</v>
      </c>
      <c r="D55" s="49">
        <f t="shared" si="10"/>
        <v>0</v>
      </c>
      <c r="E55" s="49">
        <f>MAX(C55:D55)</f>
        <v>0.43</v>
      </c>
      <c r="G55" s="1" t="str">
        <f>G49</f>
        <v>per 100 arrests</v>
      </c>
      <c r="L55" s="58">
        <f>IF(($E49&gt;0),L49,L48)</f>
        <v>100</v>
      </c>
      <c r="M55" s="58"/>
    </row>
    <row r="56" spans="2:18" ht="15" hidden="1" customHeight="1" x14ac:dyDescent="0.25">
      <c r="B56" s="49" t="str">
        <f t="shared" si="10"/>
        <v>per 100 referrals</v>
      </c>
      <c r="C56" s="49">
        <f t="shared" si="10"/>
        <v>0.44</v>
      </c>
      <c r="D56" s="49">
        <f t="shared" si="10"/>
        <v>0.04</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0.04</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0.04</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2.9710000000000001</v>
      </c>
      <c r="D60" s="56">
        <f>D54</f>
        <v>0</v>
      </c>
      <c r="E60" s="56">
        <f>MAX(C60:D60)</f>
        <v>2.9710000000000001</v>
      </c>
      <c r="G60" s="1" t="str">
        <f>G54</f>
        <v>per 1000 youth</v>
      </c>
      <c r="L60" s="58">
        <f>L54</f>
        <v>1000</v>
      </c>
      <c r="M60" s="58"/>
    </row>
    <row r="61" spans="2:18" ht="15" hidden="1" customHeight="1" x14ac:dyDescent="0.25">
      <c r="B61" s="49" t="str">
        <f t="shared" ref="B61:D62" si="11">IF(($E55&gt;0),B55,B54)</f>
        <v>per 100 arrests</v>
      </c>
      <c r="C61" s="49">
        <f t="shared" si="11"/>
        <v>0.43</v>
      </c>
      <c r="D61" s="49">
        <f t="shared" si="11"/>
        <v>0</v>
      </c>
      <c r="E61" s="49">
        <f>MAX(C61:D61)</f>
        <v>0.43</v>
      </c>
      <c r="G61" s="1" t="str">
        <f>G55</f>
        <v>per 100 arrests</v>
      </c>
      <c r="L61" s="58">
        <f>IF(($E55&gt;0),L55,L54)</f>
        <v>100</v>
      </c>
      <c r="M61" s="58"/>
    </row>
    <row r="62" spans="2:18" ht="15" hidden="1" customHeight="1" x14ac:dyDescent="0.25">
      <c r="B62" s="49" t="str">
        <f t="shared" si="11"/>
        <v>per 100 referrals</v>
      </c>
      <c r="C62" s="49">
        <f t="shared" si="11"/>
        <v>0.44</v>
      </c>
      <c r="D62" s="49">
        <f t="shared" si="11"/>
        <v>0.04</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0.04</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0.04</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2.9710000000000001</v>
      </c>
      <c r="D66" s="56">
        <f>D60</f>
        <v>0</v>
      </c>
      <c r="E66" s="56">
        <f>MAX(C66:D66)</f>
        <v>2.9710000000000001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0.43</v>
      </c>
      <c r="D67" s="49">
        <f t="shared" si="12"/>
        <v>0</v>
      </c>
      <c r="E67" s="49">
        <f>MAX(C67:D67)</f>
        <v>0.43</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0.04</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0.04</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0.04</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Wexford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2971</v>
      </c>
      <c r="D6" s="34"/>
      <c r="E6" s="33">
        <f>'Data Entry'!J6</f>
        <v>206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43</v>
      </c>
      <c r="D7" s="34">
        <f>IF((AND(C66&gt;0,C7&gt;0)),(C7/C66),0)</f>
        <v>14.47324133288455</v>
      </c>
      <c r="E7" s="33">
        <f>'Data Entry'!J7</f>
        <v>7</v>
      </c>
      <c r="F7" s="34">
        <f>IF((AND($E$7&gt;0,$D$66&gt;0)),($E$7/$D$66),0)</f>
        <v>33.980582524271846</v>
      </c>
      <c r="G7" s="39">
        <f t="shared" ref="G7:G15" si="0">IF(L$6=100,"*",IF(M7=FALSE,"--",IF(K7=20,"**",($F7/$D7))))</f>
        <v>2.3478211785956198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7</v>
      </c>
      <c r="O7" s="42">
        <f>E6-E7</f>
        <v>199</v>
      </c>
      <c r="P7" s="42">
        <f t="shared" ref="P7:P15" si="4">C7</f>
        <v>43</v>
      </c>
      <c r="Q7" s="42">
        <f>C6-C7</f>
        <v>2928</v>
      </c>
      <c r="R7" s="42">
        <f t="shared" ref="R7:R15" si="5">SUM(N7:Q7)</f>
        <v>3177</v>
      </c>
      <c r="S7" s="30">
        <f t="shared" ref="S7:S15" si="6">R7*((((N7*Q7)-(O7*P7))^2))</f>
        <v>452848693617</v>
      </c>
      <c r="T7" s="30">
        <f t="shared" ref="T7:T15" si="7">(N7+O7)*(P7+Q7)*(N7+P7)*(O7+Q7)</f>
        <v>95690265100</v>
      </c>
      <c r="U7" s="31">
        <f t="shared" ref="U7:U15" si="8">IF((S7&gt;0),S7/T7,"- -")</f>
        <v>4.7324426695208306</v>
      </c>
    </row>
    <row r="8" spans="2:21" ht="18" customHeight="1" x14ac:dyDescent="0.25">
      <c r="B8" s="32" t="str">
        <f>'Data Entry'!A8</f>
        <v>3. Refer to Juvenile Court</v>
      </c>
      <c r="C8" s="33">
        <f>'Data Entry'!C8</f>
        <v>44</v>
      </c>
      <c r="D8" s="34">
        <f>IF((AND(C67&gt;0,C8&gt;0)),(C8/C67),0)</f>
        <v>102.32558139534883</v>
      </c>
      <c r="E8" s="33">
        <f>'Data Entry'!J8</f>
        <v>8</v>
      </c>
      <c r="F8" s="34">
        <f>IF((AND($E$8&gt;0,$D$67&gt;0)),($E8/$D67),0)</f>
        <v>114.28571428571428</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8</v>
      </c>
      <c r="O8" s="42">
        <f>((D67*L67)-E8)+0.05</f>
        <v>-0.94999999999999907</v>
      </c>
      <c r="P8" s="42">
        <f t="shared" si="4"/>
        <v>44</v>
      </c>
      <c r="Q8" s="42">
        <f>(C$67*L67)-C8</f>
        <v>-1</v>
      </c>
      <c r="R8" s="42">
        <f t="shared" si="5"/>
        <v>50.05</v>
      </c>
      <c r="S8" s="30">
        <f t="shared" si="6"/>
        <v>57179.121999999865</v>
      </c>
      <c r="T8" s="30">
        <f t="shared" si="7"/>
        <v>-30739.409999999989</v>
      </c>
      <c r="U8" s="31">
        <f t="shared" si="8"/>
        <v>-1.8601242509208826</v>
      </c>
    </row>
    <row r="9" spans="2:21" ht="18" customHeight="1" x14ac:dyDescent="0.25">
      <c r="B9" s="32" t="str">
        <f>'Data Entry'!A9</f>
        <v xml:space="preserve">4. Cases Diverted </v>
      </c>
      <c r="C9" s="33">
        <f>'Data Entry'!C9</f>
        <v>7</v>
      </c>
      <c r="D9" s="34">
        <f>IF((AND(C68&gt;0,C9&gt;0)),((C9/C68)),0)</f>
        <v>15.909090909090908</v>
      </c>
      <c r="E9" s="33">
        <f>'Data Entry'!J9</f>
        <v>1</v>
      </c>
      <c r="F9" s="34">
        <f>IF((AND($E$9&gt;0,$D$68&gt;0)),(($E$9/$D$68)),0)</f>
        <v>12.5</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7</v>
      </c>
      <c r="P9" s="42">
        <f t="shared" si="4"/>
        <v>7</v>
      </c>
      <c r="Q9" s="42">
        <f>(C$68*L68)-C9</f>
        <v>37</v>
      </c>
      <c r="R9" s="42">
        <f t="shared" si="5"/>
        <v>52</v>
      </c>
      <c r="S9" s="30">
        <f t="shared" si="6"/>
        <v>7488</v>
      </c>
      <c r="T9" s="30">
        <f t="shared" si="7"/>
        <v>123904</v>
      </c>
      <c r="U9" s="31">
        <f t="shared" si="8"/>
        <v>6.0433884297520661E-2</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8</v>
      </c>
      <c r="P10" s="42">
        <f t="shared" si="4"/>
        <v>0</v>
      </c>
      <c r="Q10" s="42">
        <f>(C$68*L68)-C10</f>
        <v>44</v>
      </c>
      <c r="R10" s="42">
        <f t="shared" si="5"/>
        <v>52</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63.636363636363633</v>
      </c>
      <c r="E11" s="33">
        <f>'Data Entry'!J11</f>
        <v>6</v>
      </c>
      <c r="F11" s="34">
        <f>IF(((AND($E$11&gt;0,$D$68&gt;0))),($E$11/($D$68)),0)</f>
        <v>75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6</v>
      </c>
      <c r="O11" s="42">
        <f>(D$68*L68)-E11</f>
        <v>2</v>
      </c>
      <c r="P11" s="42">
        <f t="shared" si="4"/>
        <v>28</v>
      </c>
      <c r="Q11" s="42">
        <f>(C$68*L68)-C11</f>
        <v>16</v>
      </c>
      <c r="R11" s="42">
        <f t="shared" si="5"/>
        <v>52</v>
      </c>
      <c r="S11" s="30">
        <f t="shared" si="6"/>
        <v>83200</v>
      </c>
      <c r="T11" s="30">
        <f t="shared" si="7"/>
        <v>215424</v>
      </c>
      <c r="U11" s="31">
        <f t="shared" si="8"/>
        <v>0.38621509209744503</v>
      </c>
    </row>
    <row r="12" spans="2:21" ht="18" customHeight="1" x14ac:dyDescent="0.25">
      <c r="B12" s="32" t="str">
        <f>'Data Entry'!A12</f>
        <v>7. Cases Resulting in Delinquent Findings</v>
      </c>
      <c r="C12" s="33">
        <f>'Data Entry'!C12</f>
        <v>18</v>
      </c>
      <c r="D12" s="34">
        <f>IF(((AND(C69&gt;0,C12&gt;0))),(C12/(C69)),0)</f>
        <v>64.285714285714278</v>
      </c>
      <c r="E12" s="33">
        <f>'Data Entry'!J12</f>
        <v>5</v>
      </c>
      <c r="F12" s="34">
        <f>IF(((AND($D$69&gt;0,$E$12&gt;0))),(E12/(D69)),0)</f>
        <v>83.333333333333343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1</v>
      </c>
      <c r="P12" s="42">
        <f t="shared" si="4"/>
        <v>18</v>
      </c>
      <c r="Q12" s="42">
        <f>(C69*L69)-C12</f>
        <v>10.000000000000004</v>
      </c>
      <c r="R12" s="42">
        <f t="shared" si="5"/>
        <v>34</v>
      </c>
      <c r="S12" s="30">
        <f t="shared" si="6"/>
        <v>34816.000000000029</v>
      </c>
      <c r="T12" s="30">
        <f t="shared" si="7"/>
        <v>42504.000000000022</v>
      </c>
      <c r="U12" s="31">
        <f t="shared" si="8"/>
        <v>0.81912290607942806</v>
      </c>
    </row>
    <row r="13" spans="2:21" ht="18" customHeight="1" x14ac:dyDescent="0.25">
      <c r="B13" s="32" t="str">
        <f>'Data Entry'!A13</f>
        <v>8. Cases Resulting in Probation Placement</v>
      </c>
      <c r="C13" s="33">
        <f>'Data Entry'!C13</f>
        <v>31</v>
      </c>
      <c r="D13" s="34">
        <f>IF(((AND(C70&gt;0,C13&gt;0))),(C13/(C70)),0)</f>
        <v>172.22222222222223</v>
      </c>
      <c r="E13" s="33">
        <f>'Data Entry'!J13</f>
        <v>6</v>
      </c>
      <c r="F13" s="34">
        <f>IF(((AND($D$70&gt;0,$E$13&gt;0))),($E$13/($D$70)),0)</f>
        <v>120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6</v>
      </c>
      <c r="O13" s="42">
        <f>(D70*L70)-E13</f>
        <v>-1</v>
      </c>
      <c r="P13" s="42">
        <f t="shared" si="4"/>
        <v>31</v>
      </c>
      <c r="Q13" s="42">
        <f>(C70*L70)-C13</f>
        <v>-13</v>
      </c>
      <c r="R13" s="42">
        <f t="shared" si="5"/>
        <v>23</v>
      </c>
      <c r="S13" s="30">
        <f t="shared" si="6"/>
        <v>50807</v>
      </c>
      <c r="T13" s="30">
        <f t="shared" si="7"/>
        <v>-46620</v>
      </c>
      <c r="U13" s="31">
        <f t="shared" si="8"/>
        <v>-1.0898112398112398</v>
      </c>
    </row>
    <row r="14" spans="2:21" ht="30.75" customHeight="1" x14ac:dyDescent="0.25">
      <c r="B14" s="32" t="str">
        <f>'Data Entry'!A14</f>
        <v xml:space="preserve">9. Cases Resulting in Confinement in Secure Juvenile Correctional Facilities </v>
      </c>
      <c r="C14" s="33">
        <f>'Data Entry'!C14</f>
        <v>6</v>
      </c>
      <c r="D14" s="34">
        <f>IF(((AND(C70&gt;0,C14&gt;0))), ((C14/(C70))),0)</f>
        <v>33.333333333333336</v>
      </c>
      <c r="E14" s="33">
        <f>'Data Entry'!J14</f>
        <v>1</v>
      </c>
      <c r="F14" s="34">
        <f>IF(((AND($D$70&gt;0,$E$14&gt;0))), (($E$14/($D$70))),0)</f>
        <v>20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4</v>
      </c>
      <c r="P14" s="42">
        <f t="shared" si="4"/>
        <v>6</v>
      </c>
      <c r="Q14" s="42">
        <f>(C70*L70)-C14</f>
        <v>12</v>
      </c>
      <c r="R14" s="42">
        <f t="shared" si="5"/>
        <v>23</v>
      </c>
      <c r="S14" s="30">
        <f t="shared" si="6"/>
        <v>3312</v>
      </c>
      <c r="T14" s="30">
        <f t="shared" si="7"/>
        <v>10080</v>
      </c>
      <c r="U14" s="31">
        <f t="shared" si="8"/>
        <v>0.32857142857142857</v>
      </c>
    </row>
    <row r="15" spans="2:21" ht="15.75" customHeight="1" x14ac:dyDescent="0.25">
      <c r="B15" s="32" t="str">
        <f>'Data Entry'!A15</f>
        <v xml:space="preserve">10. Cases Transferred to Adult Court </v>
      </c>
      <c r="C15" s="33">
        <f>'Data Entry'!C15</f>
        <v>2</v>
      </c>
      <c r="D15" s="34">
        <f>IF(((AND(C69&gt;0,C15&gt;0))),((C15/(C69))),0)</f>
        <v>7.1428571428571423</v>
      </c>
      <c r="E15" s="33">
        <f>'Data Entry'!J15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6</v>
      </c>
      <c r="P15" s="42">
        <f t="shared" si="4"/>
        <v>2</v>
      </c>
      <c r="Q15" s="42">
        <f>(C69*L69)-C15</f>
        <v>26.000000000000004</v>
      </c>
      <c r="R15" s="42">
        <f t="shared" si="5"/>
        <v>34</v>
      </c>
      <c r="S15" s="30">
        <f t="shared" si="6"/>
        <v>4896</v>
      </c>
      <c r="T15" s="30">
        <f t="shared" si="7"/>
        <v>10752.000000000002</v>
      </c>
      <c r="U15" s="31">
        <f t="shared" si="8"/>
        <v>0.45535714285714279</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2.9710000000000001</v>
      </c>
      <c r="D42" s="56">
        <f>E6/1000</f>
        <v>0.20599999999999999</v>
      </c>
      <c r="E42" s="56">
        <f>MAX(C42:D42)</f>
        <v>2.9710000000000001</v>
      </c>
      <c r="G42" s="1" t="str">
        <f>B42</f>
        <v>per 1000 youth</v>
      </c>
      <c r="L42" s="57">
        <v>1000</v>
      </c>
      <c r="M42" s="57"/>
      <c r="R42" s="49"/>
    </row>
    <row r="43" spans="2:18" ht="15" hidden="1" customHeight="1" x14ac:dyDescent="0.25">
      <c r="B43" s="49" t="s">
        <v>87</v>
      </c>
      <c r="C43" s="56">
        <f>C7/100</f>
        <v>0.43</v>
      </c>
      <c r="D43" s="56">
        <f>E7/100</f>
        <v>7.0000000000000007E-2</v>
      </c>
      <c r="E43" s="56">
        <f>MAX(C43:D43,0)</f>
        <v>0.43</v>
      </c>
      <c r="G43" s="1" t="str">
        <f>B43</f>
        <v>per 100 arrests</v>
      </c>
      <c r="L43" s="57">
        <v>100</v>
      </c>
      <c r="M43" s="57"/>
      <c r="R43" s="49"/>
    </row>
    <row r="44" spans="2:18" ht="15" hidden="1" customHeight="1" x14ac:dyDescent="0.25">
      <c r="B44" s="49" t="s">
        <v>88</v>
      </c>
      <c r="C44" s="56">
        <f>C8/100</f>
        <v>0.44</v>
      </c>
      <c r="D44" s="56">
        <f>E8/100</f>
        <v>0.08</v>
      </c>
      <c r="E44" s="56">
        <f>MAX(C44:D44,0)</f>
        <v>0.44</v>
      </c>
      <c r="G44" s="1" t="str">
        <f>B44</f>
        <v>per 100 referrals</v>
      </c>
      <c r="L44" s="57">
        <v>100</v>
      </c>
      <c r="M44" s="57"/>
      <c r="R44" s="49"/>
    </row>
    <row r="45" spans="2:18" ht="15" hidden="1" customHeight="1" x14ac:dyDescent="0.25">
      <c r="B45" s="49" t="s">
        <v>89</v>
      </c>
      <c r="C45" s="49">
        <f>C11/100</f>
        <v>0.28000000000000003</v>
      </c>
      <c r="D45" s="49">
        <f>E11/100</f>
        <v>0.06</v>
      </c>
      <c r="E45" s="56">
        <f>MAX(C45:D45,0)</f>
        <v>0.28000000000000003</v>
      </c>
      <c r="G45" s="1" t="str">
        <f>B45</f>
        <v>per 100 youth petitioned</v>
      </c>
      <c r="L45" s="57">
        <v>100</v>
      </c>
      <c r="M45" s="57"/>
      <c r="R45" s="49"/>
    </row>
    <row r="46" spans="2:18" ht="15" hidden="1" customHeight="1" x14ac:dyDescent="0.25">
      <c r="B46" s="49" t="s">
        <v>90</v>
      </c>
      <c r="C46" s="49">
        <f>C12/100</f>
        <v>0.18</v>
      </c>
      <c r="D46" s="49">
        <f>E12/100</f>
        <v>0.05</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2.9710000000000001</v>
      </c>
      <c r="D48" s="56">
        <f>D42</f>
        <v>0.20599999999999999</v>
      </c>
      <c r="E48" s="56">
        <f>MAX(C48:D48)</f>
        <v>2.9710000000000001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0.43</v>
      </c>
      <c r="D49" s="49">
        <f t="shared" si="9"/>
        <v>7.0000000000000007E-2</v>
      </c>
      <c r="E49" s="49">
        <f>MAX(C49:D49)</f>
        <v>0.43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0.08</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0.06</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0.05</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2.9710000000000001</v>
      </c>
      <c r="D54" s="56">
        <f>D48</f>
        <v>0.20599999999999999</v>
      </c>
      <c r="E54" s="56">
        <f>MAX(C54:D54)</f>
        <v>2.9710000000000001</v>
      </c>
      <c r="G54" s="1" t="str">
        <f>G48</f>
        <v>per 1000 youth</v>
      </c>
      <c r="L54" s="58">
        <f>L48</f>
        <v>1000</v>
      </c>
      <c r="M54" s="58"/>
    </row>
    <row r="55" spans="2:18" ht="15" hidden="1" customHeight="1" x14ac:dyDescent="0.25">
      <c r="B55" s="49" t="str">
        <f t="shared" ref="B55:D56" si="10">IF(($E49&gt;0),B49,B48)</f>
        <v>per 100 arrests</v>
      </c>
      <c r="C55" s="49">
        <f t="shared" si="10"/>
        <v>0.43</v>
      </c>
      <c r="D55" s="49">
        <f t="shared" si="10"/>
        <v>7.0000000000000007E-2</v>
      </c>
      <c r="E55" s="49">
        <f>MAX(C55:D55)</f>
        <v>0.43</v>
      </c>
      <c r="G55" s="1" t="str">
        <f>G49</f>
        <v>per 100 arrests</v>
      </c>
      <c r="L55" s="58">
        <f>IF(($E49&gt;0),L49,L48)</f>
        <v>100</v>
      </c>
      <c r="M55" s="58"/>
    </row>
    <row r="56" spans="2:18" ht="15" hidden="1" customHeight="1" x14ac:dyDescent="0.25">
      <c r="B56" s="49" t="str">
        <f t="shared" si="10"/>
        <v>per 100 referrals</v>
      </c>
      <c r="C56" s="49">
        <f t="shared" si="10"/>
        <v>0.44</v>
      </c>
      <c r="D56" s="49">
        <f t="shared" si="10"/>
        <v>0.08</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0.06</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0.05</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2.9710000000000001</v>
      </c>
      <c r="D60" s="56">
        <f>D54</f>
        <v>0.20599999999999999</v>
      </c>
      <c r="E60" s="56">
        <f>MAX(C60:D60)</f>
        <v>2.9710000000000001</v>
      </c>
      <c r="G60" s="1" t="str">
        <f>G54</f>
        <v>per 1000 youth</v>
      </c>
      <c r="L60" s="58">
        <f>L54</f>
        <v>1000</v>
      </c>
      <c r="M60" s="58"/>
    </row>
    <row r="61" spans="2:18" ht="15" hidden="1" customHeight="1" x14ac:dyDescent="0.25">
      <c r="B61" s="49" t="str">
        <f t="shared" ref="B61:D62" si="11">IF(($E55&gt;0),B55,B54)</f>
        <v>per 100 arrests</v>
      </c>
      <c r="C61" s="49">
        <f t="shared" si="11"/>
        <v>0.43</v>
      </c>
      <c r="D61" s="49">
        <f t="shared" si="11"/>
        <v>7.0000000000000007E-2</v>
      </c>
      <c r="E61" s="49">
        <f>MAX(C61:D61)</f>
        <v>0.43</v>
      </c>
      <c r="G61" s="1" t="str">
        <f>G55</f>
        <v>per 100 arrests</v>
      </c>
      <c r="L61" s="58">
        <f>IF(($E55&gt;0),L55,L54)</f>
        <v>100</v>
      </c>
      <c r="M61" s="58"/>
    </row>
    <row r="62" spans="2:18" ht="15" hidden="1" customHeight="1" x14ac:dyDescent="0.25">
      <c r="B62" s="49" t="str">
        <f t="shared" si="11"/>
        <v>per 100 referrals</v>
      </c>
      <c r="C62" s="49">
        <f t="shared" si="11"/>
        <v>0.44</v>
      </c>
      <c r="D62" s="49">
        <f t="shared" si="11"/>
        <v>0.08</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0.06</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0.05</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2.9710000000000001</v>
      </c>
      <c r="D66" s="56">
        <f>D60</f>
        <v>0.20599999999999999</v>
      </c>
      <c r="E66" s="56">
        <f>MAX(C66:D66)</f>
        <v>2.9710000000000001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0.43</v>
      </c>
      <c r="D67" s="49">
        <f t="shared" si="12"/>
        <v>7.0000000000000007E-2</v>
      </c>
      <c r="E67" s="49">
        <f>MAX(C67:D67)</f>
        <v>0.43</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0.08</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0.06</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0.05</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Wexford</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7.3280479210711773</v>
      </c>
      <c r="D7" s="72" t="str">
        <f>Hispanic!G7</f>
        <v>**</v>
      </c>
      <c r="E7" s="72" t="str">
        <f>Asian!G7</f>
        <v>*</v>
      </c>
      <c r="F7" s="72" t="str">
        <f>Hawaiian!G7</f>
        <v>*</v>
      </c>
      <c r="G7" s="72" t="str">
        <f>'Am Indian'!G7</f>
        <v>*</v>
      </c>
      <c r="H7" s="72" t="str">
        <f>'Other - Mixed'!G7</f>
        <v>*</v>
      </c>
      <c r="I7" s="73">
        <f>'All Minorities'!G7</f>
        <v>2.3478211785956198</v>
      </c>
      <c r="L7" s="1">
        <f>'Black or African-American'!L7</f>
        <v>1</v>
      </c>
      <c r="M7" s="1">
        <f>Hispanic!L7</f>
        <v>40</v>
      </c>
      <c r="N7" s="1">
        <f>Asian!L7</f>
        <v>139</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f>'Other - Mixed'!L9</f>
        <v>139</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t="e">
        <f>Hispanic!L15</f>
        <v>#VALUE!</v>
      </c>
      <c r="N15" s="1" t="e">
        <f>Asian!L15</f>
        <v>#VALUE!</v>
      </c>
      <c r="O15" s="1" t="e">
        <f>Hawaiian!L15</f>
        <v>#VALUE!</v>
      </c>
      <c r="P15" s="1" t="e">
        <f>'Am Indian'!L15</f>
        <v>#VALUE!</v>
      </c>
      <c r="Q15" s="1">
        <f>'Other - Mixed'!L15</f>
        <v>139</v>
      </c>
      <c r="R15" s="1">
        <f>'All Minorities'!L15</f>
        <v>40</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3177</v>
      </c>
      <c r="D3" s="57">
        <f>'Data Entry'!C6</f>
        <v>2971</v>
      </c>
      <c r="E3" s="57">
        <f>'Data Entry'!D6</f>
        <v>66</v>
      </c>
      <c r="F3" s="57">
        <f>'Data Entry'!E6</f>
        <v>90</v>
      </c>
      <c r="G3" s="57">
        <f>'Data Entry'!F6</f>
        <v>25</v>
      </c>
      <c r="H3" s="57">
        <f>'Data Entry'!G6</f>
        <v>0</v>
      </c>
      <c r="I3" s="57">
        <f>'Data Entry'!H6</f>
        <v>25</v>
      </c>
      <c r="J3" s="57">
        <f>'Data Entry'!I6</f>
        <v>0</v>
      </c>
      <c r="K3" s="57">
        <f>'Data Entry'!J6</f>
        <v>206</v>
      </c>
    </row>
    <row r="4" spans="2:11" ht="15" customHeight="1" x14ac:dyDescent="0.25">
      <c r="B4" s="16" t="s">
        <v>8</v>
      </c>
      <c r="C4" s="1">
        <f>IF((C$3&gt;0),(1000*('Data Entry'!B7/'Data Entry'!B$6)), 0)</f>
        <v>15.738117721120554</v>
      </c>
      <c r="D4" s="1">
        <f>IF((D$3&gt;0),(1000*('Data Entry'!C7/'Data Entry'!C$6)), 0)</f>
        <v>14.473241332884552</v>
      </c>
      <c r="E4" s="1">
        <f>IF((E$3&gt;0),(1000*('Data Entry'!D7/'Data Entry'!D$6)), 0)</f>
        <v>106.06060606060606</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33.980582524271846</v>
      </c>
    </row>
    <row r="5" spans="2:11" ht="15" customHeight="1" x14ac:dyDescent="0.25">
      <c r="B5" s="16" t="s">
        <v>9</v>
      </c>
      <c r="C5" s="1">
        <f>IF((C$3&gt;0),(1000*('Data Entry'!B8/'Data Entry'!B$6)), 0)</f>
        <v>16.682404784387789</v>
      </c>
      <c r="D5" s="1">
        <f>IF((D$3&gt;0),(1000*('Data Entry'!C8/'Data Entry'!C$6)), 0)</f>
        <v>14.809828340626051</v>
      </c>
      <c r="E5" s="1">
        <f>IF((E$3&gt;0),(1000*('Data Entry'!D8/'Data Entry'!D$6)), 0)</f>
        <v>60.606060606060609</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38.834951456310677</v>
      </c>
    </row>
    <row r="6" spans="2:11" ht="15" customHeight="1" x14ac:dyDescent="0.25">
      <c r="B6" s="16" t="s">
        <v>10</v>
      </c>
      <c r="C6" s="1">
        <f>IF((C$3&gt;0),(1000*('Data Entry'!B9/'Data Entry'!B$6)), 0)</f>
        <v>2.5180988353792886</v>
      </c>
      <c r="D6" s="1">
        <f>IF((D$3&gt;0),(1000*('Data Entry'!C9/'Data Entry'!C$6)), 0)</f>
        <v>2.3561090541905081</v>
      </c>
      <c r="E6" s="1">
        <f>IF((E$3&gt;0),(1000*('Data Entry'!D9/'Data Entry'!D$6)), 0)</f>
        <v>15.151515151515152</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4.8543689320388346</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10.701920050361977</v>
      </c>
      <c r="D8" s="1">
        <f>IF((D$3&gt;0),(1000*('Data Entry'!C11/'Data Entry'!C$6)), 0)</f>
        <v>9.4244362167620324</v>
      </c>
      <c r="E8" s="1">
        <f>IF((E$3&gt;0),(1000*('Data Entry'!D11/'Data Entry'!D$6)), 0)</f>
        <v>30.303030303030305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29.126213592233011</v>
      </c>
    </row>
    <row r="9" spans="2:11" ht="15" customHeight="1" x14ac:dyDescent="0.25">
      <c r="B9" s="16" t="s">
        <v>13</v>
      </c>
      <c r="C9" s="1">
        <f>IF((C$3&gt;0),(1000*('Data Entry'!B12/'Data Entry'!B$6)), 0)</f>
        <v>7.2395341517154552</v>
      </c>
      <c r="D9" s="1">
        <f>IF((D$3&gt;0),(1000*('Data Entry'!C12/'Data Entry'!C$6)), 0)</f>
        <v>6.0585661393470218</v>
      </c>
      <c r="E9" s="1">
        <f>IF((E$3&gt;0),(1000*('Data Entry'!D12/'Data Entry'!D$6)), 0)</f>
        <v>15.151515151515152</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24.271844660194173</v>
      </c>
    </row>
    <row r="10" spans="2:11" ht="15" customHeight="1" x14ac:dyDescent="0.25">
      <c r="B10" s="16" t="s">
        <v>14</v>
      </c>
      <c r="C10" s="1">
        <f>IF((C$3&gt;0),(1000*('Data Entry'!B13/'Data Entry'!B$6)), 0)</f>
        <v>11.646207113629211</v>
      </c>
      <c r="D10" s="1">
        <f>IF((D$3&gt;0),(1000*('Data Entry'!C13/'Data Entry'!C$6)), 0)</f>
        <v>10.434197239986537</v>
      </c>
      <c r="E10" s="1">
        <f>IF((E$3&gt;0),(1000*('Data Entry'!D13/'Data Entry'!D$6)), 0)</f>
        <v>30.303030303030305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29.126213592233011</v>
      </c>
    </row>
    <row r="11" spans="2:11" ht="25.5" customHeight="1" x14ac:dyDescent="0.25">
      <c r="B11" s="16" t="s">
        <v>15</v>
      </c>
      <c r="C11" s="1">
        <f>IF((C$3&gt;0),(1000*('Data Entry'!B14/'Data Entry'!B$6)), 0)</f>
        <v>2.2033364809568772</v>
      </c>
      <c r="D11" s="1">
        <f>IF((D$3&gt;0),(1000*('Data Entry'!C14/'Data Entry'!C$6)), 0)</f>
        <v>2.0195220464490071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4.8543689320388346</v>
      </c>
    </row>
    <row r="12" spans="2:11" ht="15" customHeight="1" x14ac:dyDescent="0.25">
      <c r="B12" s="16" t="s">
        <v>16</v>
      </c>
      <c r="C12" s="1">
        <f>IF((C$3&gt;0),(1000*('Data Entry'!B15/'Data Entry'!B$6)), 0)</f>
        <v>0.62952470884482215</v>
      </c>
      <c r="D12" s="1">
        <f>IF((D$3&gt;0),(1000*('Data Entry'!C15/'Data Entry'!C$6)), 0)</f>
        <v>0.67317401548300237</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Wexford</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7.3280479210711764</v>
      </c>
      <c r="E19" s="72" t="str">
        <f t="shared" si="1"/>
        <v>--</v>
      </c>
      <c r="F19" s="72" t="str">
        <f t="shared" si="1"/>
        <v>--</v>
      </c>
      <c r="G19" s="72" t="str">
        <f t="shared" si="1"/>
        <v>--</v>
      </c>
      <c r="H19" s="72" t="str">
        <f t="shared" si="1"/>
        <v>--</v>
      </c>
      <c r="I19" s="72" t="str">
        <f t="shared" si="1"/>
        <v>--</v>
      </c>
      <c r="J19" s="73">
        <f t="shared" si="1"/>
        <v>2.3478211785956198</v>
      </c>
    </row>
    <row r="20" spans="2:10" ht="15" customHeight="1" x14ac:dyDescent="0.25">
      <c r="B20" s="71" t="s">
        <v>9</v>
      </c>
      <c r="C20" s="72">
        <f t="shared" ref="C20:J27" si="2">IF(AND(($D5&gt;0),(D5&gt;0)), (D5/$D5),"--")</f>
        <v>1</v>
      </c>
      <c r="D20" s="72">
        <f t="shared" si="2"/>
        <v>4.0922865013774112</v>
      </c>
      <c r="E20" s="72" t="str">
        <f t="shared" si="2"/>
        <v>--</v>
      </c>
      <c r="F20" s="72" t="str">
        <f t="shared" si="2"/>
        <v>--</v>
      </c>
      <c r="G20" s="72" t="str">
        <f t="shared" si="2"/>
        <v>--</v>
      </c>
      <c r="H20" s="72" t="str">
        <f t="shared" si="2"/>
        <v>--</v>
      </c>
      <c r="I20" s="72" t="str">
        <f t="shared" si="2"/>
        <v>--</v>
      </c>
      <c r="J20" s="73">
        <f t="shared" si="2"/>
        <v>2.6222418358340689</v>
      </c>
    </row>
    <row r="21" spans="2:10" ht="15" customHeight="1" x14ac:dyDescent="0.25">
      <c r="B21" s="71" t="s">
        <v>10</v>
      </c>
      <c r="C21" s="72">
        <f t="shared" si="2"/>
        <v>1</v>
      </c>
      <c r="D21" s="72">
        <f t="shared" si="2"/>
        <v>6.4307359307359313</v>
      </c>
      <c r="E21" s="72" t="str">
        <f t="shared" si="2"/>
        <v>--</v>
      </c>
      <c r="F21" s="72" t="str">
        <f t="shared" si="2"/>
        <v>--</v>
      </c>
      <c r="G21" s="72" t="str">
        <f t="shared" si="2"/>
        <v>--</v>
      </c>
      <c r="H21" s="72" t="str">
        <f t="shared" si="2"/>
        <v>--</v>
      </c>
      <c r="I21" s="72" t="str">
        <f t="shared" si="2"/>
        <v>--</v>
      </c>
      <c r="J21" s="73">
        <f t="shared" si="2"/>
        <v>2.0603328710124829</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3.2153679653679657</v>
      </c>
      <c r="E23" s="72" t="str">
        <f t="shared" si="2"/>
        <v>--</v>
      </c>
      <c r="F23" s="72" t="str">
        <f t="shared" si="2"/>
        <v>--</v>
      </c>
      <c r="G23" s="72" t="str">
        <f t="shared" si="2"/>
        <v>--</v>
      </c>
      <c r="H23" s="72" t="str">
        <f t="shared" si="2"/>
        <v>--</v>
      </c>
      <c r="I23" s="72" t="str">
        <f t="shared" si="2"/>
        <v>--</v>
      </c>
      <c r="J23" s="73">
        <f t="shared" si="2"/>
        <v>3.0904993065187245</v>
      </c>
    </row>
    <row r="24" spans="2:10" ht="15" customHeight="1" x14ac:dyDescent="0.25">
      <c r="B24" s="71" t="s">
        <v>13</v>
      </c>
      <c r="C24" s="72">
        <f t="shared" si="2"/>
        <v>1</v>
      </c>
      <c r="D24" s="72">
        <f t="shared" si="2"/>
        <v>2.5008417508417509</v>
      </c>
      <c r="E24" s="72" t="str">
        <f t="shared" si="2"/>
        <v>--</v>
      </c>
      <c r="F24" s="72" t="str">
        <f t="shared" si="2"/>
        <v>--</v>
      </c>
      <c r="G24" s="72" t="str">
        <f t="shared" si="2"/>
        <v>--</v>
      </c>
      <c r="H24" s="72" t="str">
        <f t="shared" si="2"/>
        <v>--</v>
      </c>
      <c r="I24" s="72" t="str">
        <f t="shared" si="2"/>
        <v>--</v>
      </c>
      <c r="J24" s="73">
        <f t="shared" si="2"/>
        <v>4.0062028047464935</v>
      </c>
    </row>
    <row r="25" spans="2:10" ht="15" customHeight="1" x14ac:dyDescent="0.25">
      <c r="B25" s="71" t="s">
        <v>14</v>
      </c>
      <c r="C25" s="72">
        <f t="shared" si="2"/>
        <v>1</v>
      </c>
      <c r="D25" s="72">
        <f t="shared" si="2"/>
        <v>2.9042033235581624</v>
      </c>
      <c r="E25" s="72" t="str">
        <f t="shared" si="2"/>
        <v>--</v>
      </c>
      <c r="F25" s="72" t="str">
        <f t="shared" si="2"/>
        <v>--</v>
      </c>
      <c r="G25" s="72" t="str">
        <f t="shared" si="2"/>
        <v>--</v>
      </c>
      <c r="H25" s="72" t="str">
        <f t="shared" si="2"/>
        <v>--</v>
      </c>
      <c r="I25" s="72" t="str">
        <f t="shared" si="2"/>
        <v>--</v>
      </c>
      <c r="J25" s="73">
        <f t="shared" si="2"/>
        <v>2.7914187284685248</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2.403721682847896</v>
      </c>
    </row>
    <row r="27" spans="2:10" ht="15" customHeight="1" x14ac:dyDescent="0.25">
      <c r="B27" s="71" t="s">
        <v>16</v>
      </c>
      <c r="C27" s="72">
        <f t="shared" si="2"/>
        <v>1</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Wexford</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2971</v>
      </c>
      <c r="D7" s="105">
        <f>'Data Entry'!D6</f>
        <v>66</v>
      </c>
      <c r="E7" s="106"/>
      <c r="F7" s="107">
        <f>'Data Entry'!E6</f>
        <v>90</v>
      </c>
      <c r="G7" s="106"/>
      <c r="H7" s="107">
        <f>'Data Entry'!F6</f>
        <v>25</v>
      </c>
      <c r="I7" s="106"/>
      <c r="J7" s="107">
        <f>'Data Entry'!G6</f>
        <v>0</v>
      </c>
      <c r="K7" s="106"/>
      <c r="L7" s="107">
        <f>'Data Entry'!H6</f>
        <v>25</v>
      </c>
      <c r="M7" s="106"/>
      <c r="N7" s="107">
        <f>'Data Entry'!I6</f>
        <v>0</v>
      </c>
      <c r="O7" s="106"/>
      <c r="P7" s="107">
        <f>'Data Entry'!J6</f>
        <v>206</v>
      </c>
      <c r="Q7" s="108"/>
    </row>
    <row r="8" spans="2:26" s="1" customFormat="1" ht="15" customHeight="1" x14ac:dyDescent="0.3">
      <c r="B8" s="149" t="s">
        <v>8</v>
      </c>
      <c r="C8" s="104">
        <f>'Data Entry'!C7</f>
        <v>43</v>
      </c>
      <c r="D8" s="105">
        <f>'Data Entry'!D7</f>
        <v>7</v>
      </c>
      <c r="E8" s="106">
        <f>'Black or African-American'!$G7</f>
        <v>7.3280479210711773</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7</v>
      </c>
      <c r="Q8" s="108">
        <f>'All Minorities'!G7</f>
        <v>2.3478211785956198</v>
      </c>
      <c r="R8"/>
      <c r="T8" s="1">
        <f>'Black or African-American'!L7</f>
        <v>1</v>
      </c>
      <c r="U8" s="1">
        <f>Hispanic!L7</f>
        <v>40</v>
      </c>
      <c r="V8" s="1">
        <f>Asian!L7</f>
        <v>139</v>
      </c>
      <c r="W8" s="1" t="e">
        <f>Hawaiian!L7</f>
        <v>#VALUE!</v>
      </c>
      <c r="X8" s="1">
        <f>'Am Indian'!L7</f>
        <v>139</v>
      </c>
      <c r="Y8" s="1" t="e">
        <f>'Other - Mixed'!L7</f>
        <v>#VALUE!</v>
      </c>
      <c r="Z8" s="1">
        <f>'All Minorities'!L7</f>
        <v>1</v>
      </c>
    </row>
    <row r="9" spans="2:26" s="1" customFormat="1" ht="15" customHeight="1" x14ac:dyDescent="0.3">
      <c r="B9" s="149" t="s">
        <v>134</v>
      </c>
      <c r="C9" s="104">
        <f>'Data Entry'!C8</f>
        <v>44</v>
      </c>
      <c r="D9" s="109">
        <f>'Data Entry'!D8</f>
        <v>4</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4</v>
      </c>
      <c r="O9" s="110" t="str">
        <f>'Other - Mixed'!G8</f>
        <v>*</v>
      </c>
      <c r="P9" s="111">
        <f>'Data Entry'!J8</f>
        <v>8</v>
      </c>
      <c r="Q9" s="112" t="str">
        <f>'All Minorities'!G8</f>
        <v>**</v>
      </c>
      <c r="R9"/>
      <c r="T9" s="1">
        <f>'Black or African-American'!L8</f>
        <v>20</v>
      </c>
      <c r="U9" s="1">
        <f>Hispanic!L8</f>
        <v>40</v>
      </c>
      <c r="V9" s="1">
        <f>Asian!L8</f>
        <v>139</v>
      </c>
      <c r="W9" s="1">
        <f>Hawaiian!L8</f>
        <v>139</v>
      </c>
      <c r="X9" s="1">
        <f>'Am Indian'!L8</f>
        <v>139</v>
      </c>
      <c r="Y9" s="1">
        <f>'Other - Mixed'!L8</f>
        <v>119</v>
      </c>
      <c r="Z9" s="1">
        <f>'All Minorities'!L8</f>
        <v>40</v>
      </c>
    </row>
    <row r="10" spans="2:26" s="1" customFormat="1" ht="15" customHeight="1" x14ac:dyDescent="0.3">
      <c r="B10" s="149" t="s">
        <v>10</v>
      </c>
      <c r="C10" s="104">
        <f>'Data Entry'!C9</f>
        <v>7</v>
      </c>
      <c r="D10" s="113">
        <f>'Data Entry'!D9</f>
        <v>1</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1</v>
      </c>
      <c r="Q10" s="116" t="str">
        <f>'All Minorities'!G9</f>
        <v>**</v>
      </c>
      <c r="R10"/>
      <c r="T10" s="1">
        <f>'Black or African-American'!L9</f>
        <v>40</v>
      </c>
      <c r="U10" s="1" t="e">
        <f>Hispanic!L9</f>
        <v>#VALUE!</v>
      </c>
      <c r="V10" s="1" t="e">
        <f>Asian!L9</f>
        <v>#VALUE!</v>
      </c>
      <c r="W10" s="1" t="e">
        <f>Hawaiian!L9</f>
        <v>#VALUE!</v>
      </c>
      <c r="X10" s="1" t="e">
        <f>'Am Indian'!L9</f>
        <v>#VALUE!</v>
      </c>
      <c r="Y10" s="1">
        <f>'Other - Mixed'!L9</f>
        <v>139</v>
      </c>
      <c r="Z10" s="1">
        <f>'All Minorities'!L9</f>
        <v>40</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28</v>
      </c>
      <c r="D12" s="113">
        <f>'Data Entry'!D11</f>
        <v>2</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4</v>
      </c>
      <c r="O12" s="114" t="str">
        <f>'Other - Mixed'!G11</f>
        <v>*</v>
      </c>
      <c r="P12" s="115">
        <f>'Data Entry'!J11</f>
        <v>6</v>
      </c>
      <c r="Q12" s="116"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18</v>
      </c>
      <c r="D13" s="109">
        <f>'Data Entry'!D12</f>
        <v>1</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4</v>
      </c>
      <c r="O13" s="110" t="str">
        <f>'Other - Mixed'!G12</f>
        <v>*</v>
      </c>
      <c r="P13" s="111">
        <f>'Data Entry'!J12</f>
        <v>5</v>
      </c>
      <c r="Q13" s="112" t="str">
        <f>'All Minorities'!G12</f>
        <v>**</v>
      </c>
      <c r="R13"/>
      <c r="T13" s="1">
        <f>'Black or African-American'!L12</f>
        <v>40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x14ac:dyDescent="0.3">
      <c r="B14" s="149" t="s">
        <v>133</v>
      </c>
      <c r="C14" s="104">
        <f>'Data Entry'!C13</f>
        <v>31</v>
      </c>
      <c r="D14" s="113">
        <f>'Data Entry'!D13</f>
        <v>2</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4</v>
      </c>
      <c r="O14" s="114" t="str">
        <f>'Other - Mixed'!G13</f>
        <v>*</v>
      </c>
      <c r="P14" s="115">
        <f>'Data Entry'!J13</f>
        <v>6</v>
      </c>
      <c r="Q14" s="116" t="str">
        <f>'All Minorities'!G13</f>
        <v>**</v>
      </c>
      <c r="R14"/>
      <c r="T14" s="1">
        <f>'Black or African-American'!L13</f>
        <v>40</v>
      </c>
      <c r="U14" s="1" t="e">
        <f>Hispanic!L13</f>
        <v>#VALUE!</v>
      </c>
      <c r="V14" s="1" t="e">
        <f>Asian!L13</f>
        <v>#VALUE!</v>
      </c>
      <c r="W14" s="1" t="e">
        <f>Hawaiian!L13</f>
        <v>#VALUE!</v>
      </c>
      <c r="X14" s="1" t="e">
        <f>'Am Indian'!L13</f>
        <v>#VALUE!</v>
      </c>
      <c r="Y14" s="1">
        <f>'Other - Mixed'!L13</f>
        <v>139</v>
      </c>
      <c r="Z14" s="1">
        <f>'All Minorities'!L13</f>
        <v>40</v>
      </c>
    </row>
    <row r="15" spans="2:26" s="1" customFormat="1" ht="33" x14ac:dyDescent="0.3">
      <c r="B15" s="151" t="s">
        <v>123</v>
      </c>
      <c r="C15" s="104">
        <f>'Data Entry'!C14</f>
        <v>6</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1</v>
      </c>
      <c r="O15" s="110" t="str">
        <f>'Other - Mixed'!G14</f>
        <v>*</v>
      </c>
      <c r="P15" s="111">
        <f>'Data Entry'!J14</f>
        <v>1</v>
      </c>
      <c r="Q15" s="112" t="str">
        <f>'All Minorities'!G14</f>
        <v>**</v>
      </c>
      <c r="R15"/>
      <c r="T15" s="1">
        <f>'Black or African-American'!L14</f>
        <v>40</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x14ac:dyDescent="0.3">
      <c r="B16" s="149" t="s">
        <v>16</v>
      </c>
      <c r="C16" s="104">
        <f>'Data Entry'!C15</f>
        <v>2</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f>'Black or African-American'!L15</f>
        <v>40</v>
      </c>
      <c r="U16" s="1" t="e">
        <f>Hispanic!L15</f>
        <v>#VALUE!</v>
      </c>
      <c r="V16" s="1" t="e">
        <f>Asian!L15</f>
        <v>#VALUE!</v>
      </c>
      <c r="W16" s="1" t="e">
        <f>Hawaiian!L15</f>
        <v>#VALUE!</v>
      </c>
      <c r="X16" s="1" t="e">
        <f>'Am Indian'!L15</f>
        <v>#VALUE!</v>
      </c>
      <c r="Y16" s="1">
        <f>'Other - Mixed'!L15</f>
        <v>139</v>
      </c>
      <c r="Z16" s="1">
        <f>'All Minorities'!L15</f>
        <v>40</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Wexford</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Wexford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N=2</v>
      </c>
      <c r="B7" s="157">
        <f>'Data Entry'!D15/'Data Entry'!B15</f>
        <v>0</v>
      </c>
      <c r="C7" s="157">
        <f>'Data Entry'!E15/'Data Entry'!B15</f>
        <v>0</v>
      </c>
      <c r="D7" s="157">
        <f>'Data Entry'!F15/'Data Entry'!B15</f>
        <v>0</v>
      </c>
      <c r="E7" s="157">
        <f>'Data Entry'!G15/'Data Entry'!B15</f>
        <v>0</v>
      </c>
      <c r="F7" s="157">
        <f>'Data Entry'!H15/'Data Entry'!B15</f>
        <v>0</v>
      </c>
      <c r="G7" s="157">
        <f>'Data Entry'!I15/'Data Entry'!B15</f>
        <v>0</v>
      </c>
      <c r="H7" s="157">
        <f>SUM(D7:G7)/'Data Entry'!B15</f>
        <v>0</v>
      </c>
      <c r="I7" s="157">
        <f>'Data Entry'!C15/'Data Entry'!B15</f>
        <v>1</v>
      </c>
      <c r="K7" s="97" t="str">
        <f t="shared" ref="K7:K14" si="0">A7</f>
        <v>Waivers, total N=2</v>
      </c>
      <c r="L7">
        <f>I14/(SUM(B14:G14))</f>
        <v>14.42233009708738</v>
      </c>
    </row>
    <row r="8" spans="1:12" ht="25.5" customHeight="1" x14ac:dyDescent="0.2">
      <c r="A8" s="158" t="str">
        <f>CONCATENATE("Confinement, total N=", 'Data Entry'!B14)</f>
        <v>Confinement, total N=7</v>
      </c>
      <c r="B8" s="157">
        <f>'Data Entry'!D14/'Data Entry'!B14</f>
        <v>0</v>
      </c>
      <c r="C8" s="157">
        <f>'Data Entry'!E14/'Data Entry'!B14</f>
        <v>0</v>
      </c>
      <c r="D8" s="157">
        <f>'Data Entry'!F14/'Data Entry'!B14</f>
        <v>0</v>
      </c>
      <c r="E8" s="157">
        <f>'Data Entry'!G14/'Data Entry'!B14</f>
        <v>0</v>
      </c>
      <c r="F8" s="157">
        <f>'Data Entry'!H14/'Data Entry'!B14</f>
        <v>0</v>
      </c>
      <c r="G8" s="157">
        <f>'Data Entry'!I14/'Data Entry'!B14</f>
        <v>0.14285714285714285</v>
      </c>
      <c r="H8" s="157">
        <f>SUM(D8:G8)/'Data Entry'!B14</f>
        <v>2.0408163265306121E-2</v>
      </c>
      <c r="I8" s="157">
        <f>'Data Entry'!C14/'Data Entry'!B14</f>
        <v>0.8571428571428571</v>
      </c>
      <c r="K8" s="97" t="str">
        <f>A8</f>
        <v>Confinement, total N=7</v>
      </c>
      <c r="L8">
        <f>I14/(SUM(B14:G14))</f>
        <v>14.42233009708738</v>
      </c>
    </row>
    <row r="9" spans="1:12" x14ac:dyDescent="0.2">
      <c r="A9" s="132" t="str">
        <f>CONCATENATE("Delinquent Findings, total N=", 'Data Entry'!B12)</f>
        <v>Delinquent Findings, total N=23</v>
      </c>
      <c r="B9" s="157">
        <f>'Data Entry'!D12/'Data Entry'!B12</f>
        <v>4.3478260869565216E-2</v>
      </c>
      <c r="C9" s="157">
        <f>'Data Entry'!E12/'Data Entry'!B12</f>
        <v>0</v>
      </c>
      <c r="D9" s="157">
        <f>'Data Entry'!F12/'Data Entry'!B12</f>
        <v>0</v>
      </c>
      <c r="E9" s="157">
        <f>'Data Entry'!G12/'Data Entry'!B12</f>
        <v>0</v>
      </c>
      <c r="F9" s="157">
        <f>'Data Entry'!H12/'Data Entry'!B12</f>
        <v>0</v>
      </c>
      <c r="G9" s="157">
        <f>'Data Entry'!I12/'Data Entry'!B12</f>
        <v>0.17391304347826086</v>
      </c>
      <c r="H9" s="157">
        <f>SUM(D9:G9)/'Data Entry'!B12</f>
        <v>7.5614366729678641E-3</v>
      </c>
      <c r="I9" s="157">
        <f>'Data Entry'!C12/'Data Entry'!B12</f>
        <v>0.78260869565217395</v>
      </c>
      <c r="K9" s="97" t="str">
        <f t="shared" si="0"/>
        <v>Delinquent Findings, total N=23</v>
      </c>
      <c r="L9">
        <f>I14/(SUM(B14:G14))</f>
        <v>14.42233009708738</v>
      </c>
    </row>
    <row r="10" spans="1:12" x14ac:dyDescent="0.2">
      <c r="A10" s="132" t="str">
        <f>CONCATENATE("Petitions, total N=", 'Data Entry'!B11)</f>
        <v>Petitions, total N=34</v>
      </c>
      <c r="B10" s="157">
        <f>'Data Entry'!D11/'Data Entry'!B11</f>
        <v>5.8823529411764705E-2</v>
      </c>
      <c r="C10" s="157">
        <f>'Data Entry'!E11/'Data Entry'!B11</f>
        <v>0</v>
      </c>
      <c r="D10" s="157">
        <f>'Data Entry'!F11/'Data Entry'!B11</f>
        <v>0</v>
      </c>
      <c r="E10" s="157">
        <f>'Data Entry'!G11/'Data Entry'!B11</f>
        <v>0</v>
      </c>
      <c r="F10" s="157">
        <f>'Data Entry'!H11/'Data Entry'!B11</f>
        <v>0</v>
      </c>
      <c r="G10" s="157">
        <f>'Data Entry'!I11/'Data Entry'!B11</f>
        <v>0.11764705882352941</v>
      </c>
      <c r="H10" s="157">
        <f>SUM(D10:G10)/'Data Entry'!B11</f>
        <v>3.4602076124567475E-3</v>
      </c>
      <c r="I10" s="157">
        <f>'Data Entry'!C11/'Data Entry'!B11</f>
        <v>0.82352941176470584</v>
      </c>
      <c r="K10" s="97" t="str">
        <f t="shared" si="0"/>
        <v>Petitions, total N=34</v>
      </c>
      <c r="L10">
        <f>I14/(SUM(B14:G14))</f>
        <v>14.42233009708738</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14.42233009708738</v>
      </c>
    </row>
    <row r="12" spans="1:12" x14ac:dyDescent="0.2">
      <c r="A12" s="132" t="str">
        <f>CONCATENATE("Referrals, total N=", 'Data Entry'!B8)</f>
        <v>Referrals, total N=53</v>
      </c>
      <c r="B12" s="157">
        <f>'Data Entry'!D8/'Data Entry'!B8</f>
        <v>7.5471698113207544E-2</v>
      </c>
      <c r="C12" s="157">
        <f>'Data Entry'!E8/'Data Entry'!B8</f>
        <v>0</v>
      </c>
      <c r="D12" s="157">
        <f>'Data Entry'!F8/'Data Entry'!B8</f>
        <v>0</v>
      </c>
      <c r="E12" s="157">
        <f>'Data Entry'!G8/'Data Entry'!B8</f>
        <v>0</v>
      </c>
      <c r="F12" s="157">
        <f>'Data Entry'!H8/'Data Entry'!B8</f>
        <v>0</v>
      </c>
      <c r="G12" s="157">
        <f>'Data Entry'!I8/'Data Entry'!B8</f>
        <v>7.5471698113207544E-2</v>
      </c>
      <c r="H12" s="157">
        <f>SUM(D12:G12)/'Data Entry'!B8</f>
        <v>1.4239943040227838E-3</v>
      </c>
      <c r="I12" s="157">
        <f>'Data Entry'!C8/'Data Entry'!B8</f>
        <v>0.83018867924528306</v>
      </c>
      <c r="K12" s="97" t="str">
        <f t="shared" si="0"/>
        <v>Referrals, total N=53</v>
      </c>
      <c r="L12">
        <f>I14/(SUM(B14:G14))</f>
        <v>14.42233009708738</v>
      </c>
    </row>
    <row r="13" spans="1:12" x14ac:dyDescent="0.2">
      <c r="A13" s="132" t="str">
        <f>CONCATENATE("Arrests, total N=", 'Data Entry'!B7)</f>
        <v>Arrests, total N=50</v>
      </c>
      <c r="B13" s="157">
        <f>'Data Entry'!D7/'Data Entry'!B7</f>
        <v>0.14000000000000001</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0.86</v>
      </c>
      <c r="K13" s="97" t="str">
        <f t="shared" si="0"/>
        <v>Arrests, total N=50</v>
      </c>
      <c r="L13">
        <f>I14/(SUM(B14:G14))</f>
        <v>14.42233009708738</v>
      </c>
    </row>
    <row r="14" spans="1:12" x14ac:dyDescent="0.2">
      <c r="A14" s="132" t="str">
        <f>CONCATENATE("Population, total N=", 'Data Entry'!B6)</f>
        <v>Population, total N=3177</v>
      </c>
      <c r="B14" s="157">
        <f>'Data Entry'!D6/'Data Entry'!B6</f>
        <v>2.0774315391879131E-2</v>
      </c>
      <c r="C14" s="157">
        <f>'Data Entry'!E6/'Data Entry'!B6</f>
        <v>2.8328611898016998E-2</v>
      </c>
      <c r="D14" s="157">
        <f>'Data Entry'!F6/'Data Entry'!B6</f>
        <v>7.8690588605602775E-3</v>
      </c>
      <c r="E14" s="157">
        <f>'Data Entry'!G6/'Data Entry'!B6</f>
        <v>0</v>
      </c>
      <c r="F14" s="157">
        <f>'Data Entry'!H6/'Data Entry'!B6</f>
        <v>7.8690588605602775E-3</v>
      </c>
      <c r="G14" s="157">
        <f>'Data Entry'!I6/'Data Entry'!B6</f>
        <v>0</v>
      </c>
      <c r="H14" s="157">
        <f>SUM(D14:G14)/'Data Entry'!B6</f>
        <v>4.9537669880769767E-6</v>
      </c>
      <c r="I14" s="157">
        <f>'Data Entry'!C6/'Data Entry'!B6</f>
        <v>0.93515895498898327</v>
      </c>
      <c r="K14" s="97" t="str">
        <f t="shared" si="0"/>
        <v>Population, total N=3177</v>
      </c>
      <c r="L14">
        <f>I14/(SUM(B14:G14))</f>
        <v>14.42233009708738</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Wexford</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2971</v>
      </c>
      <c r="D7" s="105">
        <f>'Data Entry'!D6</f>
        <v>66</v>
      </c>
      <c r="E7" s="106"/>
      <c r="F7" s="107">
        <f>'Data Entry'!E6</f>
        <v>90</v>
      </c>
      <c r="G7" s="106"/>
      <c r="H7" s="107">
        <f>'Data Entry'!F6</f>
        <v>25</v>
      </c>
      <c r="I7" s="106"/>
      <c r="J7" s="107">
        <f>'Data Entry'!J6</f>
        <v>206</v>
      </c>
      <c r="K7" s="108"/>
    </row>
    <row r="8" spans="2:30" s="1" customFormat="1" ht="15" customHeight="1" x14ac:dyDescent="0.3">
      <c r="B8" s="125" t="s">
        <v>8</v>
      </c>
      <c r="C8" s="104">
        <f>'Data Entry'!C7</f>
        <v>43</v>
      </c>
      <c r="D8" s="105">
        <f>'Data Entry'!D7</f>
        <v>7</v>
      </c>
      <c r="E8" s="106">
        <f>'Black or African-American'!$G7</f>
        <v>7.3280479210711773</v>
      </c>
      <c r="F8" s="107">
        <f>'Data Entry'!E7</f>
        <v>0</v>
      </c>
      <c r="G8" s="106" t="str">
        <f>Hispanic!G7</f>
        <v>**</v>
      </c>
      <c r="H8" s="107">
        <f>'Data Entry'!F7</f>
        <v>0</v>
      </c>
      <c r="I8" s="106" t="str">
        <f>Asian!G7</f>
        <v>*</v>
      </c>
      <c r="J8" s="107">
        <f>'Data Entry'!J7</f>
        <v>7</v>
      </c>
      <c r="K8" s="108">
        <f>'All Minorities'!G7</f>
        <v>2.3478211785956198</v>
      </c>
      <c r="L8"/>
      <c r="N8" s="1">
        <f>'Black or African-American'!L7</f>
        <v>1</v>
      </c>
      <c r="O8" s="1">
        <f>Hispanic!L7</f>
        <v>40</v>
      </c>
      <c r="P8" s="1">
        <f>Asian!L7</f>
        <v>139</v>
      </c>
      <c r="Q8" s="1" t="e">
        <f>Hawaiian!L7</f>
        <v>#VALUE!</v>
      </c>
      <c r="R8" s="1">
        <f>'Am Indian'!L7</f>
        <v>139</v>
      </c>
      <c r="S8" s="1" t="e">
        <f>'Other - Mixed'!L7</f>
        <v>#VALUE!</v>
      </c>
      <c r="T8" s="1">
        <f>'All Minorities'!L7</f>
        <v>1</v>
      </c>
    </row>
    <row r="9" spans="2:30" s="1" customFormat="1" ht="15" customHeight="1" x14ac:dyDescent="0.3">
      <c r="B9" s="125" t="s">
        <v>134</v>
      </c>
      <c r="C9" s="104">
        <f>'Data Entry'!C8</f>
        <v>44</v>
      </c>
      <c r="D9" s="109">
        <f>'Data Entry'!D8</f>
        <v>4</v>
      </c>
      <c r="E9" s="110" t="str">
        <f>'Black or African-American'!$G8</f>
        <v>**</v>
      </c>
      <c r="F9" s="111">
        <f>'Data Entry'!E8</f>
        <v>0</v>
      </c>
      <c r="G9" s="110" t="str">
        <f>Hispanic!G8</f>
        <v>**</v>
      </c>
      <c r="H9" s="111">
        <f>'Data Entry'!F8</f>
        <v>0</v>
      </c>
      <c r="I9" s="110" t="str">
        <f>Asian!G8</f>
        <v>*</v>
      </c>
      <c r="J9" s="111">
        <f>'Data Entry'!J8</f>
        <v>8</v>
      </c>
      <c r="K9" s="112" t="str">
        <f>'All Minorities'!G8</f>
        <v>**</v>
      </c>
      <c r="L9"/>
      <c r="N9" s="1">
        <f>'Black or African-American'!L8</f>
        <v>20</v>
      </c>
      <c r="O9" s="1">
        <f>Hispanic!L8</f>
        <v>40</v>
      </c>
      <c r="P9" s="1">
        <f>Asian!L8</f>
        <v>139</v>
      </c>
      <c r="Q9" s="1">
        <f>Hawaiian!L8</f>
        <v>139</v>
      </c>
      <c r="R9" s="1">
        <f>'Am Indian'!L8</f>
        <v>139</v>
      </c>
      <c r="S9" s="1">
        <f>'Other - Mixed'!L8</f>
        <v>119</v>
      </c>
      <c r="T9" s="1">
        <f>'All Minorities'!L8</f>
        <v>40</v>
      </c>
    </row>
    <row r="10" spans="2:30" s="1" customFormat="1" ht="15" customHeight="1" x14ac:dyDescent="0.3">
      <c r="B10" s="125" t="s">
        <v>10</v>
      </c>
      <c r="C10" s="104">
        <f>'Data Entry'!C9</f>
        <v>7</v>
      </c>
      <c r="D10" s="113">
        <f>'Data Entry'!D9</f>
        <v>1</v>
      </c>
      <c r="E10" s="114" t="str">
        <f>'Black or African-American'!$G9</f>
        <v>**</v>
      </c>
      <c r="F10" s="115">
        <f>'Data Entry'!E9</f>
        <v>0</v>
      </c>
      <c r="G10" s="114" t="str">
        <f>Hispanic!G9</f>
        <v>--</v>
      </c>
      <c r="H10" s="115">
        <f>'Data Entry'!F9</f>
        <v>0</v>
      </c>
      <c r="I10" s="114" t="str">
        <f>Asian!G9</f>
        <v>*</v>
      </c>
      <c r="J10" s="115">
        <f>'Data Entry'!J9</f>
        <v>1</v>
      </c>
      <c r="K10" s="116" t="str">
        <f>'All Minorities'!G9</f>
        <v>**</v>
      </c>
      <c r="L10"/>
      <c r="N10" s="1">
        <f>'Black or African-American'!L9</f>
        <v>40</v>
      </c>
      <c r="O10" s="1" t="e">
        <f>Hispanic!L9</f>
        <v>#VALUE!</v>
      </c>
      <c r="P10" s="1" t="e">
        <f>Asian!L9</f>
        <v>#VALUE!</v>
      </c>
      <c r="Q10" s="1" t="e">
        <f>Hawaiian!L9</f>
        <v>#VALUE!</v>
      </c>
      <c r="R10" s="1" t="e">
        <f>'Am Indian'!L9</f>
        <v>#VALUE!</v>
      </c>
      <c r="S10" s="1">
        <f>'Other - Mixed'!L9</f>
        <v>139</v>
      </c>
      <c r="T10" s="1">
        <f>'All Minorities'!L9</f>
        <v>40</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28</v>
      </c>
      <c r="D12" s="113">
        <f>'Data Entry'!D11</f>
        <v>2</v>
      </c>
      <c r="E12" s="114" t="str">
        <f>'Black or African-American'!$G11</f>
        <v>**</v>
      </c>
      <c r="F12" s="115">
        <f>'Data Entry'!E11</f>
        <v>0</v>
      </c>
      <c r="G12" s="114" t="str">
        <f>Hispanic!G11</f>
        <v>--</v>
      </c>
      <c r="H12" s="115">
        <f>'Data Entry'!F11</f>
        <v>0</v>
      </c>
      <c r="I12" s="114" t="str">
        <f>Asian!G11</f>
        <v>*</v>
      </c>
      <c r="J12" s="115">
        <f>'Data Entry'!J11</f>
        <v>6</v>
      </c>
      <c r="K12" s="116"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18</v>
      </c>
      <c r="D13" s="109">
        <f>'Data Entry'!D12</f>
        <v>1</v>
      </c>
      <c r="E13" s="110" t="str">
        <f>'Black or African-American'!$G12</f>
        <v>**</v>
      </c>
      <c r="F13" s="111">
        <f>'Data Entry'!E12</f>
        <v>0</v>
      </c>
      <c r="G13" s="110" t="str">
        <f>Hispanic!G12</f>
        <v>--</v>
      </c>
      <c r="H13" s="111">
        <f>'Data Entry'!F12</f>
        <v>0</v>
      </c>
      <c r="I13" s="110" t="str">
        <f>Asian!G12</f>
        <v>*</v>
      </c>
      <c r="J13" s="111">
        <f>'Data Entry'!J12</f>
        <v>5</v>
      </c>
      <c r="K13" s="112" t="str">
        <f>'All Minorities'!G12</f>
        <v>**</v>
      </c>
      <c r="L13"/>
      <c r="N13" s="1">
        <f>'Black or African-American'!L12</f>
        <v>40</v>
      </c>
      <c r="O13" s="1" t="e">
        <f>Hispanic!L12</f>
        <v>#VALUE!</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31</v>
      </c>
      <c r="D14" s="113">
        <f>'Data Entry'!D13</f>
        <v>2</v>
      </c>
      <c r="E14" s="114" t="str">
        <f>'Black or African-American'!$G13</f>
        <v>**</v>
      </c>
      <c r="F14" s="115">
        <f>'Data Entry'!E13</f>
        <v>0</v>
      </c>
      <c r="G14" s="114" t="str">
        <f>Hispanic!G13</f>
        <v>--</v>
      </c>
      <c r="H14" s="115">
        <f>'Data Entry'!F13</f>
        <v>0</v>
      </c>
      <c r="I14" s="114" t="str">
        <f>Asian!G13</f>
        <v>*</v>
      </c>
      <c r="J14" s="115">
        <f>'Data Entry'!J13</f>
        <v>6</v>
      </c>
      <c r="K14" s="116" t="str">
        <f>'All Minorities'!G13</f>
        <v>**</v>
      </c>
      <c r="L14"/>
      <c r="N14" s="1">
        <f>'Black or African-American'!L13</f>
        <v>40</v>
      </c>
      <c r="O14" s="1" t="e">
        <f>Hispanic!L13</f>
        <v>#VALUE!</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6</v>
      </c>
      <c r="D15" s="109">
        <f>'Data Entry'!D14</f>
        <v>0</v>
      </c>
      <c r="E15" s="110" t="str">
        <f>'Black or African-American'!$G14</f>
        <v>**</v>
      </c>
      <c r="F15" s="111">
        <f>'Data Entry'!E14</f>
        <v>0</v>
      </c>
      <c r="G15" s="110" t="str">
        <f>Hispanic!G14</f>
        <v>--</v>
      </c>
      <c r="H15" s="111">
        <f>'Data Entry'!F14</f>
        <v>0</v>
      </c>
      <c r="I15" s="110" t="str">
        <f>Asian!G14</f>
        <v>*</v>
      </c>
      <c r="J15" s="111">
        <f>'Data Entry'!J14</f>
        <v>1</v>
      </c>
      <c r="K15" s="112" t="str">
        <f>'All Minorities'!G14</f>
        <v>**</v>
      </c>
      <c r="L15"/>
      <c r="N15" s="1">
        <f>'Black or African-American'!L14</f>
        <v>40</v>
      </c>
      <c r="O15" s="1" t="e">
        <f>Hispanic!L14</f>
        <v>#VALUE!</v>
      </c>
      <c r="P15" s="1" t="e">
        <f>Asian!L14</f>
        <v>#VALUE!</v>
      </c>
      <c r="Q15" s="1" t="e">
        <f>Hawaiian!L14</f>
        <v>#VALUE!</v>
      </c>
      <c r="R15" s="1" t="e">
        <f>'Am Indian'!L14</f>
        <v>#VALUE!</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2</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f>'Black or African-American'!L15</f>
        <v>40</v>
      </c>
      <c r="O16" s="1" t="e">
        <f>Hispanic!L15</f>
        <v>#VALUE!</v>
      </c>
      <c r="P16" s="1" t="e">
        <f>Asian!L15</f>
        <v>#VALUE!</v>
      </c>
      <c r="Q16" s="1" t="e">
        <f>Hawaiian!L15</f>
        <v>#VALUE!</v>
      </c>
      <c r="R16" s="1" t="e">
        <f>'Am Indian'!L15</f>
        <v>#VALUE!</v>
      </c>
      <c r="S16" s="1">
        <f>'Other - Mixed'!L15</f>
        <v>139</v>
      </c>
      <c r="T16" s="1">
        <f>'All Minorities'!L15</f>
        <v>40</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Wexford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2971</v>
      </c>
      <c r="D6" s="34"/>
      <c r="E6" s="33">
        <f>'Data Entry'!D6</f>
        <v>66</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43</v>
      </c>
      <c r="D7" s="34">
        <f>IF((AND(C66&gt;0,C7&gt;0)),(C7/C66),0)</f>
        <v>14.47324133288455</v>
      </c>
      <c r="E7" s="33">
        <f>'Data Entry'!D7</f>
        <v>7</v>
      </c>
      <c r="F7" s="34">
        <f>IF((AND($E$7&gt;0,$D$66&gt;0)),($E$7/$D$66),0)</f>
        <v>106.06060606060606</v>
      </c>
      <c r="G7" s="39">
        <f>IF(L$6=100,"*",IF(M7=FALSE,"--",IF(K7=20,"**",($F7/$D7))))</f>
        <v>7.3280479210711773</v>
      </c>
      <c r="H7" s="40"/>
      <c r="I7" s="41"/>
      <c r="J7" s="40">
        <f>IF((ABS($U7)&gt;Defaults!D$7),1,2)</f>
        <v>1</v>
      </c>
      <c r="K7" s="39">
        <f>IF((AND(N7&gt;Defaults!B$12,(N7+O7)&gt;Defaults!B$13, P7 &gt; Defaults!B$12, (P7+Q7) &gt; Defaults!B$13)),1,20)</f>
        <v>1</v>
      </c>
      <c r="L7" s="1">
        <f>(J7*K7+L$6)-1</f>
        <v>1</v>
      </c>
      <c r="M7" s="1" t="b">
        <f t="shared" ref="M7:M15" si="0">(ISNUMBER(J7))</f>
        <v>1</v>
      </c>
      <c r="N7" s="42">
        <f t="shared" ref="N7:N15" si="1">E7</f>
        <v>7</v>
      </c>
      <c r="O7" s="42">
        <f>E6-E7</f>
        <v>59</v>
      </c>
      <c r="P7" s="42">
        <f t="shared" ref="P7:P15" si="2">C7</f>
        <v>43</v>
      </c>
      <c r="Q7" s="42">
        <f>C6-C7</f>
        <v>2928</v>
      </c>
      <c r="R7" s="42">
        <f t="shared" ref="R7:R15" si="3">SUM(N7:Q7)</f>
        <v>3037</v>
      </c>
      <c r="S7" s="30">
        <f t="shared" ref="S7:S15" si="4">R7*((((N7*Q7)-(O7*P7))^2))</f>
        <v>979510493197</v>
      </c>
      <c r="T7" s="30">
        <f t="shared" ref="T7:T15" si="5">(N7+O7)*(P7+Q7)*(N7+P7)*(O7+Q7)</f>
        <v>29285444100</v>
      </c>
      <c r="U7" s="31">
        <f t="shared" ref="U7:U15" si="6">IF((S7&gt;0),S7/T7,"- -")</f>
        <v>33.447008344906742</v>
      </c>
    </row>
    <row r="8" spans="2:21" ht="18" customHeight="1" x14ac:dyDescent="0.25">
      <c r="B8" s="32" t="str">
        <f>'Data Entry'!A8</f>
        <v>3. Refer to Juvenile Court</v>
      </c>
      <c r="C8" s="33">
        <f>'Data Entry'!C8</f>
        <v>44</v>
      </c>
      <c r="D8" s="34">
        <f>IF((AND(C67&gt;0,C8&gt;0)),(C8/C67),0)</f>
        <v>102.32558139534883</v>
      </c>
      <c r="E8" s="33">
        <f>'Data Entry'!D8</f>
        <v>4</v>
      </c>
      <c r="F8" s="34">
        <f>IF((AND($E$8&gt;0,$D$67&gt;0)),($E8/$D67),0)</f>
        <v>57.142857142857139</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4</v>
      </c>
      <c r="O8" s="42">
        <f>((D67*L67)-E8)+0.05</f>
        <v>3.0500000000000007</v>
      </c>
      <c r="P8" s="42">
        <f t="shared" si="2"/>
        <v>44</v>
      </c>
      <c r="Q8" s="42">
        <f>(C$67*L67)-C8</f>
        <v>-1</v>
      </c>
      <c r="R8" s="42">
        <f t="shared" si="3"/>
        <v>50.05</v>
      </c>
      <c r="S8" s="30">
        <f t="shared" si="4"/>
        <v>955916.96200000052</v>
      </c>
      <c r="T8" s="30">
        <f t="shared" si="5"/>
        <v>29829.96000000001</v>
      </c>
      <c r="U8" s="31">
        <f t="shared" si="6"/>
        <v>32.045532813319234</v>
      </c>
    </row>
    <row r="9" spans="2:21" ht="18" customHeight="1" x14ac:dyDescent="0.25">
      <c r="B9" s="32" t="str">
        <f>'Data Entry'!A9</f>
        <v xml:space="preserve">4. Cases Diverted </v>
      </c>
      <c r="C9" s="33">
        <f>'Data Entry'!C9</f>
        <v>7</v>
      </c>
      <c r="D9" s="34">
        <f>IF((AND(C68&gt;0,C9&gt;0)),((C9/C68)),0)</f>
        <v>15.909090909090908</v>
      </c>
      <c r="E9" s="33">
        <f>'Data Entry'!D9</f>
        <v>1</v>
      </c>
      <c r="F9" s="34">
        <f>IF((AND($E$9&gt;0,$D$68&gt;0)),(($E$9/$D$68)),0)</f>
        <v>25</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3</v>
      </c>
      <c r="P9" s="42">
        <f t="shared" si="2"/>
        <v>7</v>
      </c>
      <c r="Q9" s="42">
        <f>(C$68*L68)-C9</f>
        <v>37</v>
      </c>
      <c r="R9" s="42">
        <f t="shared" si="3"/>
        <v>48</v>
      </c>
      <c r="S9" s="30">
        <f t="shared" si="4"/>
        <v>12288</v>
      </c>
      <c r="T9" s="30">
        <f t="shared" si="5"/>
        <v>56320</v>
      </c>
      <c r="U9" s="31">
        <f t="shared" si="6"/>
        <v>0.21818181818181817</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4</v>
      </c>
      <c r="P10" s="42">
        <f t="shared" si="2"/>
        <v>0</v>
      </c>
      <c r="Q10" s="42">
        <f>(C$68*L68)-C10</f>
        <v>44</v>
      </c>
      <c r="R10" s="42">
        <f t="shared" si="3"/>
        <v>48</v>
      </c>
      <c r="S10" s="30">
        <f t="shared" si="4"/>
        <v>0</v>
      </c>
      <c r="T10" s="30">
        <f t="shared" si="5"/>
        <v>0</v>
      </c>
      <c r="U10" s="31" t="str">
        <f t="shared" si="6"/>
        <v>- -</v>
      </c>
    </row>
    <row r="11" spans="2:21" ht="18" customHeight="1" x14ac:dyDescent="0.25">
      <c r="B11" s="32" t="str">
        <f>'Data Entry'!A11</f>
        <v>6. Cases Petitioned (Charge Filed)</v>
      </c>
      <c r="C11" s="33">
        <f>'Data Entry'!C11</f>
        <v>28</v>
      </c>
      <c r="D11" s="34">
        <f>IF(((AND(C68&gt;0,C11&gt;0))),(C11/(C68)),0)</f>
        <v>63.636363636363633</v>
      </c>
      <c r="E11" s="33">
        <f>'Data Entry'!D11</f>
        <v>2</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2</v>
      </c>
      <c r="P11" s="42">
        <f t="shared" si="2"/>
        <v>28</v>
      </c>
      <c r="Q11" s="42">
        <f>(C$68*L68)-C11</f>
        <v>16</v>
      </c>
      <c r="R11" s="42">
        <f t="shared" si="3"/>
        <v>48</v>
      </c>
      <c r="S11" s="30">
        <f t="shared" si="4"/>
        <v>27648</v>
      </c>
      <c r="T11" s="30">
        <f t="shared" si="5"/>
        <v>95040</v>
      </c>
      <c r="U11" s="31">
        <f t="shared" si="6"/>
        <v>0.29090909090909089</v>
      </c>
    </row>
    <row r="12" spans="2:21" ht="18" customHeight="1" x14ac:dyDescent="0.25">
      <c r="B12" s="32" t="str">
        <f>'Data Entry'!A12</f>
        <v>7. Cases Resulting in Delinquent Findings</v>
      </c>
      <c r="C12" s="33">
        <f>'Data Entry'!C12</f>
        <v>18</v>
      </c>
      <c r="D12" s="34">
        <f>IF(((AND(C69&gt;0,C12&gt;0))),(C12/(C69)),0)</f>
        <v>64.285714285714278</v>
      </c>
      <c r="E12" s="33">
        <f>'Data Entry'!D12</f>
        <v>1</v>
      </c>
      <c r="F12" s="34">
        <f>IF(((AND($D$69&gt;0,$E$12&gt;0))),(E12/(D69)),0)</f>
        <v>50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1</v>
      </c>
      <c r="P12" s="42">
        <f t="shared" si="2"/>
        <v>18</v>
      </c>
      <c r="Q12" s="42">
        <f>(C69*L69)-C12</f>
        <v>10.000000000000004</v>
      </c>
      <c r="R12" s="42">
        <f t="shared" si="3"/>
        <v>30.000000000000004</v>
      </c>
      <c r="S12" s="30">
        <f t="shared" si="4"/>
        <v>1919.9999999999986</v>
      </c>
      <c r="T12" s="30">
        <f t="shared" si="5"/>
        <v>11704.000000000005</v>
      </c>
      <c r="U12" s="31">
        <f t="shared" si="6"/>
        <v>0.16404647983595333</v>
      </c>
    </row>
    <row r="13" spans="2:21" ht="18" customHeight="1" x14ac:dyDescent="0.25">
      <c r="B13" s="32" t="str">
        <f>'Data Entry'!A13</f>
        <v>8. Cases Resulting in Probation Placement</v>
      </c>
      <c r="C13" s="33">
        <f>'Data Entry'!C13</f>
        <v>31</v>
      </c>
      <c r="D13" s="34">
        <f>IF(((AND(C70&gt;0,C13&gt;0))),(C13/(C70)),0)</f>
        <v>172.22222222222223</v>
      </c>
      <c r="E13" s="33">
        <f>'Data Entry'!D13</f>
        <v>2</v>
      </c>
      <c r="F13" s="34">
        <f>IF(((AND($D$70&gt;0,$E$13&gt;0))),($E$13/($D$70)),0)</f>
        <v>200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-1</v>
      </c>
      <c r="P13" s="42">
        <f t="shared" si="2"/>
        <v>31</v>
      </c>
      <c r="Q13" s="42">
        <f>(C70*L70)-C13</f>
        <v>-13</v>
      </c>
      <c r="R13" s="42">
        <f t="shared" si="3"/>
        <v>19</v>
      </c>
      <c r="S13" s="30">
        <f t="shared" si="4"/>
        <v>475</v>
      </c>
      <c r="T13" s="30">
        <f t="shared" si="5"/>
        <v>-8316</v>
      </c>
      <c r="U13" s="31">
        <f t="shared" si="6"/>
        <v>-5.7118807118807118E-2</v>
      </c>
    </row>
    <row r="14" spans="2:21" ht="30.75" customHeight="1" x14ac:dyDescent="0.25">
      <c r="B14" s="32" t="str">
        <f>'Data Entry'!A14</f>
        <v xml:space="preserve">9. Cases Resulting in Confinement in Secure Juvenile Correctional Facilities </v>
      </c>
      <c r="C14" s="33">
        <f>'Data Entry'!C14</f>
        <v>6</v>
      </c>
      <c r="D14" s="34">
        <f>IF(((AND(C70&gt;0,C14&gt;0))), ((C14/(C70))),0)</f>
        <v>33.333333333333336</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6</v>
      </c>
      <c r="Q14" s="42">
        <f>(C70*L70)-C14</f>
        <v>12</v>
      </c>
      <c r="R14" s="42">
        <f t="shared" si="3"/>
        <v>19</v>
      </c>
      <c r="S14" s="30">
        <f t="shared" si="4"/>
        <v>684</v>
      </c>
      <c r="T14" s="30">
        <f t="shared" si="5"/>
        <v>1404</v>
      </c>
      <c r="U14" s="31">
        <f t="shared" si="6"/>
        <v>0.48717948717948717</v>
      </c>
    </row>
    <row r="15" spans="2:21" ht="15.75" customHeight="1" x14ac:dyDescent="0.25">
      <c r="B15" s="32" t="str">
        <f>'Data Entry'!A15</f>
        <v xml:space="preserve">10. Cases Transferred to Adult Court </v>
      </c>
      <c r="C15" s="33">
        <f>'Data Entry'!C15</f>
        <v>2</v>
      </c>
      <c r="D15" s="34">
        <f>IF(((AND(C69&gt;0,C15&gt;0))),((C15/(C69))),0)</f>
        <v>7.1428571428571423</v>
      </c>
      <c r="E15" s="33">
        <f>'Data Entry'!D15</f>
        <v>0</v>
      </c>
      <c r="F15" s="34">
        <f>IF(((AND($D$69&gt;0,$E$15&gt;0))),(($E$15/($D$69))),0)</f>
        <v>0</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0</v>
      </c>
      <c r="O15" s="42">
        <f>(D69*L69)-E15</f>
        <v>2</v>
      </c>
      <c r="P15" s="42">
        <f t="shared" si="2"/>
        <v>2</v>
      </c>
      <c r="Q15" s="42">
        <f>(C69*L69)-C15</f>
        <v>26.000000000000004</v>
      </c>
      <c r="R15" s="42">
        <f t="shared" si="3"/>
        <v>30.000000000000004</v>
      </c>
      <c r="S15" s="30">
        <f t="shared" si="4"/>
        <v>480.00000000000006</v>
      </c>
      <c r="T15" s="30">
        <f t="shared" si="5"/>
        <v>3136.0000000000009</v>
      </c>
      <c r="U15" s="31">
        <f t="shared" si="6"/>
        <v>0.15306122448979589</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2.9710000000000001</v>
      </c>
      <c r="D42" s="56">
        <f>E6/1000</f>
        <v>6.6000000000000003E-2</v>
      </c>
      <c r="E42" s="56">
        <f>MAX(C42:D42)</f>
        <v>2.9710000000000001</v>
      </c>
      <c r="G42" s="1" t="str">
        <f>B42</f>
        <v>per 1000 youth</v>
      </c>
      <c r="L42" s="57">
        <v>1000</v>
      </c>
      <c r="M42" s="57"/>
      <c r="R42" s="49"/>
    </row>
    <row r="43" spans="2:18" ht="15" hidden="1" customHeight="1" x14ac:dyDescent="0.25">
      <c r="B43" s="49" t="s">
        <v>87</v>
      </c>
      <c r="C43" s="56">
        <f>C7/100</f>
        <v>0.43</v>
      </c>
      <c r="D43" s="56">
        <f>E7/100</f>
        <v>7.0000000000000007E-2</v>
      </c>
      <c r="E43" s="56">
        <f>MAX(C43:D43,0)</f>
        <v>0.43</v>
      </c>
      <c r="G43" s="1" t="str">
        <f>B43</f>
        <v>per 100 arrests</v>
      </c>
      <c r="L43" s="57">
        <v>100</v>
      </c>
      <c r="M43" s="57"/>
      <c r="R43" s="49"/>
    </row>
    <row r="44" spans="2:18" ht="15" hidden="1" customHeight="1" x14ac:dyDescent="0.25">
      <c r="B44" s="49" t="s">
        <v>88</v>
      </c>
      <c r="C44" s="56">
        <f>C8/100</f>
        <v>0.44</v>
      </c>
      <c r="D44" s="56">
        <f>E8/100</f>
        <v>0.04</v>
      </c>
      <c r="E44" s="56">
        <f>MAX(C44:D44,0)</f>
        <v>0.44</v>
      </c>
      <c r="G44" s="1" t="str">
        <f>B44</f>
        <v>per 100 referrals</v>
      </c>
      <c r="L44" s="57">
        <v>100</v>
      </c>
      <c r="M44" s="57"/>
      <c r="R44" s="49"/>
    </row>
    <row r="45" spans="2:18" ht="15" hidden="1" customHeight="1" x14ac:dyDescent="0.25">
      <c r="B45" s="49" t="s">
        <v>89</v>
      </c>
      <c r="C45" s="49">
        <f>C11/100</f>
        <v>0.28000000000000003</v>
      </c>
      <c r="D45" s="49">
        <f>E11/100</f>
        <v>0.02</v>
      </c>
      <c r="E45" s="56">
        <f>MAX(C45:D45,0)</f>
        <v>0.28000000000000003</v>
      </c>
      <c r="G45" s="1" t="str">
        <f>B45</f>
        <v>per 100 youth petitioned</v>
      </c>
      <c r="L45" s="57">
        <v>100</v>
      </c>
      <c r="M45" s="57"/>
      <c r="R45" s="49"/>
    </row>
    <row r="46" spans="2:18" ht="15" hidden="1" customHeight="1" x14ac:dyDescent="0.25">
      <c r="B46" s="49" t="s">
        <v>90</v>
      </c>
      <c r="C46" s="49">
        <f>C12/100</f>
        <v>0.18</v>
      </c>
      <c r="D46" s="49">
        <f>E12/100</f>
        <v>0.01</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2.9710000000000001</v>
      </c>
      <c r="D48" s="56">
        <f>D42</f>
        <v>6.6000000000000003E-2</v>
      </c>
      <c r="E48" s="56">
        <f>MAX(C48:D48)</f>
        <v>2.9710000000000001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0.43</v>
      </c>
      <c r="D49" s="49">
        <f t="shared" si="9"/>
        <v>7.0000000000000007E-2</v>
      </c>
      <c r="E49" s="49">
        <f>MAX(C49:D49)</f>
        <v>0.43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0.04</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0.02</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0.01</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2.9710000000000001</v>
      </c>
      <c r="D54" s="56">
        <f>D48</f>
        <v>6.6000000000000003E-2</v>
      </c>
      <c r="E54" s="56">
        <f>MAX(C54:D54)</f>
        <v>2.9710000000000001</v>
      </c>
      <c r="G54" s="1" t="str">
        <f>G48</f>
        <v>per 1000 youth</v>
      </c>
      <c r="L54" s="58">
        <f>L48</f>
        <v>1000</v>
      </c>
      <c r="M54" s="58"/>
    </row>
    <row r="55" spans="2:18" ht="15" hidden="1" customHeight="1" x14ac:dyDescent="0.25">
      <c r="B55" s="49" t="str">
        <f t="shared" ref="B55:D56" si="10">IF(($E49&gt;0),B49,B48)</f>
        <v>per 100 arrests</v>
      </c>
      <c r="C55" s="49">
        <f t="shared" si="10"/>
        <v>0.43</v>
      </c>
      <c r="D55" s="49">
        <f t="shared" si="10"/>
        <v>7.0000000000000007E-2</v>
      </c>
      <c r="E55" s="49">
        <f>MAX(C55:D55)</f>
        <v>0.43</v>
      </c>
      <c r="G55" s="1" t="str">
        <f>G49</f>
        <v>per 100 arrests</v>
      </c>
      <c r="L55" s="58">
        <f>IF(($E49&gt;0),L49,L48)</f>
        <v>100</v>
      </c>
      <c r="M55" s="58"/>
    </row>
    <row r="56" spans="2:18" ht="15" hidden="1" customHeight="1" x14ac:dyDescent="0.25">
      <c r="B56" s="49" t="str">
        <f t="shared" si="10"/>
        <v>per 100 referrals</v>
      </c>
      <c r="C56" s="49">
        <f t="shared" si="10"/>
        <v>0.44</v>
      </c>
      <c r="D56" s="49">
        <f t="shared" si="10"/>
        <v>0.04</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0.02</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0.01</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2.9710000000000001</v>
      </c>
      <c r="D60" s="56">
        <f>D54</f>
        <v>6.6000000000000003E-2</v>
      </c>
      <c r="E60" s="56">
        <f>MAX(C60:D60)</f>
        <v>2.9710000000000001</v>
      </c>
      <c r="G60" s="1" t="str">
        <f>G54</f>
        <v>per 1000 youth</v>
      </c>
      <c r="L60" s="58">
        <f>L54</f>
        <v>1000</v>
      </c>
      <c r="M60" s="58"/>
    </row>
    <row r="61" spans="2:18" ht="15" hidden="1" customHeight="1" x14ac:dyDescent="0.25">
      <c r="B61" s="49" t="str">
        <f t="shared" ref="B61:D62" si="11">IF(($E55&gt;0),B55,B54)</f>
        <v>per 100 arrests</v>
      </c>
      <c r="C61" s="49">
        <f t="shared" si="11"/>
        <v>0.43</v>
      </c>
      <c r="D61" s="49">
        <f t="shared" si="11"/>
        <v>7.0000000000000007E-2</v>
      </c>
      <c r="E61" s="49">
        <f>MAX(C61:D61)</f>
        <v>0.43</v>
      </c>
      <c r="G61" s="1" t="str">
        <f>G55</f>
        <v>per 100 arrests</v>
      </c>
      <c r="L61" s="58">
        <f>IF(($E55&gt;0),L55,L54)</f>
        <v>100</v>
      </c>
      <c r="M61" s="58"/>
    </row>
    <row r="62" spans="2:18" ht="15" hidden="1" customHeight="1" x14ac:dyDescent="0.25">
      <c r="B62" s="49" t="str">
        <f t="shared" si="11"/>
        <v>per 100 referrals</v>
      </c>
      <c r="C62" s="49">
        <f t="shared" si="11"/>
        <v>0.44</v>
      </c>
      <c r="D62" s="49">
        <f t="shared" si="11"/>
        <v>0.04</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0.02</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0.01</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2.9710000000000001</v>
      </c>
      <c r="D66" s="56">
        <f>D60</f>
        <v>6.6000000000000003E-2</v>
      </c>
      <c r="E66" s="56">
        <f>MAX(C66:D66)</f>
        <v>2.9710000000000001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0.43</v>
      </c>
      <c r="D67" s="49">
        <f t="shared" si="12"/>
        <v>7.0000000000000007E-2</v>
      </c>
      <c r="E67" s="49">
        <f>MAX(C67:D67)</f>
        <v>0.43</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0.04</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0.02</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0.01</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Wexford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2971</v>
      </c>
      <c r="D6" s="34"/>
      <c r="E6" s="33">
        <f>'Data Entry'!F6</f>
        <v>25</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43</v>
      </c>
      <c r="D7" s="34">
        <f>IF((AND(C66&gt;0,C7&gt;0)),(C7/C66),0)</f>
        <v>14.47324133288455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25</v>
      </c>
      <c r="P7" s="42">
        <f t="shared" ref="P7:P15" si="4">C7</f>
        <v>43</v>
      </c>
      <c r="Q7" s="42">
        <f>C6-C7</f>
        <v>2928</v>
      </c>
      <c r="R7" s="42">
        <f t="shared" ref="R7:R15" si="5">SUM(N7:Q7)</f>
        <v>2996</v>
      </c>
      <c r="S7" s="30">
        <f t="shared" ref="S7:S15" si="6">R7*((((N7*Q7)-(O7*P7))^2))</f>
        <v>3462252500</v>
      </c>
      <c r="T7" s="30">
        <f t="shared" ref="T7:T15" si="7">(N7+O7)*(P7+Q7)*(N7+P7)*(O7+Q7)</f>
        <v>9431365225</v>
      </c>
      <c r="U7" s="31">
        <f t="shared" ref="U7:U15" si="8">IF((S7&gt;0),S7/T7,"- -")</f>
        <v>0.36709982249680084</v>
      </c>
    </row>
    <row r="8" spans="2:21" ht="18" customHeight="1" x14ac:dyDescent="0.25">
      <c r="B8" s="32" t="str">
        <f>'Data Entry'!A8</f>
        <v>3. Refer to Juvenile Court</v>
      </c>
      <c r="C8" s="33">
        <f>'Data Entry'!C8</f>
        <v>44</v>
      </c>
      <c r="D8" s="34">
        <f>IF((AND(C67&gt;0,C8&gt;0)),(C8/C67),0)</f>
        <v>102.32558139534883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44</v>
      </c>
      <c r="Q8" s="42">
        <f>(C$67*L67)-C8</f>
        <v>-1</v>
      </c>
      <c r="R8" s="42">
        <f t="shared" si="5"/>
        <v>43.05</v>
      </c>
      <c r="S8" s="30">
        <f t="shared" si="6"/>
        <v>208.36200000000002</v>
      </c>
      <c r="T8" s="30">
        <f t="shared" si="7"/>
        <v>-89.86999999999999</v>
      </c>
      <c r="U8" s="31">
        <f t="shared" si="8"/>
        <v>-2.3184822521419832</v>
      </c>
    </row>
    <row r="9" spans="2:21" ht="18" customHeight="1" x14ac:dyDescent="0.25">
      <c r="B9" s="32" t="str">
        <f>'Data Entry'!A9</f>
        <v xml:space="preserve">4. Cases Diverted </v>
      </c>
      <c r="C9" s="33">
        <f>'Data Entry'!C9</f>
        <v>7</v>
      </c>
      <c r="D9" s="34">
        <f>IF((AND(C68&gt;0,C9&gt;0)),((C9/C68)),0)</f>
        <v>15.909090909090908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37</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63.636363636363633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16</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18</v>
      </c>
      <c r="D12" s="34">
        <f>IF(((AND(C69&gt;0,C12&gt;0))),(C12/(C69)),0)</f>
        <v>64.285714285714278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10.000000000000004</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31</v>
      </c>
      <c r="D13" s="34">
        <f>IF(((AND(C70&gt;0,C13&gt;0))),(C13/(C70)),0)</f>
        <v>172.22222222222223</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-13</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33.333333333333336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12</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2</v>
      </c>
      <c r="D15" s="34">
        <f>IF(((AND(C69&gt;0,C15&gt;0))),((C15/(C69))),0)</f>
        <v>7.1428571428571423</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2</v>
      </c>
      <c r="Q15" s="42">
        <f>(C69*L69)-C15</f>
        <v>26.000000000000004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2.9710000000000001</v>
      </c>
      <c r="D42" s="56">
        <f>E6/1000</f>
        <v>2.5000000000000001E-2</v>
      </c>
      <c r="E42" s="56">
        <f>MAX(C42:D42)</f>
        <v>2.9710000000000001</v>
      </c>
      <c r="G42" s="1" t="str">
        <f>B42</f>
        <v>per 1000 youth</v>
      </c>
      <c r="L42" s="57">
        <v>1000</v>
      </c>
      <c r="M42" s="57"/>
      <c r="R42" s="49"/>
    </row>
    <row r="43" spans="2:18" ht="15" hidden="1" customHeight="1" x14ac:dyDescent="0.25">
      <c r="B43" s="49" t="s">
        <v>87</v>
      </c>
      <c r="C43" s="56">
        <f>C7/100</f>
        <v>0.43</v>
      </c>
      <c r="D43" s="56">
        <f>E7/100</f>
        <v>0</v>
      </c>
      <c r="E43" s="56">
        <f>MAX(C43:D43,0)</f>
        <v>0.43</v>
      </c>
      <c r="G43" s="1" t="str">
        <f>B43</f>
        <v>per 100 arrests</v>
      </c>
      <c r="L43" s="57">
        <v>100</v>
      </c>
      <c r="M43" s="57"/>
      <c r="R43" s="49"/>
    </row>
    <row r="44" spans="2:18" ht="15" hidden="1" customHeight="1" x14ac:dyDescent="0.25">
      <c r="B44" s="49" t="s">
        <v>88</v>
      </c>
      <c r="C44" s="56">
        <f>C8/100</f>
        <v>0.44</v>
      </c>
      <c r="D44" s="56">
        <f>E8/100</f>
        <v>0</v>
      </c>
      <c r="E44" s="56">
        <f>MAX(C44:D44,0)</f>
        <v>0.44</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0.18</v>
      </c>
      <c r="D46" s="49">
        <f>E12/100</f>
        <v>0</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2.9710000000000001</v>
      </c>
      <c r="D48" s="56">
        <f>D42</f>
        <v>2.5000000000000001E-2</v>
      </c>
      <c r="E48" s="56">
        <f>MAX(C48:D48)</f>
        <v>2.9710000000000001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0.43</v>
      </c>
      <c r="D49" s="49">
        <f t="shared" si="9"/>
        <v>0</v>
      </c>
      <c r="E49" s="49">
        <f>MAX(C49:D49)</f>
        <v>0.43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2.9710000000000001</v>
      </c>
      <c r="D54" s="56">
        <f>D48</f>
        <v>2.5000000000000001E-2</v>
      </c>
      <c r="E54" s="56">
        <f>MAX(C54:D54)</f>
        <v>2.9710000000000001</v>
      </c>
      <c r="G54" s="1" t="str">
        <f>G48</f>
        <v>per 1000 youth</v>
      </c>
      <c r="L54" s="58">
        <f>L48</f>
        <v>1000</v>
      </c>
      <c r="M54" s="58"/>
    </row>
    <row r="55" spans="2:18" ht="15" hidden="1" customHeight="1" x14ac:dyDescent="0.25">
      <c r="B55" s="49" t="str">
        <f t="shared" ref="B55:D56" si="10">IF(($E49&gt;0),B49,B48)</f>
        <v>per 100 arrests</v>
      </c>
      <c r="C55" s="49">
        <f t="shared" si="10"/>
        <v>0.43</v>
      </c>
      <c r="D55" s="49">
        <f t="shared" si="10"/>
        <v>0</v>
      </c>
      <c r="E55" s="49">
        <f>MAX(C55:D55)</f>
        <v>0.43</v>
      </c>
      <c r="G55" s="1" t="str">
        <f>G49</f>
        <v>per 100 arrests</v>
      </c>
      <c r="L55" s="58">
        <f>IF(($E49&gt;0),L49,L48)</f>
        <v>100</v>
      </c>
      <c r="M55" s="58"/>
    </row>
    <row r="56" spans="2:18" ht="15" hidden="1" customHeight="1" x14ac:dyDescent="0.25">
      <c r="B56" s="49" t="str">
        <f t="shared" si="10"/>
        <v>per 100 referrals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2.9710000000000001</v>
      </c>
      <c r="D60" s="56">
        <f>D54</f>
        <v>2.5000000000000001E-2</v>
      </c>
      <c r="E60" s="56">
        <f>MAX(C60:D60)</f>
        <v>2.9710000000000001</v>
      </c>
      <c r="G60" s="1" t="str">
        <f>G54</f>
        <v>per 1000 youth</v>
      </c>
      <c r="L60" s="58">
        <f>L54</f>
        <v>1000</v>
      </c>
      <c r="M60" s="58"/>
    </row>
    <row r="61" spans="2:18" ht="15" hidden="1" customHeight="1" x14ac:dyDescent="0.25">
      <c r="B61" s="49" t="str">
        <f t="shared" ref="B61:D62" si="11">IF(($E55&gt;0),B55,B54)</f>
        <v>per 100 arrests</v>
      </c>
      <c r="C61" s="49">
        <f t="shared" si="11"/>
        <v>0.43</v>
      </c>
      <c r="D61" s="49">
        <f t="shared" si="11"/>
        <v>0</v>
      </c>
      <c r="E61" s="49">
        <f>MAX(C61:D61)</f>
        <v>0.43</v>
      </c>
      <c r="G61" s="1" t="str">
        <f>G55</f>
        <v>per 100 arrests</v>
      </c>
      <c r="L61" s="58">
        <f>IF(($E55&gt;0),L55,L54)</f>
        <v>100</v>
      </c>
      <c r="M61" s="58"/>
    </row>
    <row r="62" spans="2:18" ht="15" hidden="1" customHeight="1" x14ac:dyDescent="0.25">
      <c r="B62" s="49" t="str">
        <f t="shared" si="11"/>
        <v>per 100 referrals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2.9710000000000001</v>
      </c>
      <c r="D66" s="56">
        <f>D60</f>
        <v>2.5000000000000001E-2</v>
      </c>
      <c r="E66" s="56">
        <f>MAX(C66:D66)</f>
        <v>2.9710000000000001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0.43</v>
      </c>
      <c r="D67" s="49">
        <f t="shared" si="12"/>
        <v>0</v>
      </c>
      <c r="E67" s="49">
        <f>MAX(C67:D67)</f>
        <v>0.43</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Wexford</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2971</v>
      </c>
      <c r="D6" s="34"/>
      <c r="E6" s="33">
        <f>'Data Entry'!E6</f>
        <v>90</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43</v>
      </c>
      <c r="D7" s="34">
        <f>IF((AND(C66&gt;0,C7&gt;0)),(C7/C66),0)</f>
        <v>14.47324133288455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90</v>
      </c>
      <c r="P7" s="42">
        <f t="shared" ref="P7:P15" si="4">C7</f>
        <v>43</v>
      </c>
      <c r="Q7" s="42">
        <f>C6-C7</f>
        <v>2928</v>
      </c>
      <c r="R7" s="42">
        <f t="shared" ref="R7:R15" si="5">SUM(N7:Q7)</f>
        <v>3061</v>
      </c>
      <c r="S7" s="30">
        <f t="shared" ref="S7:S15" si="6">R7*((((N7*Q7)-(O7*P7))^2))</f>
        <v>45844290900</v>
      </c>
      <c r="T7" s="30">
        <f t="shared" ref="T7:T15" si="7">(N7+O7)*(P7+Q7)*(N7+P7)*(O7+Q7)</f>
        <v>34700269860</v>
      </c>
      <c r="U7" s="31">
        <f t="shared" ref="U7:U15" si="8">IF((S7&gt;0),S7/T7,"- -")</f>
        <v>1.3211508465196702</v>
      </c>
    </row>
    <row r="8" spans="2:21" ht="18" customHeight="1" x14ac:dyDescent="0.25">
      <c r="B8" s="32" t="str">
        <f>'Data Entry'!A8</f>
        <v>3. Refer to Juvenile Court</v>
      </c>
      <c r="C8" s="33">
        <f>'Data Entry'!C8</f>
        <v>44</v>
      </c>
      <c r="D8" s="34">
        <f>IF((AND(C67&gt;0,C8&gt;0)),(C8/C67),0)</f>
        <v>102.32558139534883</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44</v>
      </c>
      <c r="Q8" s="42">
        <f>(C$67*L67)-C8</f>
        <v>-1</v>
      </c>
      <c r="R8" s="42">
        <f t="shared" si="5"/>
        <v>43.05</v>
      </c>
      <c r="S8" s="30">
        <f t="shared" si="6"/>
        <v>208.36200000000002</v>
      </c>
      <c r="T8" s="30">
        <f t="shared" si="7"/>
        <v>-89.86999999999999</v>
      </c>
      <c r="U8" s="31">
        <f t="shared" si="8"/>
        <v>-2.3184822521419832</v>
      </c>
    </row>
    <row r="9" spans="2:21" ht="18" customHeight="1" x14ac:dyDescent="0.25">
      <c r="B9" s="32" t="str">
        <f>'Data Entry'!A9</f>
        <v xml:space="preserve">4. Cases Diverted </v>
      </c>
      <c r="C9" s="33">
        <f>'Data Entry'!C9</f>
        <v>7</v>
      </c>
      <c r="D9" s="34">
        <f>IF((AND(C68&gt;0,C9&gt;0)),((C9/C68)),0)</f>
        <v>15.909090909090908</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37</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63.636363636363633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16</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18</v>
      </c>
      <c r="D12" s="34">
        <f>IF(((AND(C69&gt;0,C12&gt;0))),(C12/(C69)),0)</f>
        <v>64.285714285714278</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10.000000000000004</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31</v>
      </c>
      <c r="D13" s="34">
        <f>IF(((AND(C70&gt;0,C13&gt;0))),(C13/(C70)),0)</f>
        <v>172.22222222222223</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-13</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33.333333333333336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12</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2</v>
      </c>
      <c r="D15" s="34">
        <f>IF(((AND(C69&gt;0,C15&gt;0))),((C15/(C69))),0)</f>
        <v>7.1428571428571423</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2</v>
      </c>
      <c r="Q15" s="42">
        <f>(C69*L69)-C15</f>
        <v>26.000000000000004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2.9710000000000001</v>
      </c>
      <c r="D42" s="56">
        <f>E6/1000</f>
        <v>0.09</v>
      </c>
      <c r="E42" s="56">
        <f>MAX(C42:D42)</f>
        <v>2.9710000000000001</v>
      </c>
      <c r="G42" s="1" t="str">
        <f>B42</f>
        <v>per 1000 youth</v>
      </c>
      <c r="L42" s="57">
        <v>1000</v>
      </c>
      <c r="M42" s="57"/>
      <c r="R42" s="49"/>
    </row>
    <row r="43" spans="2:18" ht="15" hidden="1" customHeight="1" x14ac:dyDescent="0.25">
      <c r="B43" s="49" t="s">
        <v>87</v>
      </c>
      <c r="C43" s="56">
        <f>C7/100</f>
        <v>0.43</v>
      </c>
      <c r="D43" s="56">
        <f>E7/100</f>
        <v>0</v>
      </c>
      <c r="E43" s="56">
        <f>MAX(C43:D43,0)</f>
        <v>0.43</v>
      </c>
      <c r="G43" s="1" t="str">
        <f>B43</f>
        <v>per 100 arrests</v>
      </c>
      <c r="L43" s="57">
        <v>100</v>
      </c>
      <c r="M43" s="57"/>
      <c r="R43" s="49"/>
    </row>
    <row r="44" spans="2:18" ht="15" hidden="1" customHeight="1" x14ac:dyDescent="0.25">
      <c r="B44" s="49" t="s">
        <v>88</v>
      </c>
      <c r="C44" s="56">
        <f>C8/100</f>
        <v>0.44</v>
      </c>
      <c r="D44" s="56">
        <f>E8/100</f>
        <v>0</v>
      </c>
      <c r="E44" s="56">
        <f>MAX(C44:D44,0)</f>
        <v>0.44</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0.18</v>
      </c>
      <c r="D46" s="49">
        <f>E12/100</f>
        <v>0</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2.9710000000000001</v>
      </c>
      <c r="D48" s="56">
        <f>D42</f>
        <v>0.09</v>
      </c>
      <c r="E48" s="56">
        <f>MAX(C48:D48)</f>
        <v>2.9710000000000001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0.43</v>
      </c>
      <c r="D49" s="49">
        <f t="shared" si="9"/>
        <v>0</v>
      </c>
      <c r="E49" s="49">
        <f>MAX(C49:D49)</f>
        <v>0.43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2.9710000000000001</v>
      </c>
      <c r="D54" s="56">
        <f>D48</f>
        <v>0.09</v>
      </c>
      <c r="E54" s="56">
        <f>MAX(C54:D54)</f>
        <v>2.9710000000000001</v>
      </c>
      <c r="G54" s="1" t="str">
        <f>G48</f>
        <v>per 1000 youth</v>
      </c>
      <c r="L54" s="58">
        <f>L48</f>
        <v>1000</v>
      </c>
      <c r="M54" s="58"/>
    </row>
    <row r="55" spans="2:18" ht="15" hidden="1" customHeight="1" x14ac:dyDescent="0.25">
      <c r="B55" s="49" t="str">
        <f t="shared" ref="B55:D56" si="10">IF(($E49&gt;0),B49,B48)</f>
        <v>per 100 arrests</v>
      </c>
      <c r="C55" s="49">
        <f t="shared" si="10"/>
        <v>0.43</v>
      </c>
      <c r="D55" s="49">
        <f t="shared" si="10"/>
        <v>0</v>
      </c>
      <c r="E55" s="49">
        <f>MAX(C55:D55)</f>
        <v>0.43</v>
      </c>
      <c r="G55" s="1" t="str">
        <f>G49</f>
        <v>per 100 arrests</v>
      </c>
      <c r="L55" s="58">
        <f>IF(($E49&gt;0),L49,L48)</f>
        <v>100</v>
      </c>
      <c r="M55" s="58"/>
    </row>
    <row r="56" spans="2:18" ht="15" hidden="1" customHeight="1" x14ac:dyDescent="0.25">
      <c r="B56" s="49" t="str">
        <f t="shared" si="10"/>
        <v>per 100 referrals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2.9710000000000001</v>
      </c>
      <c r="D60" s="56">
        <f>D54</f>
        <v>0.09</v>
      </c>
      <c r="E60" s="56">
        <f>MAX(C60:D60)</f>
        <v>2.9710000000000001</v>
      </c>
      <c r="G60" s="1" t="str">
        <f>G54</f>
        <v>per 1000 youth</v>
      </c>
      <c r="L60" s="58">
        <f>L54</f>
        <v>1000</v>
      </c>
      <c r="M60" s="58"/>
    </row>
    <row r="61" spans="2:18" ht="15" hidden="1" customHeight="1" x14ac:dyDescent="0.25">
      <c r="B61" s="49" t="str">
        <f t="shared" ref="B61:D62" si="11">IF(($E55&gt;0),B55,B54)</f>
        <v>per 100 arrests</v>
      </c>
      <c r="C61" s="49">
        <f t="shared" si="11"/>
        <v>0.43</v>
      </c>
      <c r="D61" s="49">
        <f t="shared" si="11"/>
        <v>0</v>
      </c>
      <c r="E61" s="49">
        <f>MAX(C61:D61)</f>
        <v>0.43</v>
      </c>
      <c r="G61" s="1" t="str">
        <f>G55</f>
        <v>per 100 arrests</v>
      </c>
      <c r="L61" s="58">
        <f>IF(($E55&gt;0),L55,L54)</f>
        <v>100</v>
      </c>
      <c r="M61" s="58"/>
    </row>
    <row r="62" spans="2:18" ht="15" hidden="1" customHeight="1" x14ac:dyDescent="0.25">
      <c r="B62" s="49" t="str">
        <f t="shared" si="11"/>
        <v>per 100 referrals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2.9710000000000001</v>
      </c>
      <c r="D66" s="56">
        <f>D60</f>
        <v>0.09</v>
      </c>
      <c r="E66" s="56">
        <f>MAX(C66:D66)</f>
        <v>2.9710000000000001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0.43</v>
      </c>
      <c r="D67" s="49">
        <f t="shared" si="12"/>
        <v>0</v>
      </c>
      <c r="E67" s="49">
        <f>MAX(C67:D67)</f>
        <v>0.43</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Wexford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2971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43</v>
      </c>
      <c r="D7" s="34">
        <f>IF((AND(C66&gt;0,C7&gt;0)),(C7/C66),0)</f>
        <v>14.47324133288455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43</v>
      </c>
      <c r="Q7" s="42">
        <f>C6-C7</f>
        <v>2928</v>
      </c>
      <c r="R7" s="42">
        <f t="shared" ref="R7:R15" si="5">SUM(N7:Q7)</f>
        <v>2971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44</v>
      </c>
      <c r="D8" s="34">
        <f>IF((AND(C67&gt;0,C8&gt;0)),(C8/C67),0)</f>
        <v>102.32558139534883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44</v>
      </c>
      <c r="Q8" s="42">
        <f>(C$67*L67)-C8</f>
        <v>-1</v>
      </c>
      <c r="R8" s="42">
        <f t="shared" si="5"/>
        <v>43.05</v>
      </c>
      <c r="S8" s="30">
        <f t="shared" si="6"/>
        <v>208.36200000000002</v>
      </c>
      <c r="T8" s="30">
        <f t="shared" si="7"/>
        <v>-89.86999999999999</v>
      </c>
      <c r="U8" s="31">
        <f t="shared" si="8"/>
        <v>-2.3184822521419832</v>
      </c>
    </row>
    <row r="9" spans="2:21" ht="18" customHeight="1" x14ac:dyDescent="0.25">
      <c r="B9" s="32" t="str">
        <f>'Data Entry'!A9</f>
        <v xml:space="preserve">4. Cases Diverted </v>
      </c>
      <c r="C9" s="33">
        <f>'Data Entry'!C9</f>
        <v>7</v>
      </c>
      <c r="D9" s="34">
        <f>IF((AND(C68&gt;0,C9&gt;0)),((C9/C68)),0)</f>
        <v>15.909090909090908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37</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63.636363636363633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16</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18</v>
      </c>
      <c r="D12" s="34">
        <f>IF(((AND(C69&gt;0,C12&gt;0))),(C12/(C69)),0)</f>
        <v>64.285714285714278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10.000000000000004</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31</v>
      </c>
      <c r="D13" s="34">
        <f>IF(((AND(C70&gt;0,C13&gt;0))),(C13/(C70)),0)</f>
        <v>172.22222222222223</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-13</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33.333333333333336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12</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2</v>
      </c>
      <c r="D15" s="34">
        <f>IF(((AND(C69&gt;0,C15&gt;0))),((C15/(C69))),0)</f>
        <v>7.1428571428571423</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2</v>
      </c>
      <c r="Q15" s="42">
        <f>(C69*L69)-C15</f>
        <v>26.000000000000004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2.9710000000000001</v>
      </c>
      <c r="D42" s="56">
        <f>E6/1000</f>
        <v>0</v>
      </c>
      <c r="E42" s="56">
        <f>MAX(C42:D42)</f>
        <v>2.9710000000000001</v>
      </c>
      <c r="G42" s="1" t="str">
        <f>B42</f>
        <v>per 1000 youth</v>
      </c>
      <c r="L42" s="57">
        <v>1000</v>
      </c>
      <c r="M42" s="57"/>
      <c r="R42" s="49"/>
    </row>
    <row r="43" spans="2:18" ht="15" hidden="1" customHeight="1" x14ac:dyDescent="0.25">
      <c r="B43" s="49" t="s">
        <v>87</v>
      </c>
      <c r="C43" s="56">
        <f>C7/100</f>
        <v>0.43</v>
      </c>
      <c r="D43" s="56">
        <f>E7/100</f>
        <v>0</v>
      </c>
      <c r="E43" s="56">
        <f>MAX(C43:D43,0)</f>
        <v>0.43</v>
      </c>
      <c r="G43" s="1" t="str">
        <f>B43</f>
        <v>per 100 arrests</v>
      </c>
      <c r="L43" s="57">
        <v>100</v>
      </c>
      <c r="M43" s="57"/>
      <c r="R43" s="49"/>
    </row>
    <row r="44" spans="2:18" ht="15" hidden="1" customHeight="1" x14ac:dyDescent="0.25">
      <c r="B44" s="49" t="s">
        <v>88</v>
      </c>
      <c r="C44" s="56">
        <f>C8/100</f>
        <v>0.44</v>
      </c>
      <c r="D44" s="56">
        <f>E8/100</f>
        <v>0</v>
      </c>
      <c r="E44" s="56">
        <f>MAX(C44:D44,0)</f>
        <v>0.44</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0.18</v>
      </c>
      <c r="D46" s="49">
        <f>E12/100</f>
        <v>0</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2.9710000000000001</v>
      </c>
      <c r="D48" s="56">
        <f>D42</f>
        <v>0</v>
      </c>
      <c r="E48" s="56">
        <f>MAX(C48:D48)</f>
        <v>2.9710000000000001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0.43</v>
      </c>
      <c r="D49" s="49">
        <f t="shared" si="9"/>
        <v>0</v>
      </c>
      <c r="E49" s="49">
        <f>MAX(C49:D49)</f>
        <v>0.43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2.9710000000000001</v>
      </c>
      <c r="D54" s="56">
        <f>D48</f>
        <v>0</v>
      </c>
      <c r="E54" s="56">
        <f>MAX(C54:D54)</f>
        <v>2.9710000000000001</v>
      </c>
      <c r="G54" s="1" t="str">
        <f>G48</f>
        <v>per 1000 youth</v>
      </c>
      <c r="L54" s="58">
        <f>L48</f>
        <v>1000</v>
      </c>
      <c r="M54" s="58"/>
    </row>
    <row r="55" spans="2:18" ht="15" hidden="1" customHeight="1" x14ac:dyDescent="0.25">
      <c r="B55" s="49" t="str">
        <f t="shared" ref="B55:D56" si="10">IF(($E49&gt;0),B49,B48)</f>
        <v>per 100 arrests</v>
      </c>
      <c r="C55" s="49">
        <f t="shared" si="10"/>
        <v>0.43</v>
      </c>
      <c r="D55" s="49">
        <f t="shared" si="10"/>
        <v>0</v>
      </c>
      <c r="E55" s="49">
        <f>MAX(C55:D55)</f>
        <v>0.43</v>
      </c>
      <c r="G55" s="1" t="str">
        <f>G49</f>
        <v>per 100 arrests</v>
      </c>
      <c r="L55" s="58">
        <f>IF(($E49&gt;0),L49,L48)</f>
        <v>100</v>
      </c>
      <c r="M55" s="58"/>
    </row>
    <row r="56" spans="2:18" ht="15" hidden="1" customHeight="1" x14ac:dyDescent="0.25">
      <c r="B56" s="49" t="str">
        <f t="shared" si="10"/>
        <v>per 100 referrals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2.9710000000000001</v>
      </c>
      <c r="D60" s="56">
        <f>D54</f>
        <v>0</v>
      </c>
      <c r="E60" s="56">
        <f>MAX(C60:D60)</f>
        <v>2.9710000000000001</v>
      </c>
      <c r="G60" s="1" t="str">
        <f>G54</f>
        <v>per 1000 youth</v>
      </c>
      <c r="L60" s="58">
        <f>L54</f>
        <v>1000</v>
      </c>
      <c r="M60" s="58"/>
    </row>
    <row r="61" spans="2:18" ht="15" hidden="1" customHeight="1" x14ac:dyDescent="0.25">
      <c r="B61" s="49" t="str">
        <f t="shared" ref="B61:D62" si="11">IF(($E55&gt;0),B55,B54)</f>
        <v>per 100 arrests</v>
      </c>
      <c r="C61" s="49">
        <f t="shared" si="11"/>
        <v>0.43</v>
      </c>
      <c r="D61" s="49">
        <f t="shared" si="11"/>
        <v>0</v>
      </c>
      <c r="E61" s="49">
        <f>MAX(C61:D61)</f>
        <v>0.43</v>
      </c>
      <c r="G61" s="1" t="str">
        <f>G55</f>
        <v>per 100 arrests</v>
      </c>
      <c r="L61" s="58">
        <f>IF(($E55&gt;0),L55,L54)</f>
        <v>100</v>
      </c>
      <c r="M61" s="58"/>
    </row>
    <row r="62" spans="2:18" ht="15" hidden="1" customHeight="1" x14ac:dyDescent="0.25">
      <c r="B62" s="49" t="str">
        <f t="shared" si="11"/>
        <v>per 100 referrals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2.9710000000000001</v>
      </c>
      <c r="D66" s="56">
        <f>D60</f>
        <v>0</v>
      </c>
      <c r="E66" s="56">
        <f>MAX(C66:D66)</f>
        <v>2.9710000000000001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0.43</v>
      </c>
      <c r="D67" s="49">
        <f t="shared" si="12"/>
        <v>0</v>
      </c>
      <c r="E67" s="49">
        <f>MAX(C67:D67)</f>
        <v>0.43</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Wexford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2971</v>
      </c>
      <c r="D6" s="34"/>
      <c r="E6" s="33">
        <f>'Data Entry'!H6</f>
        <v>25</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43</v>
      </c>
      <c r="D7" s="34">
        <f>IF((AND(C66&gt;0,C7&gt;0)),(C7/C66),0)</f>
        <v>14.47324133288455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25</v>
      </c>
      <c r="P7" s="42">
        <f t="shared" ref="P7:P15" si="4">C7</f>
        <v>43</v>
      </c>
      <c r="Q7" s="42">
        <f>C6-C7</f>
        <v>2928</v>
      </c>
      <c r="R7" s="42">
        <f t="shared" ref="R7:R15" si="5">SUM(N7:Q7)</f>
        <v>2996</v>
      </c>
      <c r="S7" s="30">
        <f t="shared" ref="S7:S15" si="6">R7*((((N7*Q7)-(O7*P7))^2))</f>
        <v>3462252500</v>
      </c>
      <c r="T7" s="30">
        <f t="shared" ref="T7:T15" si="7">(N7+O7)*(P7+Q7)*(N7+P7)*(O7+Q7)</f>
        <v>9431365225</v>
      </c>
      <c r="U7" s="31">
        <f t="shared" ref="U7:U15" si="8">IF((S7&gt;0),S7/T7,"- -")</f>
        <v>0.36709982249680084</v>
      </c>
    </row>
    <row r="8" spans="2:21" ht="18" customHeight="1" x14ac:dyDescent="0.25">
      <c r="B8" s="32" t="str">
        <f>'Data Entry'!A8</f>
        <v>3. Refer to Juvenile Court</v>
      </c>
      <c r="C8" s="33">
        <f>'Data Entry'!C8</f>
        <v>44</v>
      </c>
      <c r="D8" s="34">
        <f>IF((AND(C67&gt;0,C8&gt;0)),(C8/C67),0)</f>
        <v>102.32558139534883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44</v>
      </c>
      <c r="Q8" s="42">
        <f>(C$67*L67)-C8</f>
        <v>-1</v>
      </c>
      <c r="R8" s="42">
        <f t="shared" si="5"/>
        <v>43.05</v>
      </c>
      <c r="S8" s="30">
        <f t="shared" si="6"/>
        <v>208.36200000000002</v>
      </c>
      <c r="T8" s="30">
        <f t="shared" si="7"/>
        <v>-89.86999999999999</v>
      </c>
      <c r="U8" s="31">
        <f t="shared" si="8"/>
        <v>-2.3184822521419832</v>
      </c>
    </row>
    <row r="9" spans="2:21" ht="18" customHeight="1" x14ac:dyDescent="0.25">
      <c r="B9" s="32" t="str">
        <f>'Data Entry'!A9</f>
        <v xml:space="preserve">4. Cases Diverted </v>
      </c>
      <c r="C9" s="33">
        <f>'Data Entry'!C9</f>
        <v>7</v>
      </c>
      <c r="D9" s="34">
        <f>IF((AND(C68&gt;0,C9&gt;0)),((C9/C68)),0)</f>
        <v>15.909090909090908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37</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63.636363636363633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16</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18</v>
      </c>
      <c r="D12" s="34">
        <f>IF(((AND(C69&gt;0,C12&gt;0))),(C12/(C69)),0)</f>
        <v>64.285714285714278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10.000000000000004</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31</v>
      </c>
      <c r="D13" s="34">
        <f>IF(((AND(C70&gt;0,C13&gt;0))),(C13/(C70)),0)</f>
        <v>172.22222222222223</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-13</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6</v>
      </c>
      <c r="D14" s="34">
        <f>IF(((AND(C70&gt;0,C14&gt;0))), ((C14/(C70))),0)</f>
        <v>33.333333333333336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12</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2</v>
      </c>
      <c r="D15" s="34">
        <f>IF(((AND(C69&gt;0,C15&gt;0))),((C15/(C69))),0)</f>
        <v>7.1428571428571423</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2</v>
      </c>
      <c r="Q15" s="42">
        <f>(C69*L69)-C15</f>
        <v>26.000000000000004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2.9710000000000001</v>
      </c>
      <c r="D42" s="56">
        <f>E6/1000</f>
        <v>2.5000000000000001E-2</v>
      </c>
      <c r="E42" s="56">
        <f>MAX(C42:D42)</f>
        <v>2.9710000000000001</v>
      </c>
      <c r="G42" s="1" t="str">
        <f>B42</f>
        <v>per 1000 youth</v>
      </c>
      <c r="L42" s="57">
        <v>1000</v>
      </c>
      <c r="M42" s="57"/>
      <c r="R42" s="49"/>
    </row>
    <row r="43" spans="2:18" ht="15" hidden="1" customHeight="1" x14ac:dyDescent="0.25">
      <c r="B43" s="49" t="s">
        <v>87</v>
      </c>
      <c r="C43" s="56">
        <f>C7/100</f>
        <v>0.43</v>
      </c>
      <c r="D43" s="56">
        <f>E7/100</f>
        <v>0</v>
      </c>
      <c r="E43" s="56">
        <f>MAX(C43:D43,0)</f>
        <v>0.43</v>
      </c>
      <c r="G43" s="1" t="str">
        <f>B43</f>
        <v>per 100 arrests</v>
      </c>
      <c r="L43" s="57">
        <v>100</v>
      </c>
      <c r="M43" s="57"/>
      <c r="R43" s="49"/>
    </row>
    <row r="44" spans="2:18" ht="15" hidden="1" customHeight="1" x14ac:dyDescent="0.25">
      <c r="B44" s="49" t="s">
        <v>88</v>
      </c>
      <c r="C44" s="56">
        <f>C8/100</f>
        <v>0.44</v>
      </c>
      <c r="D44" s="56">
        <f>E8/100</f>
        <v>0</v>
      </c>
      <c r="E44" s="56">
        <f>MAX(C44:D44,0)</f>
        <v>0.44</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0.18</v>
      </c>
      <c r="D46" s="49">
        <f>E12/100</f>
        <v>0</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2.9710000000000001</v>
      </c>
      <c r="D48" s="56">
        <f>D42</f>
        <v>2.5000000000000001E-2</v>
      </c>
      <c r="E48" s="56">
        <f>MAX(C48:D48)</f>
        <v>2.9710000000000001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0.43</v>
      </c>
      <c r="D49" s="49">
        <f t="shared" si="9"/>
        <v>0</v>
      </c>
      <c r="E49" s="49">
        <f>MAX(C49:D49)</f>
        <v>0.43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2.9710000000000001</v>
      </c>
      <c r="D54" s="56">
        <f>D48</f>
        <v>2.5000000000000001E-2</v>
      </c>
      <c r="E54" s="56">
        <f>MAX(C54:D54)</f>
        <v>2.9710000000000001</v>
      </c>
      <c r="G54" s="1" t="str">
        <f>G48</f>
        <v>per 1000 youth</v>
      </c>
      <c r="L54" s="58">
        <f>L48</f>
        <v>1000</v>
      </c>
      <c r="M54" s="58"/>
    </row>
    <row r="55" spans="2:18" ht="15" hidden="1" customHeight="1" x14ac:dyDescent="0.25">
      <c r="B55" s="49" t="str">
        <f t="shared" ref="B55:D56" si="10">IF(($E49&gt;0),B49,B48)</f>
        <v>per 100 arrests</v>
      </c>
      <c r="C55" s="49">
        <f t="shared" si="10"/>
        <v>0.43</v>
      </c>
      <c r="D55" s="49">
        <f t="shared" si="10"/>
        <v>0</v>
      </c>
      <c r="E55" s="49">
        <f>MAX(C55:D55)</f>
        <v>0.43</v>
      </c>
      <c r="G55" s="1" t="str">
        <f>G49</f>
        <v>per 100 arrests</v>
      </c>
      <c r="L55" s="58">
        <f>IF(($E49&gt;0),L49,L48)</f>
        <v>100</v>
      </c>
      <c r="M55" s="58"/>
    </row>
    <row r="56" spans="2:18" ht="15" hidden="1" customHeight="1" x14ac:dyDescent="0.25">
      <c r="B56" s="49" t="str">
        <f t="shared" si="10"/>
        <v>per 100 referrals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2.9710000000000001</v>
      </c>
      <c r="D60" s="56">
        <f>D54</f>
        <v>2.5000000000000001E-2</v>
      </c>
      <c r="E60" s="56">
        <f>MAX(C60:D60)</f>
        <v>2.9710000000000001</v>
      </c>
      <c r="G60" s="1" t="str">
        <f>G54</f>
        <v>per 1000 youth</v>
      </c>
      <c r="L60" s="58">
        <f>L54</f>
        <v>1000</v>
      </c>
      <c r="M60" s="58"/>
    </row>
    <row r="61" spans="2:18" ht="15" hidden="1" customHeight="1" x14ac:dyDescent="0.25">
      <c r="B61" s="49" t="str">
        <f t="shared" ref="B61:D62" si="11">IF(($E55&gt;0),B55,B54)</f>
        <v>per 100 arrests</v>
      </c>
      <c r="C61" s="49">
        <f t="shared" si="11"/>
        <v>0.43</v>
      </c>
      <c r="D61" s="49">
        <f t="shared" si="11"/>
        <v>0</v>
      </c>
      <c r="E61" s="49">
        <f>MAX(C61:D61)</f>
        <v>0.43</v>
      </c>
      <c r="G61" s="1" t="str">
        <f>G55</f>
        <v>per 100 arrests</v>
      </c>
      <c r="L61" s="58">
        <f>IF(($E55&gt;0),L55,L54)</f>
        <v>100</v>
      </c>
      <c r="M61" s="58"/>
    </row>
    <row r="62" spans="2:18" ht="15" hidden="1" customHeight="1" x14ac:dyDescent="0.25">
      <c r="B62" s="49" t="str">
        <f t="shared" si="11"/>
        <v>per 100 referrals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2.9710000000000001</v>
      </c>
      <c r="D66" s="56">
        <f>D60</f>
        <v>2.5000000000000001E-2</v>
      </c>
      <c r="E66" s="56">
        <f>MAX(C66:D66)</f>
        <v>2.9710000000000001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0.43</v>
      </c>
      <c r="D67" s="49">
        <f t="shared" si="12"/>
        <v>0</v>
      </c>
      <c r="E67" s="49">
        <f>MAX(C67:D67)</f>
        <v>0.43</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U47JMPN4QEAR-1806752177-30228</_dlc_DocId>
    <_dlc_DocIdUrl xmlns="ac3811b5-0f3e-49e2-ba69-f2ffa0c782af">
      <Url>https://michiganphi.sharepoint.com/sites/CMDMC/_layouts/15/DocIdRedir.aspx?ID=U47JMPN4QEAR-1806752177-30228</Url>
      <Description>U47JMPN4QEAR-1806752177-30228</Description>
    </_dlc_DocIdUrl>
  </documentManagement>
</p:properties>
</file>

<file path=customXml/itemProps1.xml><?xml version="1.0" encoding="utf-8"?>
<ds:datastoreItem xmlns:ds="http://schemas.openxmlformats.org/officeDocument/2006/customXml" ds:itemID="{43F00DB8-D1C1-466C-AE36-8C0B77DFEA81}"/>
</file>

<file path=customXml/itemProps2.xml><?xml version="1.0" encoding="utf-8"?>
<ds:datastoreItem xmlns:ds="http://schemas.openxmlformats.org/officeDocument/2006/customXml" ds:itemID="{0969F428-EC90-4027-B527-F75296A06C13}"/>
</file>

<file path=customXml/itemProps3.xml><?xml version="1.0" encoding="utf-8"?>
<ds:datastoreItem xmlns:ds="http://schemas.openxmlformats.org/officeDocument/2006/customXml" ds:itemID="{8690D47B-6DFF-468F-BB56-22A237634FD7}"/>
</file>

<file path=customXml/itemProps4.xml><?xml version="1.0" encoding="utf-8"?>
<ds:datastoreItem xmlns:ds="http://schemas.openxmlformats.org/officeDocument/2006/customXml" ds:itemID="{ADB693EB-3748-46B3-ACBE-9A3553C5A6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117233bb-13a4-4929-9388-470c6675c292</vt:lpwstr>
  </property>
</Properties>
</file>