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2EF0972F-B2BC-4EA0-B314-9E728F7EDDBD}" xr6:coauthVersionLast="47" xr6:coauthVersionMax="47" xr10:uidLastSave="{CC425D45-1714-460D-AB62-1E82E101423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50" i="7" s="1"/>
  <c r="G56" i="7" s="1"/>
  <c r="G62" i="7" s="1"/>
  <c r="G68" i="7" s="1"/>
  <c r="G45" i="7"/>
  <c r="G51" i="7"/>
  <c r="G57" i="7"/>
  <c r="G63" i="7" s="1"/>
  <c r="G69" i="7" s="1"/>
  <c r="G46" i="7"/>
  <c r="G52" i="7" s="1"/>
  <c r="G58" i="7" s="1"/>
  <c r="G64" i="7" s="1"/>
  <c r="G70" i="7" s="1"/>
  <c r="L48" i="7"/>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M66" i="6"/>
  <c r="F27" i="6"/>
  <c r="F27" i="4"/>
  <c r="M66" i="4"/>
  <c r="F27" i="2"/>
  <c r="M66" i="2"/>
  <c r="F27" i="5"/>
  <c r="M66" i="5"/>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3" i="7"/>
  <c r="E44" i="6"/>
  <c r="B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C50" i="6"/>
  <c r="E45" i="2"/>
  <c r="C51" i="2" s="1"/>
  <c r="D52" i="8"/>
  <c r="C52" i="6"/>
  <c r="E52" i="6" s="1"/>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B64" i="5" l="1"/>
  <c r="C64" i="5"/>
  <c r="E58" i="8"/>
  <c r="L64" i="5"/>
  <c r="D64" i="5"/>
  <c r="L64" i="3"/>
  <c r="L56" i="8"/>
  <c r="B56" i="8"/>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L64" i="8"/>
  <c r="C64" i="8"/>
  <c r="E64" i="5"/>
  <c r="D64" i="8"/>
  <c r="I7" i="9"/>
  <c r="E57" i="8"/>
  <c r="C63" i="8" s="1"/>
  <c r="C63" i="3"/>
  <c r="Q8" i="1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L70" i="5" s="1"/>
  <c r="F8" i="5"/>
  <c r="D63" i="8" l="1"/>
  <c r="E63" i="8" s="1"/>
  <c r="D69" i="8" s="1"/>
  <c r="E64" i="8"/>
  <c r="C70" i="5"/>
  <c r="D13" i="5" s="1"/>
  <c r="D70" i="5"/>
  <c r="F14" i="5" s="1"/>
  <c r="B63" i="8"/>
  <c r="L63" i="8"/>
  <c r="L70" i="6"/>
  <c r="D70" i="6"/>
  <c r="E63" i="3"/>
  <c r="C69" i="3" s="1"/>
  <c r="D15" i="3" s="1"/>
  <c r="C70" i="6"/>
  <c r="C70" i="3"/>
  <c r="D14" i="3" s="1"/>
  <c r="L70" i="3"/>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M70" i="5"/>
  <c r="Q13"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5" l="1"/>
  <c r="D14" i="5"/>
  <c r="Q14" i="5"/>
  <c r="R14" i="5" s="1"/>
  <c r="S14" i="5" s="1"/>
  <c r="U14" i="5" s="1"/>
  <c r="J14" i="5" s="1"/>
  <c r="M14" i="5" s="1"/>
  <c r="F13" i="5"/>
  <c r="B70" i="8"/>
  <c r="M70" i="8" s="1"/>
  <c r="E70" i="5"/>
  <c r="O13" i="6"/>
  <c r="L69" i="3"/>
  <c r="Q12" i="3" s="1"/>
  <c r="L70" i="8"/>
  <c r="O13" i="8" s="1"/>
  <c r="O13" i="5"/>
  <c r="T13" i="5" s="1"/>
  <c r="C70" i="8"/>
  <c r="Q14" i="6"/>
  <c r="D12" i="3"/>
  <c r="B69" i="6"/>
  <c r="M69" i="6" s="1"/>
  <c r="Q12" i="7"/>
  <c r="D13" i="6"/>
  <c r="D14" i="6"/>
  <c r="D69" i="3"/>
  <c r="E69" i="3" s="1"/>
  <c r="B69" i="3"/>
  <c r="M69" i="3" s="1"/>
  <c r="Q13" i="6"/>
  <c r="D15" i="7"/>
  <c r="Q15" i="7"/>
  <c r="D13" i="3"/>
  <c r="F14" i="3"/>
  <c r="C69" i="6"/>
  <c r="D12" i="6" s="1"/>
  <c r="O13" i="3"/>
  <c r="Q13" i="3"/>
  <c r="E70" i="6"/>
  <c r="O14" i="6"/>
  <c r="F14" i="6"/>
  <c r="Q14" i="3"/>
  <c r="E70" i="3"/>
  <c r="F13" i="6"/>
  <c r="E69" i="7"/>
  <c r="F12" i="7"/>
  <c r="O12" i="7"/>
  <c r="O15" i="7"/>
  <c r="O14" i="3"/>
  <c r="D69" i="6"/>
  <c r="F12" i="6" s="1"/>
  <c r="T10" i="3"/>
  <c r="K10" i="4"/>
  <c r="F8" i="7"/>
  <c r="T9" i="4"/>
  <c r="T11" i="4"/>
  <c r="U11" i="4" s="1"/>
  <c r="J11" i="4" s="1"/>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K9" i="4"/>
  <c r="R9" i="4"/>
  <c r="S9" i="4" s="1"/>
  <c r="F32" i="2"/>
  <c r="R10" i="3"/>
  <c r="S10" i="3" s="1"/>
  <c r="F8" i="2"/>
  <c r="F14" i="8"/>
  <c r="T14" i="4"/>
  <c r="B70" i="2"/>
  <c r="F33" i="2" s="1"/>
  <c r="D69" i="5"/>
  <c r="O15" i="5" s="1"/>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C70" i="2"/>
  <c r="D14" i="2" s="1"/>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U11" i="5" l="1"/>
  <c r="J11" i="5" s="1"/>
  <c r="U13" i="4"/>
  <c r="J13" i="4" s="1"/>
  <c r="K14" i="5"/>
  <c r="T14" i="5"/>
  <c r="Q13" i="8"/>
  <c r="K13" i="8" s="1"/>
  <c r="Q15" i="3"/>
  <c r="U14" i="4"/>
  <c r="J14" i="4" s="1"/>
  <c r="M14" i="4" s="1"/>
  <c r="G14" i="4" s="1"/>
  <c r="G15" i="16" s="1"/>
  <c r="F34" i="8"/>
  <c r="F33" i="8"/>
  <c r="T13" i="6"/>
  <c r="U10" i="5"/>
  <c r="J10" i="5" s="1"/>
  <c r="M10" i="5" s="1"/>
  <c r="K13" i="5"/>
  <c r="D13" i="8"/>
  <c r="O14" i="8"/>
  <c r="R13" i="5"/>
  <c r="S13" i="5" s="1"/>
  <c r="U13" i="5" s="1"/>
  <c r="J13" i="5" s="1"/>
  <c r="M13" i="5" s="1"/>
  <c r="K14" i="6"/>
  <c r="D14" i="8"/>
  <c r="F35" i="6"/>
  <c r="F32" i="6"/>
  <c r="O12" i="6"/>
  <c r="U10" i="4"/>
  <c r="J10" i="4" s="1"/>
  <c r="M10" i="4" s="1"/>
  <c r="G10" i="4" s="1"/>
  <c r="G11" i="16" s="1"/>
  <c r="E70" i="8"/>
  <c r="Q14" i="8"/>
  <c r="R13" i="6"/>
  <c r="S13" i="6" s="1"/>
  <c r="U13" i="6" s="1"/>
  <c r="J13" i="6" s="1"/>
  <c r="M13" i="6" s="1"/>
  <c r="G13" i="6" s="1"/>
  <c r="M14" i="13" s="1"/>
  <c r="R12" i="7"/>
  <c r="S12" i="7" s="1"/>
  <c r="U10" i="3"/>
  <c r="J10" i="3" s="1"/>
  <c r="M10" i="3" s="1"/>
  <c r="G10" i="3" s="1"/>
  <c r="I11" i="16" s="1"/>
  <c r="T14" i="3"/>
  <c r="O12" i="3"/>
  <c r="R12" i="3" s="1"/>
  <c r="S12" i="3" s="1"/>
  <c r="F12" i="3"/>
  <c r="F32" i="3"/>
  <c r="T13" i="3"/>
  <c r="K13" i="6"/>
  <c r="O15" i="3"/>
  <c r="F15" i="3"/>
  <c r="R14" i="6"/>
  <c r="S14" i="6" s="1"/>
  <c r="U14" i="6" s="1"/>
  <c r="J14" i="6" s="1"/>
  <c r="M14" i="6" s="1"/>
  <c r="G14" i="6" s="1"/>
  <c r="M15" i="13" s="1"/>
  <c r="E69" i="6"/>
  <c r="D15" i="6"/>
  <c r="T14" i="6"/>
  <c r="Q12" i="6"/>
  <c r="F35" i="3"/>
  <c r="K14" i="3"/>
  <c r="K13" i="3"/>
  <c r="G11" i="3"/>
  <c r="E11" i="9" s="1"/>
  <c r="Q15" i="6"/>
  <c r="T15" i="7"/>
  <c r="R13" i="3"/>
  <c r="S13" i="3" s="1"/>
  <c r="R14" i="3"/>
  <c r="S14" i="3" s="1"/>
  <c r="U14" i="3" s="1"/>
  <c r="J14" i="3" s="1"/>
  <c r="M14" i="3" s="1"/>
  <c r="G14" i="3" s="1"/>
  <c r="I15" i="16" s="1"/>
  <c r="U9" i="4"/>
  <c r="J9" i="4" s="1"/>
  <c r="M9" i="4" s="1"/>
  <c r="G9" i="4" s="1"/>
  <c r="G10" i="16" s="1"/>
  <c r="K12" i="7"/>
  <c r="T12" i="7"/>
  <c r="R15" i="7"/>
  <c r="S15" i="7" s="1"/>
  <c r="K15" i="7"/>
  <c r="T13" i="8"/>
  <c r="O15" i="6"/>
  <c r="F15" i="6"/>
  <c r="L13" i="4"/>
  <c r="O14" i="16" s="1"/>
  <c r="L11" i="4"/>
  <c r="O12" i="16" s="1"/>
  <c r="K8" i="7"/>
  <c r="O13" i="2"/>
  <c r="O12" i="8"/>
  <c r="F35" i="8"/>
  <c r="T8" i="7"/>
  <c r="U8" i="7" s="1"/>
  <c r="J8" i="7" s="1"/>
  <c r="M8" i="7" s="1"/>
  <c r="T13" i="7"/>
  <c r="Q12" i="8"/>
  <c r="F32" i="8"/>
  <c r="Q10" i="7"/>
  <c r="F13" i="2"/>
  <c r="Q11" i="7"/>
  <c r="R8" i="6"/>
  <c r="S8" i="6" s="1"/>
  <c r="F14" i="2"/>
  <c r="E69" i="8"/>
  <c r="F10" i="7"/>
  <c r="F30" i="7"/>
  <c r="D12" i="8"/>
  <c r="M68" i="7"/>
  <c r="Q15" i="8"/>
  <c r="R15" i="8" s="1"/>
  <c r="S15" i="8" s="1"/>
  <c r="F29" i="7"/>
  <c r="F15" i="5"/>
  <c r="D15" i="8"/>
  <c r="T8" i="6"/>
  <c r="K8" i="6"/>
  <c r="O12" i="5"/>
  <c r="R12" i="5" s="1"/>
  <c r="S12" i="5" s="1"/>
  <c r="F35" i="5"/>
  <c r="F12" i="5"/>
  <c r="M69" i="5"/>
  <c r="K8" i="2"/>
  <c r="M70" i="2"/>
  <c r="F9" i="7"/>
  <c r="O11" i="7"/>
  <c r="F34" i="2"/>
  <c r="O10" i="7"/>
  <c r="F11" i="7"/>
  <c r="O9" i="7"/>
  <c r="R9" i="7" s="1"/>
  <c r="S9" i="7" s="1"/>
  <c r="L11" i="3"/>
  <c r="P12" i="16" s="1"/>
  <c r="E69" i="5"/>
  <c r="D15" i="5"/>
  <c r="D12" i="5"/>
  <c r="Q15" i="5"/>
  <c r="K15" i="5" s="1"/>
  <c r="D13" i="2"/>
  <c r="E70" i="2"/>
  <c r="Q14" i="2"/>
  <c r="K14" i="2" s="1"/>
  <c r="M13" i="4"/>
  <c r="G13" i="4" s="1"/>
  <c r="G14" i="16" s="1"/>
  <c r="R13" i="7"/>
  <c r="S13" i="7" s="1"/>
  <c r="U13" i="7" s="1"/>
  <c r="J13" i="7" s="1"/>
  <c r="M13" i="7" s="1"/>
  <c r="Q13" i="2"/>
  <c r="U9" i="3"/>
  <c r="J9" i="3" s="1"/>
  <c r="L9" i="3" s="1"/>
  <c r="N30" i="5"/>
  <c r="L14" i="5"/>
  <c r="Q15" i="16" s="1"/>
  <c r="K13" i="7"/>
  <c r="T8" i="2"/>
  <c r="U8" i="2" s="1"/>
  <c r="J8" i="2" s="1"/>
  <c r="M11" i="4"/>
  <c r="G11" i="4" s="1"/>
  <c r="T14" i="7"/>
  <c r="U14" i="7" s="1"/>
  <c r="J14" i="7" s="1"/>
  <c r="K14" i="7"/>
  <c r="T11" i="6"/>
  <c r="F29" i="8"/>
  <c r="M68" i="8"/>
  <c r="F30" i="8"/>
  <c r="F31" i="8"/>
  <c r="T11" i="2"/>
  <c r="K11" i="2"/>
  <c r="R11" i="2"/>
  <c r="S11" i="2" s="1"/>
  <c r="M11" i="5"/>
  <c r="L11" i="5"/>
  <c r="Q12" i="16" s="1"/>
  <c r="L14" i="4"/>
  <c r="O15"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3" i="8" l="1"/>
  <c r="S13" i="8" s="1"/>
  <c r="U15" i="7"/>
  <c r="J15" i="7" s="1"/>
  <c r="M15" i="7" s="1"/>
  <c r="R15" i="3"/>
  <c r="S15" i="3" s="1"/>
  <c r="L10" i="5"/>
  <c r="Q11" i="16" s="1"/>
  <c r="N30" i="4"/>
  <c r="U13" i="8"/>
  <c r="J13" i="8" s="1"/>
  <c r="M13" i="8" s="1"/>
  <c r="G13" i="8" s="1"/>
  <c r="T14" i="8"/>
  <c r="L13" i="5"/>
  <c r="Q14" i="16" s="1"/>
  <c r="K14" i="8"/>
  <c r="T12" i="3"/>
  <c r="U12" i="3" s="1"/>
  <c r="J12" i="3" s="1"/>
  <c r="M12" i="3" s="1"/>
  <c r="L10" i="4"/>
  <c r="O11" i="16" s="1"/>
  <c r="R12" i="6"/>
  <c r="S12" i="6" s="1"/>
  <c r="K12" i="3"/>
  <c r="T12" i="6"/>
  <c r="T15" i="6"/>
  <c r="G13" i="9"/>
  <c r="L13" i="6"/>
  <c r="R14" i="16" s="1"/>
  <c r="R14" i="8"/>
  <c r="S14" i="8" s="1"/>
  <c r="U12" i="7"/>
  <c r="J12" i="7" s="1"/>
  <c r="M12" i="7" s="1"/>
  <c r="D10" i="9"/>
  <c r="U13" i="3"/>
  <c r="J13" i="3" s="1"/>
  <c r="L13" i="3" s="1"/>
  <c r="P14" i="16" s="1"/>
  <c r="L10" i="3"/>
  <c r="P11" i="16" s="1"/>
  <c r="L9" i="4"/>
  <c r="O10" i="16" s="1"/>
  <c r="T15" i="3"/>
  <c r="G11" i="13"/>
  <c r="K15" i="3"/>
  <c r="K12" i="6"/>
  <c r="I12" i="16"/>
  <c r="I12" i="13"/>
  <c r="G10" i="13"/>
  <c r="I15" i="13"/>
  <c r="E14" i="9"/>
  <c r="L14" i="3"/>
  <c r="P15" i="16" s="1"/>
  <c r="N30" i="3"/>
  <c r="D9" i="9"/>
  <c r="L15" i="7"/>
  <c r="S16" i="16" s="1"/>
  <c r="I11" i="13"/>
  <c r="E10" i="9"/>
  <c r="K15" i="6"/>
  <c r="R15" i="6"/>
  <c r="S15" i="6" s="1"/>
  <c r="M13" i="9"/>
  <c r="U14" i="13"/>
  <c r="U12" i="13"/>
  <c r="M11" i="9"/>
  <c r="R12" i="8"/>
  <c r="S12" i="8" s="1"/>
  <c r="T13" i="2"/>
  <c r="U8" i="6"/>
  <c r="J8" i="6" s="1"/>
  <c r="M8" i="6" s="1"/>
  <c r="G8" i="6" s="1"/>
  <c r="M9" i="13" s="1"/>
  <c r="R13" i="2"/>
  <c r="S13" i="2" s="1"/>
  <c r="T15" i="8"/>
  <c r="U15" i="8" s="1"/>
  <c r="J15" i="8" s="1"/>
  <c r="G14" i="9"/>
  <c r="T12" i="8"/>
  <c r="K12" i="8"/>
  <c r="R10" i="7"/>
  <c r="S10" i="7" s="1"/>
  <c r="T11" i="7"/>
  <c r="T10" i="7"/>
  <c r="L8" i="2"/>
  <c r="N9" i="16" s="1"/>
  <c r="K13" i="2"/>
  <c r="R15" i="5"/>
  <c r="S15" i="5" s="1"/>
  <c r="K11" i="7"/>
  <c r="K15" i="8"/>
  <c r="T9" i="7"/>
  <c r="U9" i="7" s="1"/>
  <c r="J9" i="7" s="1"/>
  <c r="M9" i="7" s="1"/>
  <c r="N30" i="6"/>
  <c r="R11" i="7"/>
  <c r="S11" i="7" s="1"/>
  <c r="L14" i="6"/>
  <c r="R15" i="16" s="1"/>
  <c r="K12" i="5"/>
  <c r="T12" i="5"/>
  <c r="U12" i="5" s="1"/>
  <c r="J12" i="5" s="1"/>
  <c r="M12" i="5" s="1"/>
  <c r="K10" i="7"/>
  <c r="R14" i="2"/>
  <c r="S14" i="2" s="1"/>
  <c r="D13" i="9"/>
  <c r="G14" i="13"/>
  <c r="K9" i="7"/>
  <c r="T14" i="2"/>
  <c r="V12" i="13"/>
  <c r="N11" i="9"/>
  <c r="T15" i="5"/>
  <c r="L13" i="7"/>
  <c r="S14" i="16" s="1"/>
  <c r="M9" i="3"/>
  <c r="G9" i="3" s="1"/>
  <c r="I10" i="13" s="1"/>
  <c r="G12" i="13"/>
  <c r="G12" i="16"/>
  <c r="N9" i="9"/>
  <c r="P10" i="16"/>
  <c r="M14" i="7"/>
  <c r="N30" i="7"/>
  <c r="L14" i="7"/>
  <c r="S15" i="16" s="1"/>
  <c r="L8" i="7"/>
  <c r="S9" i="16" s="1"/>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U9" i="6"/>
  <c r="J9" i="6" s="1"/>
  <c r="U8" i="8"/>
  <c r="J8" i="8" s="1"/>
  <c r="M8" i="4"/>
  <c r="G8" i="4" s="1"/>
  <c r="G9" i="16" s="1"/>
  <c r="L8" i="4"/>
  <c r="O9" i="16" s="1"/>
  <c r="R10" i="8"/>
  <c r="S10" i="8" s="1"/>
  <c r="T10" i="8"/>
  <c r="K10" i="8"/>
  <c r="U15" i="4"/>
  <c r="J15" i="4" s="1"/>
  <c r="U10" i="6"/>
  <c r="J10" i="6" s="1"/>
  <c r="K11" i="8"/>
  <c r="T11" i="8"/>
  <c r="R11" i="8"/>
  <c r="S11" i="8" s="1"/>
  <c r="K9" i="8"/>
  <c r="T9" i="8"/>
  <c r="U12" i="6" l="1"/>
  <c r="J12" i="6" s="1"/>
  <c r="M12" i="6" s="1"/>
  <c r="G12" i="6" s="1"/>
  <c r="U15" i="5"/>
  <c r="J15" i="5" s="1"/>
  <c r="M15" i="5" s="1"/>
  <c r="L12" i="5"/>
  <c r="Q13" i="16" s="1"/>
  <c r="U15" i="6"/>
  <c r="J15" i="6" s="1"/>
  <c r="U15" i="3"/>
  <c r="J15" i="3" s="1"/>
  <c r="M15" i="3" s="1"/>
  <c r="W14" i="13"/>
  <c r="G12" i="3"/>
  <c r="I13" i="16" s="1"/>
  <c r="L12" i="3"/>
  <c r="P13" i="16" s="1"/>
  <c r="U14" i="8"/>
  <c r="J14" i="8" s="1"/>
  <c r="N30" i="8" s="1"/>
  <c r="M10" i="9"/>
  <c r="O13" i="9"/>
  <c r="P13" i="9"/>
  <c r="L13" i="8"/>
  <c r="T14" i="16" s="1"/>
  <c r="U11" i="13"/>
  <c r="X14" i="13"/>
  <c r="L12" i="6"/>
  <c r="R13" i="16" s="1"/>
  <c r="M13" i="3"/>
  <c r="G13" i="3" s="1"/>
  <c r="E13" i="9" s="1"/>
  <c r="L12" i="7"/>
  <c r="U11" i="7"/>
  <c r="J11" i="7" s="1"/>
  <c r="L11" i="7" s="1"/>
  <c r="S12" i="16" s="1"/>
  <c r="N10" i="9"/>
  <c r="V11" i="13"/>
  <c r="M9" i="9"/>
  <c r="G15" i="3"/>
  <c r="I16" i="16" s="1"/>
  <c r="V14" i="13"/>
  <c r="N13" i="9"/>
  <c r="M14" i="8"/>
  <c r="G14" i="8" s="1"/>
  <c r="K15" i="16" s="1"/>
  <c r="L14" i="8"/>
  <c r="T15" i="16" s="1"/>
  <c r="U10" i="13"/>
  <c r="L15" i="3"/>
  <c r="P16" i="16" s="1"/>
  <c r="L15" i="6"/>
  <c r="R16" i="16" s="1"/>
  <c r="U14" i="2"/>
  <c r="J14" i="2" s="1"/>
  <c r="M14" i="2" s="1"/>
  <c r="G14" i="2" s="1"/>
  <c r="E15" i="16" s="1"/>
  <c r="U13" i="2"/>
  <c r="J13" i="2" s="1"/>
  <c r="M13" i="2" s="1"/>
  <c r="G13" i="2" s="1"/>
  <c r="E14" i="16" s="1"/>
  <c r="V15" i="13"/>
  <c r="N14" i="9"/>
  <c r="Y16" i="13"/>
  <c r="Q15" i="9"/>
  <c r="U12" i="8"/>
  <c r="J12" i="8" s="1"/>
  <c r="L12" i="8" s="1"/>
  <c r="T13" i="16" s="1"/>
  <c r="M15" i="6"/>
  <c r="G15" i="6" s="1"/>
  <c r="G15" i="9" s="1"/>
  <c r="K14" i="16"/>
  <c r="I13" i="9"/>
  <c r="Q14" i="13"/>
  <c r="U10" i="7"/>
  <c r="J10" i="7" s="1"/>
  <c r="L10" i="7" s="1"/>
  <c r="S11" i="16" s="1"/>
  <c r="L8" i="6"/>
  <c r="R9" i="16" s="1"/>
  <c r="T9" i="13"/>
  <c r="L8" i="9"/>
  <c r="X15" i="13"/>
  <c r="P14" i="9"/>
  <c r="G8" i="9"/>
  <c r="Q14" i="9"/>
  <c r="Y15" i="13"/>
  <c r="Y14" i="13"/>
  <c r="E9" i="13"/>
  <c r="Q13" i="9"/>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5" i="5" l="1"/>
  <c r="Q16" i="16" s="1"/>
  <c r="M11" i="7"/>
  <c r="Z14" i="13"/>
  <c r="R13" i="9"/>
  <c r="X13" i="13"/>
  <c r="P12" i="9"/>
  <c r="I14" i="16"/>
  <c r="I14" i="13"/>
  <c r="S13" i="16"/>
  <c r="Y13" i="13"/>
  <c r="Q12" i="9"/>
  <c r="E15" i="9"/>
  <c r="I16" i="13"/>
  <c r="P15" i="9"/>
  <c r="X16" i="13"/>
  <c r="R14" i="9"/>
  <c r="Q15" i="13"/>
  <c r="I14" i="9"/>
  <c r="Z15" i="13"/>
  <c r="N15" i="9"/>
  <c r="V16" i="13"/>
  <c r="L13" i="2"/>
  <c r="N14" i="16" s="1"/>
  <c r="E15" i="13"/>
  <c r="L14" i="2"/>
  <c r="N15" i="16" s="1"/>
  <c r="C14" i="9"/>
  <c r="M16" i="13"/>
  <c r="M12" i="8"/>
  <c r="G12" i="8" s="1"/>
  <c r="K13" i="16" s="1"/>
  <c r="N30" i="2"/>
  <c r="C13" i="9"/>
  <c r="E14" i="13"/>
  <c r="M10" i="7"/>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L13" i="9" l="1"/>
  <c r="T15" i="13"/>
  <c r="L14" i="9"/>
  <c r="T14" i="13"/>
  <c r="I12" i="9"/>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<sst xmlns="http://schemas.openxmlformats.org/spreadsheetml/2006/main" count="654" uniqueCount="141">
  <si>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</si>
  <si>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</si>
  <si>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</si>
  <si>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</si>
  <si>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</si>
  <si>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</si>
  <si>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</si>
  <si>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</si>
  <si>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</si>
  <si>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</si>
  <si>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</si>
  <si>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</si>
  <si>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</si>
  <si>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</si>
  <si>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</si>
  <si>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</si>
  <si>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</si>
  <si>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</si>
  <si>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</si>
  <si>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</si>
  <si>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</si>
  <si>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</si>
  <si>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</si>
  <si>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</si>
  <si>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</si>
  <si>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</si>
  <si>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</si>
  <si>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</si>
  <si>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</si>
  <si>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</si>
  <si>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</si>
  <si>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</si>
  <si>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</si>
  <si>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</si>
  <si>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</si>
  <si>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</si>
  <si>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</si>
  <si>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</si>
  <si>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</si>
  <si>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</si>
  <si>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</si>
  <si>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</si>
  <si>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</si>
  <si>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</si>
  <si>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</si>
  <si>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</si>
  <si>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</si>
  <si>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</si>
  <si>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</si>
  <si>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</si>
  <si>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</si>
  <si>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</si>
  <si>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</si>
  <si>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</si>
  <si>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</si>
  <si>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</si>
  <si>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</si>
  <si>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</si>
  <si>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</si>
  <si>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</si>
  <si>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</si>
  <si>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</si>
  <si>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</si>
  <si>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</si>
  <si>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</si>
  <si>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</si>
  <si>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</si>
  <si>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</si>
  <si>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</si>
  <si>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</si>
  <si>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</si>
  <si>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</si>
  <si>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</si>
  <si>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</si>
  <si>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</si>
  <si>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</si>
  <si>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</si>
  <si>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</si>
  <si>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</si>
  <si>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</si>
  <si>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</si>
  <si>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</si>
  <si>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</si>
  <si>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</si>
  <si>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</si>
  <si>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</si>
  <si>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</si>
  <si>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</si>
  <si>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</si>
  <si>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</si>
  <si>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</si>
  <si>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</si>
  <si>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</si>
  <si>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</si>
  <si>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</si>
  <si>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</si>
  <si>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</si>
  <si>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</si>
  <si>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</si>
  <si>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</si>
  <si>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</si>
  <si>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</si>
  <si>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</si>
  <si>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</si>
  <si>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</si>
  <si>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</si>
  <si>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</si>
  <si>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</si>
  <si>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</si>
  <si>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</si>
  <si>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</si>
  <si>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</si>
  <si>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</si>
  <si>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</si>
  <si>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</si>
  <si>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</si>
  <si>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</si>
  <si>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</si>
  <si>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</si>
  <si>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</si>
  <si>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</si>
  <si>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</si>
  <si>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</si>
  <si>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</si>
  <si>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</si>
  <si>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</si>
  <si>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</si>
  <si>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</si>
  <si>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Washtenaw</t>
  </si>
  <si>
    <t>Item 3.Referral: Washtenaw County Juvenile Court</t>
  </si>
  <si>
    <t>Item 4.Diversion: Washtenaw County Juvenile Court</t>
  </si>
  <si>
    <t>Item 5.Detention: Washtenaw County Juvenile Court</t>
  </si>
  <si>
    <t>Item 6.Petitioned: Washtenaw County Juvenile Court</t>
  </si>
  <si>
    <t>Item 7.Delinquent: Washtenaw County Juvenile Court</t>
  </si>
  <si>
    <t>Item 8.Probation: Washtenaw County Juvenile Court</t>
  </si>
  <si>
    <t>Item 9.Confinement: Washtenaw County Juvenile Court</t>
  </si>
  <si>
    <t>Item 10.Transferred: Washtenaw County Juvenile Court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</si>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</sst>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Washtenaw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c:v>
                </c:pt>
                <c:pt idx="1">
                  <c:v>Confinement, total N=4</c:v>
                </c:pt>
                <c:pt idx="2">
                  <c:v>Delinquent Findings, total N=69</c:v>
                </c:pt>
                <c:pt idx="3">
                  <c:v>Petitions, total N=261</c:v>
                </c:pt>
                <c:pt idx="4">
                  <c:v>Detentions, total N=99</c:v>
                </c:pt>
                <c:pt idx="5">
                  <c:v>Referrals, total N=379</c:v>
                </c:pt>
                <c:pt idx="6">
                  <c:v>Arrests, total N=181</c:v>
                </c:pt>
                <c:pt idx="7">
                  <c:v>Population, total N=31378</c:v>
                </c:pt>
              </c:strCache>
            </c:strRef>
          </c:cat>
          <c:val>
            <c:numRef>
              <c:f>'Stacked 100%'!$B$7:$B$14</c:f>
              <c:numCache>
                <c:formatCode>0%</c:formatCode>
                <c:ptCount val="8"/>
                <c:pt idx="0">
                  <c:v>0.5</c:v>
                </c:pt>
                <c:pt idx="1">
                  <c:v>0.5</c:v>
                </c:pt>
                <c:pt idx="2">
                  <c:v>0.78260869565217395</c:v>
                </c:pt>
                <c:pt idx="3">
                  <c:v>0.63984674329501912</c:v>
                </c:pt>
                <c:pt idx="4">
                  <c:v>0.5757575757575758</c:v>
                </c:pt>
                <c:pt idx="5">
                  <c:v>0.60686015831134565</c:v>
                </c:pt>
                <c:pt idx="6">
                  <c:v>0.64640883977900554</c:v>
                </c:pt>
                <c:pt idx="7">
                  <c:v>0.1672509401491491</c:v>
                </c:pt>
              </c:numCache>
            </c:numRef>
          </c:val>
          <c:extLst>
            <c:ext xmlns:c16="http://schemas.microsoft.com/office/drawing/2014/chart" uri="{C3380CC4-5D6E-409C-BE32-E72D297353CC}">
              <c16:uniqueId val="{00000000-6F78-455E-ABE3-7E65F4584BC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c:v>
                </c:pt>
                <c:pt idx="1">
                  <c:v>Confinement, total N=4</c:v>
                </c:pt>
                <c:pt idx="2">
                  <c:v>Delinquent Findings, total N=69</c:v>
                </c:pt>
                <c:pt idx="3">
                  <c:v>Petitions, total N=261</c:v>
                </c:pt>
                <c:pt idx="4">
                  <c:v>Detentions, total N=99</c:v>
                </c:pt>
                <c:pt idx="5">
                  <c:v>Referrals, total N=379</c:v>
                </c:pt>
                <c:pt idx="6">
                  <c:v>Arrests, total N=181</c:v>
                </c:pt>
                <c:pt idx="7">
                  <c:v>Population, total N=31378</c:v>
                </c:pt>
              </c:strCache>
            </c:strRef>
          </c:cat>
          <c:val>
            <c:numRef>
              <c:f>'Stacked 100%'!$C$7:$C$14</c:f>
              <c:numCache>
                <c:formatCode>0%</c:formatCode>
                <c:ptCount val="8"/>
                <c:pt idx="0">
                  <c:v>0</c:v>
                </c:pt>
                <c:pt idx="1">
                  <c:v>0</c:v>
                </c:pt>
                <c:pt idx="2">
                  <c:v>1.4492753623188406E-2</c:v>
                </c:pt>
                <c:pt idx="3">
                  <c:v>5.3639846743295021E-2</c:v>
                </c:pt>
                <c:pt idx="4">
                  <c:v>6.0606060606060608E-2</c:v>
                </c:pt>
                <c:pt idx="5">
                  <c:v>1.8469656992084433E-2</c:v>
                </c:pt>
                <c:pt idx="6">
                  <c:v>3.8674033149171269E-2</c:v>
                </c:pt>
                <c:pt idx="7">
                  <c:v>8.1203390910829246E-2</c:v>
                </c:pt>
              </c:numCache>
            </c:numRef>
          </c:val>
          <c:extLst>
            <c:ext xmlns:c16="http://schemas.microsoft.com/office/drawing/2014/chart" uri="{C3380CC4-5D6E-409C-BE32-E72D297353CC}">
              <c16:uniqueId val="{00000001-6F78-455E-ABE3-7E65F4584BC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N=2</c:v>
                </c:pt>
                <c:pt idx="1">
                  <c:v>Confinement, total N=4</c:v>
                </c:pt>
                <c:pt idx="2">
                  <c:v>Delinquent Findings, total N=69</c:v>
                </c:pt>
                <c:pt idx="3">
                  <c:v>Petitions, total N=261</c:v>
                </c:pt>
                <c:pt idx="4">
                  <c:v>Detentions, total N=99</c:v>
                </c:pt>
                <c:pt idx="5">
                  <c:v>Referrals, total N=379</c:v>
                </c:pt>
                <c:pt idx="6">
                  <c:v>Arrests, total N=181</c:v>
                </c:pt>
                <c:pt idx="7">
                  <c:v>Population, total N=31378</c:v>
                </c:pt>
              </c:strCache>
            </c:strRef>
          </c:cat>
          <c:val>
            <c:numRef>
              <c:f>'Stacked 100%'!$H$7:$H$14</c:f>
              <c:numCache>
                <c:formatCode>0%</c:formatCode>
                <c:ptCount val="8"/>
                <c:pt idx="0">
                  <c:v>0</c:v>
                </c:pt>
                <c:pt idx="1">
                  <c:v>0</c:v>
                </c:pt>
                <c:pt idx="2">
                  <c:v>2.1003990758244068E-4</c:v>
                </c:pt>
                <c:pt idx="3">
                  <c:v>4.2571306939123026E-4</c:v>
                </c:pt>
                <c:pt idx="4">
                  <c:v>1.8365472910927456E-3</c:v>
                </c:pt>
                <c:pt idx="5">
                  <c:v>1.0442700900160818E-4</c:v>
                </c:pt>
                <c:pt idx="6">
                  <c:v>9.1572296327950916E-5</c:v>
                </c:pt>
                <c:pt idx="7">
                  <c:v>3.2582457862259006E-6</c:v>
                </c:pt>
              </c:numCache>
            </c:numRef>
          </c:val>
          <c:extLst>
            <c:ext xmlns:c16="http://schemas.microsoft.com/office/drawing/2014/chart" uri="{C3380CC4-5D6E-409C-BE32-E72D297353CC}">
              <c16:uniqueId val="{00000002-6F78-455E-ABE3-7E65F4584BC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c:v>
                </c:pt>
                <c:pt idx="1">
                  <c:v>Confinement, total N=4</c:v>
                </c:pt>
                <c:pt idx="2">
                  <c:v>Delinquent Findings, total N=69</c:v>
                </c:pt>
                <c:pt idx="3">
                  <c:v>Petitions, total N=261</c:v>
                </c:pt>
                <c:pt idx="4">
                  <c:v>Detentions, total N=99</c:v>
                </c:pt>
                <c:pt idx="5">
                  <c:v>Referrals, total N=379</c:v>
                </c:pt>
                <c:pt idx="6">
                  <c:v>Arrests, total N=181</c:v>
                </c:pt>
                <c:pt idx="7">
                  <c:v>Population, total N=31378</c:v>
                </c:pt>
              </c:strCache>
            </c:strRef>
          </c:cat>
          <c:val>
            <c:numRef>
              <c:f>'Stacked 100%'!$I$7:$I$14</c:f>
              <c:numCache>
                <c:formatCode>0%</c:formatCode>
                <c:ptCount val="8"/>
                <c:pt idx="0">
                  <c:v>0.5</c:v>
                </c:pt>
                <c:pt idx="1">
                  <c:v>0.5</c:v>
                </c:pt>
                <c:pt idx="2">
                  <c:v>0.17391304347826086</c:v>
                </c:pt>
                <c:pt idx="3">
                  <c:v>0.19157088122605365</c:v>
                </c:pt>
                <c:pt idx="4">
                  <c:v>0.17171717171717171</c:v>
                </c:pt>
                <c:pt idx="5">
                  <c:v>0.32453825857519791</c:v>
                </c:pt>
                <c:pt idx="6">
                  <c:v>0.27071823204419887</c:v>
                </c:pt>
                <c:pt idx="7">
                  <c:v>0.64930843265982541</c:v>
                </c:pt>
              </c:numCache>
            </c:numRef>
          </c:val>
          <c:extLst>
            <c:ext xmlns:c16="http://schemas.microsoft.com/office/drawing/2014/chart" uri="{C3380CC4-5D6E-409C-BE32-E72D297353CC}">
              <c16:uniqueId val="{00000003-6F78-455E-ABE3-7E65F4584BC9}"/>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N=2</c:v>
                </c:pt>
                <c:pt idx="1">
                  <c:v>Confinement, total N=4</c:v>
                </c:pt>
                <c:pt idx="2">
                  <c:v>Delinquent Findings, total N=69</c:v>
                </c:pt>
                <c:pt idx="3">
                  <c:v>Petitions, total N=261</c:v>
                </c:pt>
                <c:pt idx="4">
                  <c:v>Detentions, total N=99</c:v>
                </c:pt>
                <c:pt idx="5">
                  <c:v>Referrals, total N=379</c:v>
                </c:pt>
                <c:pt idx="6">
                  <c:v>Arrests, total N=181</c:v>
                </c:pt>
                <c:pt idx="7">
                  <c:v>Population, total N=31378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F78-455E-ABE3-7E65F4584BC9}"/>
            </c:ext>
          </c:extLst>
        </c:ser>
        <c:dLbls>
          <c:showLegendKey val="0"/>
          <c:showVal val="0"/>
          <c:showCatName val="0"/>
          <c:showSerName val="0"/>
          <c:showPercent val="0"/>
          <c:showBubbleSize val="0"/>
        </c:dLbls>
        <c:gapWidth val="150"/>
        <c:overlap val="100"/>
        <c:axId val="13282176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32821760"/>
        <c:crosses val="max"/>
        <c:crossBetween val="between"/>
      </c:valAx>
      <c:catAx>
        <c:axId val="13282176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137</v>
      </c>
      <c r="B6" s="11">
        <f>SUM(C6:I6)+K6</f>
        <v>31378</v>
      </c>
      <c r="C6" s="11">
        <v>20374</v>
      </c>
      <c r="D6" s="11">
        <v>5248</v>
      </c>
      <c r="E6" s="11">
        <v>2548</v>
      </c>
      <c r="F6" s="11">
        <v>3089</v>
      </c>
      <c r="G6" s="11"/>
      <c r="H6" s="11">
        <v>119</v>
      </c>
      <c r="I6" s="11"/>
      <c r="J6" s="91">
        <f>SUM(D6:I6)</f>
        <v>11004</v>
      </c>
      <c r="K6" s="92"/>
    </row>
    <row r="7" spans="1:11" ht="15.75" customHeight="1" thickBot="1">
      <c r="A7" s="10" t="s">
        <v>8</v>
      </c>
      <c r="B7" s="11">
        <f t="shared" ref="B7:B15" si="0">SUM(C7:I7)+K7</f>
        <v>181</v>
      </c>
      <c r="C7" s="11">
        <v>49</v>
      </c>
      <c r="D7" s="11">
        <v>117</v>
      </c>
      <c r="E7" s="11">
        <v>7</v>
      </c>
      <c r="F7" s="11">
        <v>3</v>
      </c>
      <c r="G7" s="11">
        <v>0</v>
      </c>
      <c r="H7" s="11">
        <v>0</v>
      </c>
      <c r="I7" s="11"/>
      <c r="J7" s="91">
        <f t="shared" ref="J7:J15" si="1">SUM(D7:I7)</f>
        <v>127</v>
      </c>
      <c r="K7" s="92">
        <v>5</v>
      </c>
    </row>
    <row r="8" spans="1:11" ht="15.75" customHeight="1" thickBot="1">
      <c r="A8" s="10" t="s">
        <v>9</v>
      </c>
      <c r="B8" s="11">
        <f t="shared" si="0"/>
        <v>379</v>
      </c>
      <c r="C8" s="11">
        <v>123</v>
      </c>
      <c r="D8" s="11">
        <v>230</v>
      </c>
      <c r="E8" s="11">
        <v>7</v>
      </c>
      <c r="F8" s="11">
        <v>1</v>
      </c>
      <c r="G8" s="11">
        <v>2</v>
      </c>
      <c r="H8" s="11">
        <v>4</v>
      </c>
      <c r="I8" s="11">
        <v>8</v>
      </c>
      <c r="J8" s="91">
        <f t="shared" si="1"/>
        <v>252</v>
      </c>
      <c r="K8" s="92">
        <v>4</v>
      </c>
    </row>
    <row r="9" spans="1:11" ht="15.75" customHeight="1" thickBot="1">
      <c r="A9" s="10" t="s">
        <v>10</v>
      </c>
      <c r="B9" s="11">
        <f t="shared" si="0"/>
        <v>27</v>
      </c>
      <c r="C9" s="11">
        <v>5</v>
      </c>
      <c r="D9" s="11">
        <v>19</v>
      </c>
      <c r="E9" s="11">
        <v>1</v>
      </c>
      <c r="F9" s="11"/>
      <c r="G9" s="11"/>
      <c r="H9" s="11">
        <v>2</v>
      </c>
      <c r="I9" s="11"/>
      <c r="J9" s="91">
        <f t="shared" si="1"/>
        <v>22</v>
      </c>
      <c r="K9" s="92"/>
    </row>
    <row r="10" spans="1:11" ht="15.75" customHeight="1" thickBot="1">
      <c r="A10" s="10" t="s">
        <v>11</v>
      </c>
      <c r="B10" s="11">
        <f t="shared" si="0"/>
        <v>99</v>
      </c>
      <c r="C10" s="11">
        <v>17</v>
      </c>
      <c r="D10" s="11">
        <v>57</v>
      </c>
      <c r="E10" s="11">
        <v>6</v>
      </c>
      <c r="F10" s="11"/>
      <c r="G10" s="11"/>
      <c r="H10" s="11">
        <v>4</v>
      </c>
      <c r="I10" s="11">
        <v>14</v>
      </c>
      <c r="J10" s="91">
        <f t="shared" si="1"/>
        <v>81</v>
      </c>
      <c r="K10" s="92">
        <v>1</v>
      </c>
    </row>
    <row r="11" spans="1:11" ht="15.75" customHeight="1" thickBot="1">
      <c r="A11" s="10" t="s">
        <v>12</v>
      </c>
      <c r="B11" s="11">
        <f t="shared" si="0"/>
        <v>261</v>
      </c>
      <c r="C11" s="11">
        <v>50</v>
      </c>
      <c r="D11" s="11">
        <v>167</v>
      </c>
      <c r="E11" s="11">
        <v>14</v>
      </c>
      <c r="F11" s="11">
        <v>1</v>
      </c>
      <c r="G11" s="11">
        <v>1</v>
      </c>
      <c r="H11" s="11">
        <v>7</v>
      </c>
      <c r="I11" s="11">
        <v>20</v>
      </c>
      <c r="J11" s="91">
        <f t="shared" si="1"/>
        <v>210</v>
      </c>
      <c r="K11" s="92">
        <v>1</v>
      </c>
    </row>
    <row r="12" spans="1:11" ht="15.75" customHeight="1" thickBot="1">
      <c r="A12" s="10" t="s">
        <v>13</v>
      </c>
      <c r="B12" s="11">
        <f t="shared" si="0"/>
        <v>69</v>
      </c>
      <c r="C12" s="11">
        <v>12</v>
      </c>
      <c r="D12" s="11">
        <v>54</v>
      </c>
      <c r="E12" s="11">
        <v>1</v>
      </c>
      <c r="F12" s="11"/>
      <c r="G12" s="11"/>
      <c r="H12" s="11"/>
      <c r="I12" s="11">
        <v>1</v>
      </c>
      <c r="J12" s="91">
        <f t="shared" si="1"/>
        <v>56</v>
      </c>
      <c r="K12" s="92">
        <v>1</v>
      </c>
    </row>
    <row r="13" spans="1:11" ht="15.75" customHeight="1" thickBot="1">
      <c r="A13" s="10" t="s">
        <v>125</v>
      </c>
      <c r="B13" s="11">
        <f t="shared" si="0"/>
        <v>191</v>
      </c>
      <c r="C13" s="11">
        <v>56</v>
      </c>
      <c r="D13" s="11">
        <v>117</v>
      </c>
      <c r="E13" s="11">
        <v>8</v>
      </c>
      <c r="F13" s="11">
        <v>1</v>
      </c>
      <c r="G13" s="11">
        <v>2</v>
      </c>
      <c r="H13" s="11">
        <v>2</v>
      </c>
      <c r="I13" s="11">
        <v>4</v>
      </c>
      <c r="J13" s="91">
        <f t="shared" si="1"/>
        <v>134</v>
      </c>
      <c r="K13" s="92">
        <v>1</v>
      </c>
    </row>
    <row r="14" spans="1:11" ht="26.25" customHeight="1" thickBot="1">
      <c r="A14" s="10" t="s">
        <v>115</v>
      </c>
      <c r="B14" s="11">
        <f t="shared" si="0"/>
        <v>4</v>
      </c>
      <c r="C14" s="11">
        <v>2</v>
      </c>
      <c r="D14" s="11">
        <v>2</v>
      </c>
      <c r="E14" s="11"/>
      <c r="F14" s="11"/>
      <c r="G14" s="11"/>
      <c r="H14" s="11"/>
      <c r="I14" s="11"/>
      <c r="J14" s="91">
        <f t="shared" si="1"/>
        <v>2</v>
      </c>
      <c r="K14" s="92"/>
    </row>
    <row r="15" spans="1:11" ht="15.75" customHeight="1" thickBot="1">
      <c r="A15" s="10" t="s">
        <v>16</v>
      </c>
      <c r="B15" s="11">
        <f t="shared" si="0"/>
        <v>2</v>
      </c>
      <c r="C15" s="11">
        <v>1</v>
      </c>
      <c r="D15" s="11">
        <v>1</v>
      </c>
      <c r="E15" s="11"/>
      <c r="F15" s="11"/>
      <c r="G15" s="11"/>
      <c r="H15" s="11"/>
      <c r="I15" s="11"/>
      <c r="J15" s="91">
        <f t="shared" si="1"/>
        <v>1</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129</v>
      </c>
      <c r="B20" s="169"/>
      <c r="C20" s="8"/>
      <c r="D20" s="169" t="s">
        <v>130</v>
      </c>
      <c r="E20" s="169"/>
      <c r="F20" s="169"/>
      <c r="G20" s="169"/>
      <c r="H20" s="169"/>
      <c r="I20" s="169"/>
    </row>
    <row r="21" spans="1:9" ht="15" customHeight="1">
      <c r="A21" s="169" t="s">
        <v>131</v>
      </c>
      <c r="B21" s="169"/>
      <c r="C21" s="8"/>
      <c r="D21" s="169" t="s">
        <v>132</v>
      </c>
      <c r="E21" s="169"/>
      <c r="F21" s="169"/>
      <c r="G21" s="169"/>
      <c r="H21" s="169"/>
      <c r="I21" s="169"/>
    </row>
    <row r="22" spans="1:9" ht="15" customHeight="1">
      <c r="A22" s="169" t="s">
        <v>133</v>
      </c>
      <c r="B22" s="169"/>
      <c r="C22" s="8"/>
      <c r="D22" s="169" t="s">
        <v>134</v>
      </c>
      <c r="E22" s="169"/>
      <c r="F22" s="169"/>
      <c r="G22" s="169"/>
      <c r="H22" s="169"/>
      <c r="I22" s="169"/>
    </row>
    <row r="23" spans="1:9" ht="15" customHeight="1">
      <c r="A23" s="169" t="s">
        <v>135</v>
      </c>
      <c r="B23" s="169"/>
      <c r="C23" s="8"/>
      <c r="D23" s="169" t="s">
        <v>136</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20374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2.4050260135466774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49</v>
      </c>
      <c r="Q7" s="42">
        <f>C6-C7</f>
        <v>20325</v>
      </c>
      <c r="R7" s="42">
        <f t="shared" ref="R7:R15" si="5">SUM(N7:Q7)</f>
        <v>20374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123</v>
      </c>
      <c r="D8" s="34">
        <f>IF((AND(C67&gt;0,C8&gt;0)),(C8/C67),0)</f>
        <v>251.0204081632653</v>
      </c>
      <c r="E8" s="33">
        <f>'Data Entry'!I8</f>
        <v>8</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8</v>
      </c>
      <c r="O8" s="42">
        <f>((D67*L67)-E8)+0.05</f>
        <v>-7.95</v>
      </c>
      <c r="P8" s="42">
        <f t="shared" si="4"/>
        <v>123</v>
      </c>
      <c r="Q8" s="42">
        <f>(C$67*L67)-C8</f>
        <v>-74</v>
      </c>
      <c r="R8" s="42">
        <f t="shared" si="5"/>
        <v>49.05</v>
      </c>
      <c r="S8" s="30">
        <f t="shared" si="6"/>
        <v>7302574.913625</v>
      </c>
      <c r="T8" s="30">
        <f t="shared" si="7"/>
        <v>-26301.852499999906</v>
      </c>
      <c r="U8" s="31">
        <f t="shared" si="8"/>
        <v>-277.64488883910462</v>
      </c>
    </row>
    <row r="9" spans="2:21" ht="18" customHeight="1">
      <c r="B9" s="32" t="str">
        <f>'Data Entry'!A9</f>
        <v xml:space="preserve">4. Cases Diverted </v>
      </c>
      <c r="C9" s="33">
        <f>'Data Entry'!C9</f>
        <v>5</v>
      </c>
      <c r="D9" s="34">
        <f>IF((AND(C68&gt;0,C9&gt;0)),((C9/C68)),0)</f>
        <v>4.0650406504065044</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8</v>
      </c>
      <c r="P9" s="42">
        <f t="shared" si="4"/>
        <v>5</v>
      </c>
      <c r="Q9" s="42">
        <f>(C$68*L68)-C9</f>
        <v>118</v>
      </c>
      <c r="R9" s="42">
        <f t="shared" si="5"/>
        <v>131</v>
      </c>
      <c r="S9" s="30">
        <f t="shared" si="6"/>
        <v>209600</v>
      </c>
      <c r="T9" s="30">
        <f t="shared" si="7"/>
        <v>619920</v>
      </c>
      <c r="U9" s="31">
        <f t="shared" si="8"/>
        <v>0.33810814298619174</v>
      </c>
    </row>
    <row r="10" spans="2:21" ht="18" customHeight="1">
      <c r="B10" s="32" t="str">
        <f>'Data Entry'!A10</f>
        <v>5. Cases Involving Secure Detention</v>
      </c>
      <c r="C10" s="33">
        <f>'Data Entry'!C10</f>
        <v>17</v>
      </c>
      <c r="D10" s="34">
        <f>IF(((AND(C68&gt;0,C10&gt;0))),(C10/(C68)),0)</f>
        <v>13.821138211382115</v>
      </c>
      <c r="E10" s="33">
        <f>'Data Entry'!I10</f>
        <v>14</v>
      </c>
      <c r="F10" s="34">
        <f>IF(((AND($E$10&gt;0,$D$68&gt;0))),($E$10/($D$68)),0)</f>
        <v>175</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14</v>
      </c>
      <c r="O10" s="42">
        <f>(D$68*L68)-E10</f>
        <v>-6</v>
      </c>
      <c r="P10" s="42">
        <f t="shared" si="4"/>
        <v>17</v>
      </c>
      <c r="Q10" s="42">
        <f>(C$68*L68)-C10</f>
        <v>106</v>
      </c>
      <c r="R10" s="42">
        <f t="shared" si="5"/>
        <v>131</v>
      </c>
      <c r="S10" s="30">
        <f t="shared" si="6"/>
        <v>329516876</v>
      </c>
      <c r="T10" s="30">
        <f t="shared" si="7"/>
        <v>3050400</v>
      </c>
      <c r="U10" s="31">
        <f t="shared" si="8"/>
        <v>108.0241528979806</v>
      </c>
    </row>
    <row r="11" spans="2:21" ht="18" customHeight="1">
      <c r="B11" s="32" t="str">
        <f>'Data Entry'!A11</f>
        <v>6. Cases Petitioned (Charge Filed)</v>
      </c>
      <c r="C11" s="33">
        <f>'Data Entry'!C11</f>
        <v>50</v>
      </c>
      <c r="D11" s="34">
        <f>IF(((AND(C68&gt;0,C11&gt;0))),(C11/(C68)),0)</f>
        <v>40.650406504065039</v>
      </c>
      <c r="E11" s="33">
        <f>'Data Entry'!I11</f>
        <v>20</v>
      </c>
      <c r="F11" s="34">
        <f>IF(((AND($E$11&gt;0,$D$68&gt;0))),($E$11/($D$68)),0)</f>
        <v>250</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20</v>
      </c>
      <c r="O11" s="42">
        <f>(D$68*L68)-E11</f>
        <v>-12</v>
      </c>
      <c r="P11" s="42">
        <f t="shared" si="4"/>
        <v>50</v>
      </c>
      <c r="Q11" s="42">
        <f>(C$68*L68)-C11</f>
        <v>73</v>
      </c>
      <c r="R11" s="42">
        <f t="shared" si="5"/>
        <v>131</v>
      </c>
      <c r="S11" s="30">
        <f t="shared" si="6"/>
        <v>555911600</v>
      </c>
      <c r="T11" s="30">
        <f t="shared" si="7"/>
        <v>4201680</v>
      </c>
      <c r="U11" s="31">
        <f t="shared" si="8"/>
        <v>132.30698196911712</v>
      </c>
    </row>
    <row r="12" spans="2:21" ht="18" customHeight="1">
      <c r="B12" s="32" t="str">
        <f>'Data Entry'!A12</f>
        <v>7. Cases Resulting in Delinquent Findings</v>
      </c>
      <c r="C12" s="33">
        <f>'Data Entry'!C12</f>
        <v>12</v>
      </c>
      <c r="D12" s="34">
        <f>IF(((AND(C69&gt;0,C12&gt;0))),(C12/(C69)),0)</f>
        <v>24</v>
      </c>
      <c r="E12" s="33">
        <f>'Data Entry'!I12</f>
        <v>1</v>
      </c>
      <c r="F12" s="34">
        <f>IF(((AND($D$69&gt;0,$E$12&gt;0))),(E12/(D69)),0)</f>
        <v>5</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19</v>
      </c>
      <c r="P12" s="42">
        <f t="shared" si="4"/>
        <v>12</v>
      </c>
      <c r="Q12" s="42">
        <f>(C69*L69)-C12</f>
        <v>38</v>
      </c>
      <c r="R12" s="42">
        <f t="shared" si="5"/>
        <v>70</v>
      </c>
      <c r="S12" s="30">
        <f t="shared" si="6"/>
        <v>2527000</v>
      </c>
      <c r="T12" s="30">
        <f t="shared" si="7"/>
        <v>741000</v>
      </c>
      <c r="U12" s="31">
        <f t="shared" si="8"/>
        <v>3.4102564102564101</v>
      </c>
    </row>
    <row r="13" spans="2:21" ht="18" customHeight="1">
      <c r="B13" s="32" t="str">
        <f>'Data Entry'!A13</f>
        <v>8. Cases Resulting in Probation Placement</v>
      </c>
      <c r="C13" s="33">
        <f>'Data Entry'!C13</f>
        <v>56</v>
      </c>
      <c r="D13" s="34">
        <f>IF(((AND(C70&gt;0,C13&gt;0))),(C13/(C70)),0)</f>
        <v>466.66666666666669</v>
      </c>
      <c r="E13" s="33">
        <f>'Data Entry'!I13</f>
        <v>4</v>
      </c>
      <c r="F13" s="34">
        <f>IF(((AND($D$70&gt;0,$E$13&gt;0))),($E$13/($D$70)),0)</f>
        <v>400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4</v>
      </c>
      <c r="O13" s="42">
        <f>(D70*L70)-E13</f>
        <v>-3</v>
      </c>
      <c r="P13" s="42">
        <f t="shared" si="4"/>
        <v>56</v>
      </c>
      <c r="Q13" s="42">
        <f>(C70*L70)-C13</f>
        <v>-44</v>
      </c>
      <c r="R13" s="42">
        <f t="shared" si="5"/>
        <v>13</v>
      </c>
      <c r="S13" s="30">
        <f t="shared" si="6"/>
        <v>832</v>
      </c>
      <c r="T13" s="30">
        <f t="shared" si="7"/>
        <v>-33840</v>
      </c>
      <c r="U13" s="31">
        <f t="shared" si="8"/>
        <v>-2.4586288416075651E-2</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2</v>
      </c>
      <c r="Q14" s="42">
        <f>(C70*L70)-C14</f>
        <v>10</v>
      </c>
      <c r="R14" s="42">
        <f t="shared" si="5"/>
        <v>13</v>
      </c>
      <c r="S14" s="30">
        <f t="shared" si="6"/>
        <v>52</v>
      </c>
      <c r="T14" s="30">
        <f t="shared" si="7"/>
        <v>264</v>
      </c>
      <c r="U14" s="31">
        <f t="shared" si="8"/>
        <v>0.19696969696969696</v>
      </c>
    </row>
    <row r="15" spans="2:21" ht="15.75" customHeight="1">
      <c r="B15" s="32" t="str">
        <f>'Data Entry'!A15</f>
        <v xml:space="preserve">10. Cases Transferred to Adult Court </v>
      </c>
      <c r="C15" s="33">
        <f>'Data Entry'!C15</f>
        <v>1</v>
      </c>
      <c r="D15" s="34">
        <f>IF(((AND(C69&gt;0,C15&gt;0))),((C15/(C69))),0)</f>
        <v>2</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20</v>
      </c>
      <c r="P15" s="42">
        <f t="shared" si="4"/>
        <v>1</v>
      </c>
      <c r="Q15" s="42">
        <f>(C69*L69)-C15</f>
        <v>49</v>
      </c>
      <c r="R15" s="42">
        <f t="shared" si="5"/>
        <v>70</v>
      </c>
      <c r="S15" s="30">
        <f t="shared" si="6"/>
        <v>28000</v>
      </c>
      <c r="T15" s="30">
        <f t="shared" si="7"/>
        <v>69000</v>
      </c>
      <c r="U15" s="31">
        <f t="shared" si="8"/>
        <v>0.40579710144927539</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20.373999999999999</v>
      </c>
      <c r="D42" s="56">
        <f>E6/1000</f>
        <v>0</v>
      </c>
      <c r="E42" s="56">
        <f>MAX(C42:D42)</f>
        <v>20.373999999999999</v>
      </c>
      <c r="G42" s="1" t="str">
        <f>B42</f>
        <v>per 1000 youth</v>
      </c>
      <c r="L42" s="57">
        <v>1000</v>
      </c>
      <c r="M42" s="57"/>
      <c r="R42" s="49"/>
    </row>
    <row r="43" spans="2:18" ht="15" hidden="1" customHeight="1">
      <c r="B43" s="49" t="s">
        <v>87</v>
      </c>
      <c r="C43" s="56">
        <f>C7/100</f>
        <v>0.49</v>
      </c>
      <c r="D43" s="56">
        <f>E7/100</f>
        <v>0</v>
      </c>
      <c r="E43" s="56">
        <f>MAX(C43:D43,0)</f>
        <v>0.49</v>
      </c>
      <c r="G43" s="1" t="str">
        <f>B43</f>
        <v>per 100 arrests</v>
      </c>
      <c r="L43" s="57">
        <v>100</v>
      </c>
      <c r="M43" s="57"/>
      <c r="R43" s="49"/>
    </row>
    <row r="44" spans="2:18" ht="15" hidden="1" customHeight="1">
      <c r="B44" s="49" t="s">
        <v>88</v>
      </c>
      <c r="C44" s="56">
        <f>C8/100</f>
        <v>1.23</v>
      </c>
      <c r="D44" s="56">
        <f>E8/100</f>
        <v>0.08</v>
      </c>
      <c r="E44" s="56">
        <f>MAX(C44:D44,0)</f>
        <v>1.23</v>
      </c>
      <c r="G44" s="1" t="str">
        <f>B44</f>
        <v>per 100 referrals</v>
      </c>
      <c r="L44" s="57">
        <v>100</v>
      </c>
      <c r="M44" s="57"/>
      <c r="R44" s="49"/>
    </row>
    <row r="45" spans="2:18" ht="15" hidden="1" customHeight="1">
      <c r="B45" s="49" t="s">
        <v>89</v>
      </c>
      <c r="C45" s="49">
        <f>C11/100</f>
        <v>0.5</v>
      </c>
      <c r="D45" s="49">
        <f>E11/100</f>
        <v>0.2</v>
      </c>
      <c r="E45" s="56">
        <f>MAX(C45:D45,0)</f>
        <v>0.5</v>
      </c>
      <c r="G45" s="1" t="str">
        <f>B45</f>
        <v>per 100 youth petitioned</v>
      </c>
      <c r="L45" s="57">
        <v>100</v>
      </c>
      <c r="M45" s="57"/>
      <c r="R45" s="49"/>
    </row>
    <row r="46" spans="2:18" ht="15" hidden="1" customHeight="1">
      <c r="B46" s="49" t="s">
        <v>90</v>
      </c>
      <c r="C46" s="49">
        <f>C12/100</f>
        <v>0.12</v>
      </c>
      <c r="D46" s="49">
        <f>E12/100</f>
        <v>0.01</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20.373999999999999</v>
      </c>
      <c r="D48" s="56">
        <f>D42</f>
        <v>0</v>
      </c>
      <c r="E48" s="56">
        <f>MAX(C48:D48)</f>
        <v>20.373999999999999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0</v>
      </c>
      <c r="E49" s="49">
        <f>MAX(C49:D49)</f>
        <v>0.49</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0.08</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v>
      </c>
      <c r="D51" s="49">
        <f>IF(($E45&gt;0),D45,D44)</f>
        <v>0.2</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0.01</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20.373999999999999</v>
      </c>
      <c r="D54" s="56">
        <f>D48</f>
        <v>0</v>
      </c>
      <c r="E54" s="56">
        <f>MAX(C54:D54)</f>
        <v>20.373999999999999</v>
      </c>
      <c r="G54" s="1" t="str">
        <f>G48</f>
        <v>per 1000 youth</v>
      </c>
      <c r="L54" s="58">
        <f>L48</f>
        <v>1000</v>
      </c>
      <c r="M54" s="58"/>
    </row>
    <row r="55" spans="2:18" ht="15" hidden="1" customHeight="1">
      <c r="B55" s="49" t="str">
        <f t="shared" ref="B55:D56" si="10">IF(($E49&gt;0),B49,B48)</f>
        <v>per 100 arrests</v>
      </c>
      <c r="C55" s="49">
        <f t="shared" si="10"/>
        <v>0.49</v>
      </c>
      <c r="D55" s="49">
        <f t="shared" si="10"/>
        <v>0</v>
      </c>
      <c r="E55" s="49">
        <f>MAX(C55:D55)</f>
        <v>0.49</v>
      </c>
      <c r="G55" s="1" t="str">
        <f>G49</f>
        <v>per 100 arrests</v>
      </c>
      <c r="L55" s="58">
        <f>IF(($E49&gt;0),L49,L48)</f>
        <v>100</v>
      </c>
      <c r="M55" s="58"/>
    </row>
    <row r="56" spans="2:18" ht="15" hidden="1" customHeight="1">
      <c r="B56" s="49" t="str">
        <f t="shared" si="10"/>
        <v>per 100 referrals</v>
      </c>
      <c r="C56" s="49">
        <f t="shared" si="10"/>
        <v>1.23</v>
      </c>
      <c r="D56" s="49">
        <f t="shared" si="10"/>
        <v>0.08</v>
      </c>
      <c r="E56" s="49">
        <f>MAX(C56:D56)</f>
        <v>1.23</v>
      </c>
      <c r="G56" s="1" t="str">
        <f>G50</f>
        <v>per 100 referrals</v>
      </c>
      <c r="L56" s="58">
        <f>IF(($E50&gt;0),L50,L49)</f>
        <v>100</v>
      </c>
      <c r="M56" s="58"/>
    </row>
    <row r="57" spans="2:18" ht="15" hidden="1" customHeight="1">
      <c r="B57" s="49" t="str">
        <f>IF(($E51&gt;0),B51,B49)</f>
        <v>per 100 youth petitioned</v>
      </c>
      <c r="C57" s="49">
        <f>IF(($E51&gt;0),C51,C50)</f>
        <v>0.5</v>
      </c>
      <c r="D57" s="49">
        <f>IF(($E51&gt;0),D51,D50)</f>
        <v>0.2</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0.01</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20.373999999999999</v>
      </c>
      <c r="D60" s="56">
        <f>D54</f>
        <v>0</v>
      </c>
      <c r="E60" s="56">
        <f>MAX(C60:D60)</f>
        <v>20.373999999999999</v>
      </c>
      <c r="G60" s="1" t="str">
        <f>G54</f>
        <v>per 1000 youth</v>
      </c>
      <c r="L60" s="58">
        <f>L54</f>
        <v>1000</v>
      </c>
      <c r="M60" s="58"/>
    </row>
    <row r="61" spans="2:18" ht="15" hidden="1" customHeight="1">
      <c r="B61" s="49" t="str">
        <f t="shared" ref="B61:D62" si="11">IF(($E55&gt;0),B55,B54)</f>
        <v>per 100 arrests</v>
      </c>
      <c r="C61" s="49">
        <f t="shared" si="11"/>
        <v>0.49</v>
      </c>
      <c r="D61" s="49">
        <f t="shared" si="11"/>
        <v>0</v>
      </c>
      <c r="E61" s="49">
        <f>MAX(C61:D61)</f>
        <v>0.49</v>
      </c>
      <c r="G61" s="1" t="str">
        <f>G55</f>
        <v>per 100 arrests</v>
      </c>
      <c r="L61" s="58">
        <f>IF(($E55&gt;0),L55,L54)</f>
        <v>100</v>
      </c>
      <c r="M61" s="58"/>
    </row>
    <row r="62" spans="2:18" ht="15" hidden="1" customHeight="1">
      <c r="B62" s="49" t="str">
        <f t="shared" si="11"/>
        <v>per 100 referrals</v>
      </c>
      <c r="C62" s="49">
        <f t="shared" si="11"/>
        <v>1.23</v>
      </c>
      <c r="D62" s="49">
        <f t="shared" si="11"/>
        <v>0.08</v>
      </c>
      <c r="E62" s="49">
        <f>MAX(C62:D62)</f>
        <v>1.23</v>
      </c>
      <c r="G62" s="1" t="str">
        <f>G56</f>
        <v>per 100 referrals</v>
      </c>
      <c r="L62" s="58">
        <f>IF(($E56&gt;0),L56,L55)</f>
        <v>100</v>
      </c>
      <c r="M62" s="58"/>
    </row>
    <row r="63" spans="2:18" ht="15" hidden="1" customHeight="1">
      <c r="B63" s="49" t="str">
        <f>IF(($E57&gt;0),B57,B55)</f>
        <v>per 100 youth petitioned</v>
      </c>
      <c r="C63" s="49">
        <f>IF(($E57&gt;0),C57,C56)</f>
        <v>0.5</v>
      </c>
      <c r="D63" s="49">
        <f>IF(($E57&gt;0),D57,D56)</f>
        <v>0.2</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0.01</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20.373999999999999</v>
      </c>
      <c r="D66" s="56">
        <f>D60</f>
        <v>0</v>
      </c>
      <c r="E66" s="56">
        <f>MAX(C66:D66)</f>
        <v>20.373999999999999</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v>
      </c>
      <c r="E67" s="49">
        <f>MAX(C67:D67)</f>
        <v>0.49</v>
      </c>
      <c r="G67" s="1" t="str">
        <f>G61</f>
        <v>per 100 arrests</v>
      </c>
      <c r="L67" s="58">
        <f>IF(($E61&gt;0),L61,L60)</f>
        <v>100</v>
      </c>
      <c r="M67" s="58">
        <f>IF((B67=G67),1,2)</f>
        <v>1</v>
      </c>
    </row>
    <row r="68" spans="2:13" ht="15" hidden="1" customHeight="1">
      <c r="B68" s="49" t="str">
        <f t="shared" si="12"/>
        <v>per 100 referrals</v>
      </c>
      <c r="C68" s="49">
        <f t="shared" si="12"/>
        <v>1.23</v>
      </c>
      <c r="D68" s="49">
        <f t="shared" si="12"/>
        <v>0.08</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0.5</v>
      </c>
      <c r="D69" s="49">
        <f>IF(($E63&gt;0),D63,D62)</f>
        <v>0.2</v>
      </c>
      <c r="E69" s="49">
        <f>MAX(C69:D69)</f>
        <v>0.5</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0.01</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20374</v>
      </c>
      <c r="D6" s="34"/>
      <c r="E6" s="33">
        <f>'Data Entry'!J6</f>
        <v>11004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2.4050260135466774</v>
      </c>
      <c r="E7" s="33">
        <f>'Data Entry'!J7</f>
        <v>127</v>
      </c>
      <c r="F7" s="34">
        <f>IF((AND($E$7&gt;0,$D$66&gt;0)),($E$7/$D$66),0)</f>
        <v>11.541257724463831</v>
      </c>
      <c r="G7" s="39">
        <f t="shared" ref="G7:G15" si="0">IF(L$6=100,"*",IF(M7=FALSE,"--",IF(K7=20,"**",($F7/$D7))))</f>
        <v>4.7988078546576745</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127</v>
      </c>
      <c r="O7" s="42">
        <f>E6-E7</f>
        <v>10877</v>
      </c>
      <c r="P7" s="42">
        <f t="shared" ref="P7:P15" si="4">C7</f>
        <v>49</v>
      </c>
      <c r="Q7" s="42">
        <f>C6-C7</f>
        <v>20325</v>
      </c>
      <c r="R7" s="42">
        <f t="shared" ref="R7:R15" si="5">SUM(N7:Q7)</f>
        <v>31378</v>
      </c>
      <c r="S7" s="30">
        <f t="shared" ref="S7:S15" si="6">R7*((((N7*Q7)-(O7*P7))^2))</f>
        <v>1.316476881087751E+17</v>
      </c>
      <c r="T7" s="30">
        <f t="shared" ref="T7:T15" si="7">(N7+O7)*(P7+Q7)*(N7+P7)*(O7+Q7)</f>
        <v>1231181224449792</v>
      </c>
      <c r="U7" s="31">
        <f t="shared" ref="U7:U15" si="8">IF((S7&gt;0),S7/T7,"- -")</f>
        <v>106.92795300513758</v>
      </c>
    </row>
    <row r="8" spans="2:21" ht="18" customHeight="1">
      <c r="B8" s="32" t="str">
        <f>'Data Entry'!A8</f>
        <v>3. Refer to Juvenile Court</v>
      </c>
      <c r="C8" s="33">
        <f>'Data Entry'!C8</f>
        <v>123</v>
      </c>
      <c r="D8" s="34">
        <f>IF((AND(C67&gt;0,C8&gt;0)),(C8/C67),0)</f>
        <v>251.0204081632653</v>
      </c>
      <c r="E8" s="33">
        <f>'Data Entry'!J8</f>
        <v>252</v>
      </c>
      <c r="F8" s="34">
        <f>IF((AND($E$8&gt;0,$D$67&gt;0)),($E8/$D67),0)</f>
        <v>198.42519685039369</v>
      </c>
      <c r="G8" s="39">
        <f t="shared" si="0"/>
        <v>0.79047436143652772</v>
      </c>
      <c r="H8" s="40"/>
      <c r="I8" s="41"/>
      <c r="J8" s="40">
        <f>IF((ABS($U8)&gt;Defaults!D$7),1,2)</f>
        <v>1</v>
      </c>
      <c r="K8" s="39">
        <f>IF((AND(N8&gt;Defaults!B$12,(N8+O8)&gt;Defaults!B$13, P8 &gt; Defaults!B$12, (P8+Q8) &gt; Defaults!B$13)),1,20)</f>
        <v>1</v>
      </c>
      <c r="L8" s="1">
        <f t="shared" si="1"/>
        <v>1</v>
      </c>
      <c r="M8" s="1" t="b">
        <f t="shared" si="2"/>
        <v>1</v>
      </c>
      <c r="N8" s="42">
        <f t="shared" si="3"/>
        <v>252</v>
      </c>
      <c r="O8" s="42">
        <f>((D67*L67)-E8)+0.05</f>
        <v>-124.95</v>
      </c>
      <c r="P8" s="42">
        <f t="shared" si="4"/>
        <v>123</v>
      </c>
      <c r="Q8" s="42">
        <f>(C$67*L67)-C8</f>
        <v>-74</v>
      </c>
      <c r="R8" s="42">
        <f t="shared" si="5"/>
        <v>176.05</v>
      </c>
      <c r="S8" s="30">
        <f t="shared" si="6"/>
        <v>1893034792.3961248</v>
      </c>
      <c r="T8" s="30">
        <f t="shared" si="7"/>
        <v>-464457479.0625</v>
      </c>
      <c r="U8" s="31">
        <f t="shared" si="8"/>
        <v>-4.0757978452993919</v>
      </c>
    </row>
    <row r="9" spans="2:21" ht="18" customHeight="1">
      <c r="B9" s="32" t="str">
        <f>'Data Entry'!A9</f>
        <v xml:space="preserve">4. Cases Diverted </v>
      </c>
      <c r="C9" s="33">
        <f>'Data Entry'!C9</f>
        <v>5</v>
      </c>
      <c r="D9" s="34">
        <f>IF((AND(C68&gt;0,C9&gt;0)),((C9/C68)),0)</f>
        <v>4.0650406504065044</v>
      </c>
      <c r="E9" s="33">
        <f>'Data Entry'!J9</f>
        <v>22</v>
      </c>
      <c r="F9" s="34">
        <f>IF((AND($E$9&gt;0,$D$68&gt;0)),(($E$9/$D$68)),0)</f>
        <v>8.7301587301587293</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22</v>
      </c>
      <c r="O9" s="42">
        <f>(D$68*L68)-E9</f>
        <v>230</v>
      </c>
      <c r="P9" s="42">
        <f t="shared" si="4"/>
        <v>5</v>
      </c>
      <c r="Q9" s="42">
        <f>(C$68*L68)-C9</f>
        <v>118</v>
      </c>
      <c r="R9" s="42">
        <f t="shared" si="5"/>
        <v>375</v>
      </c>
      <c r="S9" s="30">
        <f t="shared" si="6"/>
        <v>784093500</v>
      </c>
      <c r="T9" s="30">
        <f t="shared" si="7"/>
        <v>291238416</v>
      </c>
      <c r="U9" s="31">
        <f t="shared" si="8"/>
        <v>2.6922736044547091</v>
      </c>
    </row>
    <row r="10" spans="2:21" ht="18" customHeight="1">
      <c r="B10" s="32" t="str">
        <f>'Data Entry'!A10</f>
        <v>5. Cases Involving Secure Detention</v>
      </c>
      <c r="C10" s="33">
        <f>'Data Entry'!C10</f>
        <v>17</v>
      </c>
      <c r="D10" s="34">
        <f>IF(((AND(C68&gt;0,C10&gt;0))),(C10/(C68)),0)</f>
        <v>13.821138211382115</v>
      </c>
      <c r="E10" s="33">
        <f>'Data Entry'!J10</f>
        <v>81</v>
      </c>
      <c r="F10" s="34">
        <f>IF(((AND($E$10&gt;0,$D$68&gt;0))),($E$10/($D$68)),0)</f>
        <v>32.142857142857146</v>
      </c>
      <c r="G10" s="39">
        <f t="shared" si="0"/>
        <v>2.3256302521008405</v>
      </c>
      <c r="H10" s="40"/>
      <c r="I10" s="41"/>
      <c r="J10" s="40">
        <f>IF((ABS($U10)&gt;Defaults!D$7),1,2)</f>
        <v>1</v>
      </c>
      <c r="K10" s="39">
        <f>IF((AND(N10&gt;Defaults!B$12,(N10+O10)&gt;Defaults!B$13, P10 &gt; Defaults!B$12, (P10+Q10) &gt; Defaults!B$13)),1,20)</f>
        <v>1</v>
      </c>
      <c r="L10" s="1">
        <f t="shared" si="1"/>
        <v>1</v>
      </c>
      <c r="M10" s="1" t="b">
        <f t="shared" si="2"/>
        <v>1</v>
      </c>
      <c r="N10" s="42">
        <f t="shared" si="3"/>
        <v>81</v>
      </c>
      <c r="O10" s="42">
        <f>(D$68*L68)-E10</f>
        <v>171</v>
      </c>
      <c r="P10" s="42">
        <f t="shared" si="4"/>
        <v>17</v>
      </c>
      <c r="Q10" s="42">
        <f>(C$68*L68)-C10</f>
        <v>106</v>
      </c>
      <c r="R10" s="42">
        <f t="shared" si="5"/>
        <v>375</v>
      </c>
      <c r="S10" s="30">
        <f t="shared" si="6"/>
        <v>12094140375</v>
      </c>
      <c r="T10" s="30">
        <f t="shared" si="7"/>
        <v>841417416</v>
      </c>
      <c r="U10" s="31">
        <f t="shared" si="8"/>
        <v>14.373532262374754</v>
      </c>
    </row>
    <row r="11" spans="2:21" ht="18" customHeight="1">
      <c r="B11" s="32" t="str">
        <f>'Data Entry'!A11</f>
        <v>6. Cases Petitioned (Charge Filed)</v>
      </c>
      <c r="C11" s="33">
        <f>'Data Entry'!C11</f>
        <v>50</v>
      </c>
      <c r="D11" s="34">
        <f>IF(((AND(C68&gt;0,C11&gt;0))),(C11/(C68)),0)</f>
        <v>40.650406504065039</v>
      </c>
      <c r="E11" s="33">
        <f>'Data Entry'!J11</f>
        <v>210</v>
      </c>
      <c r="F11" s="34">
        <f>IF(((AND($E$11&gt;0,$D$68&gt;0))),($E$11/($D$68)),0)</f>
        <v>83.333333333333329</v>
      </c>
      <c r="G11" s="39">
        <f t="shared" si="0"/>
        <v>2.0499999999999998</v>
      </c>
      <c r="H11" s="40"/>
      <c r="I11" s="41"/>
      <c r="J11" s="40">
        <f>IF((ABS($U11)&gt;Defaults!D$7),1,2)</f>
        <v>1</v>
      </c>
      <c r="K11" s="39">
        <f>IF((AND(N11&gt;Defaults!B$12,(N11+O11)&gt;Defaults!B$13, P11 &gt; Defaults!B$12, (P11+Q11) &gt; Defaults!B$13)),1,20)</f>
        <v>1</v>
      </c>
      <c r="L11" s="1">
        <f t="shared" si="1"/>
        <v>1</v>
      </c>
      <c r="M11" s="1" t="b">
        <f t="shared" si="2"/>
        <v>1</v>
      </c>
      <c r="N11" s="42">
        <f t="shared" si="3"/>
        <v>210</v>
      </c>
      <c r="O11" s="42">
        <f>(D$68*L68)-E11</f>
        <v>42</v>
      </c>
      <c r="P11" s="42">
        <f t="shared" si="4"/>
        <v>50</v>
      </c>
      <c r="Q11" s="42">
        <f>(C$68*L68)-C11</f>
        <v>73</v>
      </c>
      <c r="R11" s="42">
        <f t="shared" si="5"/>
        <v>375</v>
      </c>
      <c r="S11" s="30">
        <f t="shared" si="6"/>
        <v>65637337500</v>
      </c>
      <c r="T11" s="30">
        <f t="shared" si="7"/>
        <v>926780400</v>
      </c>
      <c r="U11" s="31">
        <f t="shared" si="8"/>
        <v>70.822966799902119</v>
      </c>
    </row>
    <row r="12" spans="2:21" ht="18" customHeight="1">
      <c r="B12" s="32" t="str">
        <f>'Data Entry'!A12</f>
        <v>7. Cases Resulting in Delinquent Findings</v>
      </c>
      <c r="C12" s="33">
        <f>'Data Entry'!C12</f>
        <v>12</v>
      </c>
      <c r="D12" s="34">
        <f>IF(((AND(C69&gt;0,C12&gt;0))),(C12/(C69)),0)</f>
        <v>24</v>
      </c>
      <c r="E12" s="33">
        <f>'Data Entry'!J12</f>
        <v>56</v>
      </c>
      <c r="F12" s="34">
        <f>IF(((AND($D$69&gt;0,$E$12&gt;0))),(E12/(D69)),0)</f>
        <v>26.666666666666664</v>
      </c>
      <c r="G12" s="39">
        <f t="shared" si="0"/>
        <v>1.1111111111111109</v>
      </c>
      <c r="H12" s="40"/>
      <c r="I12" s="41"/>
      <c r="J12" s="40">
        <f>IF((ABS($U12)&gt;Defaults!D$7),1,2)</f>
        <v>2</v>
      </c>
      <c r="K12" s="39">
        <f>IF((AND(N12&gt;Defaults!B$12,(N12+O12)&gt;Defaults!B$13, P12 &gt; Defaults!B$12, (P12+Q12) &gt; Defaults!B$13)),1,20)</f>
        <v>1</v>
      </c>
      <c r="L12" s="1">
        <f t="shared" si="1"/>
        <v>2</v>
      </c>
      <c r="M12" s="1" t="b">
        <f t="shared" si="2"/>
        <v>1</v>
      </c>
      <c r="N12" s="42">
        <f t="shared" si="3"/>
        <v>56</v>
      </c>
      <c r="O12" s="42">
        <f>(D69*L69)-E12</f>
        <v>154</v>
      </c>
      <c r="P12" s="42">
        <f t="shared" si="4"/>
        <v>12</v>
      </c>
      <c r="Q12" s="42">
        <f>(C69*L69)-C12</f>
        <v>38</v>
      </c>
      <c r="R12" s="42">
        <f t="shared" si="5"/>
        <v>260</v>
      </c>
      <c r="S12" s="30">
        <f t="shared" si="6"/>
        <v>20384000</v>
      </c>
      <c r="T12" s="30">
        <f t="shared" si="7"/>
        <v>137088000</v>
      </c>
      <c r="U12" s="31">
        <f t="shared" si="8"/>
        <v>0.14869281045751634</v>
      </c>
    </row>
    <row r="13" spans="2:21" ht="18" customHeight="1">
      <c r="B13" s="32" t="str">
        <f>'Data Entry'!A13</f>
        <v>8. Cases Resulting in Probation Placement</v>
      </c>
      <c r="C13" s="33">
        <f>'Data Entry'!C13</f>
        <v>56</v>
      </c>
      <c r="D13" s="34">
        <f>IF(((AND(C70&gt;0,C13&gt;0))),(C13/(C70)),0)</f>
        <v>466.66666666666669</v>
      </c>
      <c r="E13" s="33">
        <f>'Data Entry'!J13</f>
        <v>134</v>
      </c>
      <c r="F13" s="34">
        <f>IF(((AND($D$70&gt;0,$E$13&gt;0))),($E$13/($D$70)),0)</f>
        <v>239.28571428571425</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134</v>
      </c>
      <c r="O13" s="42">
        <f>(D70*L70)-E13</f>
        <v>-78</v>
      </c>
      <c r="P13" s="42">
        <f t="shared" si="4"/>
        <v>56</v>
      </c>
      <c r="Q13" s="42">
        <f>(C70*L70)-C13</f>
        <v>-44</v>
      </c>
      <c r="R13" s="42">
        <f t="shared" si="5"/>
        <v>68</v>
      </c>
      <c r="S13" s="30">
        <f t="shared" si="6"/>
        <v>158765312</v>
      </c>
      <c r="T13" s="30">
        <f t="shared" si="7"/>
        <v>-15576960</v>
      </c>
      <c r="U13" s="31">
        <f t="shared" si="8"/>
        <v>-10.192316857718065</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Entry'!J14</f>
        <v>2</v>
      </c>
      <c r="F14" s="34">
        <f>IF(((AND($D$70&gt;0,$E$14&gt;0))), (($E$14/($D$70))),0)</f>
        <v>3.5714285714285712</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54.000000000000007</v>
      </c>
      <c r="P14" s="42">
        <f t="shared" si="4"/>
        <v>2</v>
      </c>
      <c r="Q14" s="42">
        <f>(C70*L70)-C14</f>
        <v>10</v>
      </c>
      <c r="R14" s="42">
        <f t="shared" si="5"/>
        <v>68</v>
      </c>
      <c r="S14" s="30">
        <f t="shared" si="6"/>
        <v>526592.00000000023</v>
      </c>
      <c r="T14" s="30">
        <f t="shared" si="7"/>
        <v>172032.00000000003</v>
      </c>
      <c r="U14" s="31">
        <f t="shared" si="8"/>
        <v>3.0610119047619055</v>
      </c>
    </row>
    <row r="15" spans="2:21" ht="15.75" customHeight="1">
      <c r="B15" s="32" t="str">
        <f>'Data Entry'!A15</f>
        <v xml:space="preserve">10. Cases Transferred to Adult Court </v>
      </c>
      <c r="C15" s="33">
        <f>'Data Entry'!C15</f>
        <v>1</v>
      </c>
      <c r="D15" s="34">
        <f>IF(((AND(C69&gt;0,C15&gt;0))),((C15/(C69))),0)</f>
        <v>2</v>
      </c>
      <c r="E15" s="33">
        <f>'Data Entry'!J15</f>
        <v>1</v>
      </c>
      <c r="F15" s="34">
        <f>IF(((AND($D$69&gt;0,$E$15&gt;0))),(($E$15/($D$69))),0)</f>
        <v>0.47619047619047616</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1</v>
      </c>
      <c r="O15" s="42">
        <f>(D69*L69)-E15</f>
        <v>209</v>
      </c>
      <c r="P15" s="42">
        <f t="shared" si="4"/>
        <v>1</v>
      </c>
      <c r="Q15" s="42">
        <f>(C69*L69)-C15</f>
        <v>49</v>
      </c>
      <c r="R15" s="42">
        <f t="shared" si="5"/>
        <v>260</v>
      </c>
      <c r="S15" s="30">
        <f t="shared" si="6"/>
        <v>6656000</v>
      </c>
      <c r="T15" s="30">
        <f t="shared" si="7"/>
        <v>5418000</v>
      </c>
      <c r="U15" s="31">
        <f t="shared" si="8"/>
        <v>1.2284976005906239</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20.373999999999999</v>
      </c>
      <c r="D42" s="56">
        <f>E6/1000</f>
        <v>11.004</v>
      </c>
      <c r="E42" s="56">
        <f>MAX(C42:D42)</f>
        <v>20.373999999999999</v>
      </c>
      <c r="G42" s="1" t="str">
        <f>B42</f>
        <v>per 1000 youth</v>
      </c>
      <c r="L42" s="57">
        <v>1000</v>
      </c>
      <c r="M42" s="57"/>
      <c r="R42" s="49"/>
    </row>
    <row r="43" spans="2:18" ht="15" hidden="1" customHeight="1">
      <c r="B43" s="49" t="s">
        <v>87</v>
      </c>
      <c r="C43" s="56">
        <f>C7/100</f>
        <v>0.49</v>
      </c>
      <c r="D43" s="56">
        <f>E7/100</f>
        <v>1.27</v>
      </c>
      <c r="E43" s="56">
        <f>MAX(C43:D43,0)</f>
        <v>1.27</v>
      </c>
      <c r="G43" s="1" t="str">
        <f>B43</f>
        <v>per 100 arrests</v>
      </c>
      <c r="L43" s="57">
        <v>100</v>
      </c>
      <c r="M43" s="57"/>
      <c r="R43" s="49"/>
    </row>
    <row r="44" spans="2:18" ht="15" hidden="1" customHeight="1">
      <c r="B44" s="49" t="s">
        <v>88</v>
      </c>
      <c r="C44" s="56">
        <f>C8/100</f>
        <v>1.23</v>
      </c>
      <c r="D44" s="56">
        <f>E8/100</f>
        <v>2.52</v>
      </c>
      <c r="E44" s="56">
        <f>MAX(C44:D44,0)</f>
        <v>2.52</v>
      </c>
      <c r="G44" s="1" t="str">
        <f>B44</f>
        <v>per 100 referrals</v>
      </c>
      <c r="L44" s="57">
        <v>100</v>
      </c>
      <c r="M44" s="57"/>
      <c r="R44" s="49"/>
    </row>
    <row r="45" spans="2:18" ht="15" hidden="1" customHeight="1">
      <c r="B45" s="49" t="s">
        <v>89</v>
      </c>
      <c r="C45" s="49">
        <f>C11/100</f>
        <v>0.5</v>
      </c>
      <c r="D45" s="49">
        <f>E11/100</f>
        <v>2.1</v>
      </c>
      <c r="E45" s="56">
        <f>MAX(C45:D45,0)</f>
        <v>2.1</v>
      </c>
      <c r="G45" s="1" t="str">
        <f>B45</f>
        <v>per 100 youth petitioned</v>
      </c>
      <c r="L45" s="57">
        <v>100</v>
      </c>
      <c r="M45" s="57"/>
      <c r="R45" s="49"/>
    </row>
    <row r="46" spans="2:18" ht="15" hidden="1" customHeight="1">
      <c r="B46" s="49" t="s">
        <v>90</v>
      </c>
      <c r="C46" s="49">
        <f>C12/100</f>
        <v>0.12</v>
      </c>
      <c r="D46" s="49">
        <f>E12/100</f>
        <v>0.56000000000000005</v>
      </c>
      <c r="E46" s="56">
        <f>MAX(C46:D46)</f>
        <v>0.56000000000000005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20.373999999999999</v>
      </c>
      <c r="D48" s="56">
        <f>D42</f>
        <v>11.004</v>
      </c>
      <c r="E48" s="56">
        <f>MAX(C48:D48)</f>
        <v>20.373999999999999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1.27</v>
      </c>
      <c r="E49" s="49">
        <f>MAX(C49:D49)</f>
        <v>1.27</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2.52</v>
      </c>
      <c r="E50" s="49">
        <f>MAX(C50:D50)</f>
        <v>2.52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v>
      </c>
      <c r="D51" s="49">
        <f>IF(($E45&gt;0),D45,D44)</f>
        <v>2.1</v>
      </c>
      <c r="E51" s="49">
        <f>MAX(C51:D51)</f>
        <v>2.1</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0.56000000000000005</v>
      </c>
      <c r="E52" s="56">
        <f>MAX(C52:D52)</f>
        <v>0.56000000000000005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20.373999999999999</v>
      </c>
      <c r="D54" s="56">
        <f>D48</f>
        <v>11.004</v>
      </c>
      <c r="E54" s="56">
        <f>MAX(C54:D54)</f>
        <v>20.373999999999999</v>
      </c>
      <c r="G54" s="1" t="str">
        <f>G48</f>
        <v>per 1000 youth</v>
      </c>
      <c r="L54" s="58">
        <f>L48</f>
        <v>1000</v>
      </c>
      <c r="M54" s="58"/>
    </row>
    <row r="55" spans="2:18" ht="15" hidden="1" customHeight="1">
      <c r="B55" s="49" t="str">
        <f t="shared" ref="B55:D56" si="10">IF(($E49&gt;0),B49,B48)</f>
        <v>per 100 arrests</v>
      </c>
      <c r="C55" s="49">
        <f t="shared" si="10"/>
        <v>0.49</v>
      </c>
      <c r="D55" s="49">
        <f t="shared" si="10"/>
        <v>1.27</v>
      </c>
      <c r="E55" s="49">
        <f>MAX(C55:D55)</f>
        <v>1.27</v>
      </c>
      <c r="G55" s="1" t="str">
        <f>G49</f>
        <v>per 100 arrests</v>
      </c>
      <c r="L55" s="58">
        <f>IF(($E49&gt;0),L49,L48)</f>
        <v>100</v>
      </c>
      <c r="M55" s="58"/>
    </row>
    <row r="56" spans="2:18" ht="15" hidden="1" customHeight="1">
      <c r="B56" s="49" t="str">
        <f t="shared" si="10"/>
        <v>per 100 referrals</v>
      </c>
      <c r="C56" s="49">
        <f t="shared" si="10"/>
        <v>1.23</v>
      </c>
      <c r="D56" s="49">
        <f t="shared" si="10"/>
        <v>2.52</v>
      </c>
      <c r="E56" s="49">
        <f>MAX(C56:D56)</f>
        <v>2.52</v>
      </c>
      <c r="G56" s="1" t="str">
        <f>G50</f>
        <v>per 100 referrals</v>
      </c>
      <c r="L56" s="58">
        <f>IF(($E50&gt;0),L50,L49)</f>
        <v>100</v>
      </c>
      <c r="M56" s="58"/>
    </row>
    <row r="57" spans="2:18" ht="15" hidden="1" customHeight="1">
      <c r="B57" s="49" t="str">
        <f>IF(($E51&gt;0),B51,B49)</f>
        <v>per 100 youth petitioned</v>
      </c>
      <c r="C57" s="49">
        <f>IF(($E51&gt;0),C51,C50)</f>
        <v>0.5</v>
      </c>
      <c r="D57" s="49">
        <f>IF(($E51&gt;0),D51,D50)</f>
        <v>2.1</v>
      </c>
      <c r="E57" s="49">
        <f>MAX(C57:D57)</f>
        <v>2.1</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0.56000000000000005</v>
      </c>
      <c r="E58" s="56">
        <f>MAX(C58:D58)</f>
        <v>0.56000000000000005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20.373999999999999</v>
      </c>
      <c r="D60" s="56">
        <f>D54</f>
        <v>11.004</v>
      </c>
      <c r="E60" s="56">
        <f>MAX(C60:D60)</f>
        <v>20.373999999999999</v>
      </c>
      <c r="G60" s="1" t="str">
        <f>G54</f>
        <v>per 1000 youth</v>
      </c>
      <c r="L60" s="58">
        <f>L54</f>
        <v>1000</v>
      </c>
      <c r="M60" s="58"/>
    </row>
    <row r="61" spans="2:18" ht="15" hidden="1" customHeight="1">
      <c r="B61" s="49" t="str">
        <f t="shared" ref="B61:D62" si="11">IF(($E55&gt;0),B55,B54)</f>
        <v>per 100 arrests</v>
      </c>
      <c r="C61" s="49">
        <f t="shared" si="11"/>
        <v>0.49</v>
      </c>
      <c r="D61" s="49">
        <f t="shared" si="11"/>
        <v>1.27</v>
      </c>
      <c r="E61" s="49">
        <f>MAX(C61:D61)</f>
        <v>1.27</v>
      </c>
      <c r="G61" s="1" t="str">
        <f>G55</f>
        <v>per 100 arrests</v>
      </c>
      <c r="L61" s="58">
        <f>IF(($E55&gt;0),L55,L54)</f>
        <v>100</v>
      </c>
      <c r="M61" s="58"/>
    </row>
    <row r="62" spans="2:18" ht="15" hidden="1" customHeight="1">
      <c r="B62" s="49" t="str">
        <f t="shared" si="11"/>
        <v>per 100 referrals</v>
      </c>
      <c r="C62" s="49">
        <f t="shared" si="11"/>
        <v>1.23</v>
      </c>
      <c r="D62" s="49">
        <f t="shared" si="11"/>
        <v>2.52</v>
      </c>
      <c r="E62" s="49">
        <f>MAX(C62:D62)</f>
        <v>2.52</v>
      </c>
      <c r="G62" s="1" t="str">
        <f>G56</f>
        <v>per 100 referrals</v>
      </c>
      <c r="L62" s="58">
        <f>IF(($E56&gt;0),L56,L55)</f>
        <v>100</v>
      </c>
      <c r="M62" s="58"/>
    </row>
    <row r="63" spans="2:18" ht="15" hidden="1" customHeight="1">
      <c r="B63" s="49" t="str">
        <f>IF(($E57&gt;0),B57,B55)</f>
        <v>per 100 youth petitioned</v>
      </c>
      <c r="C63" s="49">
        <f>IF(($E57&gt;0),C57,C56)</f>
        <v>0.5</v>
      </c>
      <c r="D63" s="49">
        <f>IF(($E57&gt;0),D57,D56)</f>
        <v>2.1</v>
      </c>
      <c r="E63" s="49">
        <f>MAX(C63:D63)</f>
        <v>2.1</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0.56000000000000005</v>
      </c>
      <c r="E64" s="56">
        <f>MAX(C64:D64)</f>
        <v>0.56000000000000005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20.373999999999999</v>
      </c>
      <c r="D66" s="56">
        <f>D60</f>
        <v>11.004</v>
      </c>
      <c r="E66" s="56">
        <f>MAX(C66:D66)</f>
        <v>20.373999999999999</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1.27</v>
      </c>
      <c r="E67" s="49">
        <f>MAX(C67:D67)</f>
        <v>1.27</v>
      </c>
      <c r="G67" s="1" t="str">
        <f>G61</f>
        <v>per 100 arrests</v>
      </c>
      <c r="L67" s="58">
        <f>IF(($E61&gt;0),L61,L60)</f>
        <v>100</v>
      </c>
      <c r="M67" s="58">
        <f>IF((B67=G67),1,2)</f>
        <v>1</v>
      </c>
    </row>
    <row r="68" spans="2:13" ht="15" hidden="1" customHeight="1">
      <c r="B68" s="49" t="str">
        <f t="shared" si="12"/>
        <v>per 100 referrals</v>
      </c>
      <c r="C68" s="49">
        <f t="shared" si="12"/>
        <v>1.23</v>
      </c>
      <c r="D68" s="49">
        <f t="shared" si="12"/>
        <v>2.52</v>
      </c>
      <c r="E68" s="49">
        <f>MAX(C68:D68)</f>
        <v>2.52</v>
      </c>
      <c r="G68" s="1" t="str">
        <f>G62</f>
        <v>per 100 referrals</v>
      </c>
      <c r="L68" s="58">
        <f>IF(($E62&gt;0),L62,L61)</f>
        <v>100</v>
      </c>
      <c r="M68" s="58">
        <f>IF((B68=G68),1,2)</f>
        <v>1</v>
      </c>
    </row>
    <row r="69" spans="2:13" ht="15" hidden="1" customHeight="1">
      <c r="B69" s="49" t="str">
        <f>IF(($E63&gt;0),B63,B61)</f>
        <v>per 100 youth petitioned</v>
      </c>
      <c r="C69" s="49">
        <f>IF(($E63&gt;0),C63,C62)</f>
        <v>0.5</v>
      </c>
      <c r="D69" s="49">
        <f>IF(($E63&gt;0),D63,D62)</f>
        <v>2.1</v>
      </c>
      <c r="E69" s="49">
        <f>MAX(C69:D69)</f>
        <v>2.1</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0.56000000000000005</v>
      </c>
      <c r="E70" s="56">
        <f>MAX(C70:D70)</f>
        <v>0.56000000000000005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Washtenaw</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9.2698404056744632</v>
      </c>
      <c r="D7" s="72">
        <f>Hispanic!G7</f>
        <v>1.1422964790311727</v>
      </c>
      <c r="E7" s="72" t="str">
        <f>Asian!G7</f>
        <v>**</v>
      </c>
      <c r="F7" s="72" t="str">
        <f>Hawaiian!G7</f>
        <v>*</v>
      </c>
      <c r="G7" s="72" t="str">
        <f>'Am Indian'!G7</f>
        <v>*</v>
      </c>
      <c r="H7" s="72" t="str">
        <f>'Other - Mixed'!G7</f>
        <v>*</v>
      </c>
      <c r="I7" s="73">
        <f>'All Minorities'!G7</f>
        <v>4.7988078546576745</v>
      </c>
      <c r="L7" s="1">
        <f>'Black or African-American'!L7</f>
        <v>1</v>
      </c>
      <c r="M7" s="1">
        <f>Hispanic!L7</f>
        <v>2</v>
      </c>
      <c r="N7" s="1">
        <f>Asian!L7</f>
        <v>40</v>
      </c>
      <c r="O7" s="1" t="e">
        <f>Hawaiian!L7</f>
        <v>#VALUE!</v>
      </c>
      <c r="P7" s="1">
        <f>'Am Indian'!L7</f>
        <v>139</v>
      </c>
      <c r="Q7" s="1" t="e">
        <f>'Other - Mixed'!L7</f>
        <v>#VALUE!</v>
      </c>
      <c r="R7" s="1">
        <f>'All Minorities'!L7</f>
        <v>1</v>
      </c>
    </row>
    <row r="8" spans="2:18" ht="15" customHeight="1">
      <c r="B8" s="71" t="s">
        <v>9</v>
      </c>
      <c r="C8" s="72">
        <f>'Black or African-American'!$G8</f>
        <v>0.78312834410395393</v>
      </c>
      <c r="D8" s="72" t="str">
        <f>Hispanic!G8</f>
        <v>**</v>
      </c>
      <c r="E8" s="72" t="str">
        <f>Asian!G8</f>
        <v>**</v>
      </c>
      <c r="F8" s="72" t="str">
        <f>Hawaiian!G8</f>
        <v>*</v>
      </c>
      <c r="G8" s="72" t="str">
        <f>'Am Indian'!G8</f>
        <v>*</v>
      </c>
      <c r="H8" s="72" t="str">
        <f>'Other - Mixed'!G8</f>
        <v>*</v>
      </c>
      <c r="I8" s="73">
        <f>'All Minorities'!G8</f>
        <v>0.79047436143652772</v>
      </c>
      <c r="L8" s="1">
        <f>'Black or African-American'!L8</f>
        <v>1</v>
      </c>
      <c r="M8" s="1">
        <f>Hispanic!L8</f>
        <v>20</v>
      </c>
      <c r="N8" s="1">
        <f>Asian!L8</f>
        <v>20</v>
      </c>
      <c r="O8" s="1">
        <f>Hawaiian!L8</f>
        <v>119</v>
      </c>
      <c r="P8" s="1">
        <f>'Am Indian'!L8</f>
        <v>119</v>
      </c>
      <c r="Q8" s="1">
        <f>'Other - Mixed'!L8</f>
        <v>119</v>
      </c>
      <c r="R8" s="1">
        <f>'All Minorities'!L8</f>
        <v>1</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f>Asian!L9</f>
        <v>40</v>
      </c>
      <c r="O9" s="1">
        <f>Hawaiian!L9</f>
        <v>139</v>
      </c>
      <c r="P9" s="1">
        <f>'Am Indian'!L9</f>
        <v>119</v>
      </c>
      <c r="Q9" s="1">
        <f>'Other - Mixed'!L9</f>
        <v>139</v>
      </c>
      <c r="R9" s="1">
        <f>'All Minorities'!L9</f>
        <v>40</v>
      </c>
    </row>
    <row r="10" spans="2:18" ht="15" customHeight="1">
      <c r="B10" s="71" t="s">
        <v>11</v>
      </c>
      <c r="C10" s="72">
        <f>'Black or African-American'!$G10</f>
        <v>1.7930946291560101</v>
      </c>
      <c r="D10" s="72" t="str">
        <f>Hispanic!G10</f>
        <v>**</v>
      </c>
      <c r="E10" s="72" t="str">
        <f>Asian!G10</f>
        <v>**</v>
      </c>
      <c r="F10" s="72" t="str">
        <f>Hawaiian!G10</f>
        <v>*</v>
      </c>
      <c r="G10" s="72" t="str">
        <f>'Am Indian'!G10</f>
        <v>*</v>
      </c>
      <c r="H10" s="72" t="str">
        <f>'Other - Mixed'!G10</f>
        <v>*</v>
      </c>
      <c r="I10" s="73">
        <f>'All Minorities'!G10</f>
        <v>2.3256302521008405</v>
      </c>
      <c r="L10" s="1">
        <f>'Black or African-American'!L10</f>
        <v>1</v>
      </c>
      <c r="M10" s="1">
        <f>Hispanic!L10</f>
        <v>20</v>
      </c>
      <c r="N10" s="1">
        <f>Asian!L10</f>
        <v>40</v>
      </c>
      <c r="O10" s="1">
        <f>Hawaiian!L10</f>
        <v>139</v>
      </c>
      <c r="P10" s="1">
        <f>'Am Indian'!L10</f>
        <v>119</v>
      </c>
      <c r="Q10" s="1">
        <f>'Other - Mixed'!L10</f>
        <v>119</v>
      </c>
      <c r="R10" s="1">
        <f>'All Minorities'!L10</f>
        <v>1</v>
      </c>
    </row>
    <row r="11" spans="2:18" ht="15" customHeight="1">
      <c r="B11" s="71" t="s">
        <v>95</v>
      </c>
      <c r="C11" s="72">
        <f>'Black or African-American'!$G11</f>
        <v>1.7861739130434786</v>
      </c>
      <c r="D11" s="72" t="str">
        <f>Hispanic!G11</f>
        <v>**</v>
      </c>
      <c r="E11" s="72" t="str">
        <f>Asian!G11</f>
        <v>**</v>
      </c>
      <c r="F11" s="72" t="str">
        <f>Hawaiian!G11</f>
        <v>*</v>
      </c>
      <c r="G11" s="72" t="str">
        <f>'Am Indian'!G11</f>
        <v>*</v>
      </c>
      <c r="H11" s="72" t="str">
        <f>'Other - Mixed'!G11</f>
        <v>*</v>
      </c>
      <c r="I11" s="73">
        <f>'All Minorities'!G11</f>
        <v>2.0499999999999998</v>
      </c>
      <c r="L11" s="1">
        <f>'Black or African-American'!L11</f>
        <v>1</v>
      </c>
      <c r="M11" s="1">
        <f>Hispanic!L11</f>
        <v>20</v>
      </c>
      <c r="N11" s="1">
        <f>Asian!L11</f>
        <v>40</v>
      </c>
      <c r="O11" s="1">
        <f>Hawaiian!L11</f>
        <v>139</v>
      </c>
      <c r="P11" s="1">
        <f>'Am Indian'!L11</f>
        <v>119</v>
      </c>
      <c r="Q11" s="1">
        <f>'Other - Mixed'!L11</f>
        <v>119</v>
      </c>
      <c r="R11" s="1">
        <f>'All Minorities'!L11</f>
        <v>1</v>
      </c>
    </row>
    <row r="12" spans="2:18" ht="15" customHeight="1">
      <c r="B12" s="71" t="s">
        <v>13</v>
      </c>
      <c r="C12" s="72">
        <f>'Black or African-American'!$G12</f>
        <v>1.347305389221557</v>
      </c>
      <c r="D12" s="72" t="str">
        <f>Hispanic!G12</f>
        <v>**</v>
      </c>
      <c r="E12" s="72" t="str">
        <f>Asian!G12</f>
        <v>**</v>
      </c>
      <c r="F12" s="72" t="str">
        <f>Hawaiian!G12</f>
        <v>*</v>
      </c>
      <c r="G12" s="72" t="str">
        <f>'Am Indian'!G12</f>
        <v>*</v>
      </c>
      <c r="H12" s="72" t="str">
        <f>'Other - Mixed'!G12</f>
        <v>*</v>
      </c>
      <c r="I12" s="73">
        <f>'All Minorities'!G12</f>
        <v>1.1111111111111109</v>
      </c>
      <c r="L12" s="1">
        <f>'Black or African-American'!L12</f>
        <v>2</v>
      </c>
      <c r="M12" s="1">
        <f>Hispanic!L12</f>
        <v>40</v>
      </c>
      <c r="N12" s="1">
        <f>Asian!L12</f>
        <v>40</v>
      </c>
      <c r="O12" s="1">
        <f>Hawaiian!L12</f>
        <v>139</v>
      </c>
      <c r="P12" s="1">
        <f>'Am Indian'!L12</f>
        <v>139</v>
      </c>
      <c r="Q12" s="1">
        <f>'Other - Mixed'!L12</f>
        <v>139</v>
      </c>
      <c r="R12" s="1">
        <f>'All Minorities'!L12</f>
        <v>2</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f>Hispanic!L13</f>
        <v>40</v>
      </c>
      <c r="N13" s="1" t="e">
        <f>Asian!L13</f>
        <v>#DIV/0!</v>
      </c>
      <c r="O13" s="1" t="e">
        <f>Hawaiian!L13</f>
        <v>#DIV/0!</v>
      </c>
      <c r="P13" s="1" t="e">
        <f>'Am Indian'!L13</f>
        <v>#DIV/0!</v>
      </c>
      <c r="Q13" s="1">
        <f>'Other - Mixed'!L13</f>
        <v>139</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f>Hispanic!L15</f>
        <v>40</v>
      </c>
      <c r="N15" s="1">
        <f>Asian!L15</f>
        <v>40</v>
      </c>
      <c r="O15" s="1">
        <f>Hawaiian!L15</f>
        <v>139</v>
      </c>
      <c r="P15" s="1">
        <f>'Am Indian'!L15</f>
        <v>139</v>
      </c>
      <c r="Q15" s="1">
        <f>'Other - Mixed'!L15</f>
        <v>139</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31378</v>
      </c>
      <c r="D3" s="57">
        <f>'Data Entry'!C6</f>
        <v>20374</v>
      </c>
      <c r="E3" s="57">
        <f>'Data Entry'!D6</f>
        <v>5248</v>
      </c>
      <c r="F3" s="57">
        <f>'Data Entry'!E6</f>
        <v>2548</v>
      </c>
      <c r="G3" s="57">
        <f>'Data Entry'!F6</f>
        <v>3089</v>
      </c>
      <c r="H3" s="57">
        <f>'Data Entry'!G6</f>
        <v>0</v>
      </c>
      <c r="I3" s="57">
        <f>'Data Entry'!H6</f>
        <v>119</v>
      </c>
      <c r="J3" s="57">
        <f>'Data Entry'!I6</f>
        <v>0</v>
      </c>
      <c r="K3" s="57">
        <f>'Data Entry'!J6</f>
        <v>11004</v>
      </c>
    </row>
    <row r="4" spans="2:11" ht="15" customHeight="1">
      <c r="B4" s="16" t="s">
        <v>8</v>
      </c>
      <c r="C4" s="1">
        <f>IF((C$3&gt;0),(1000*('Data Entry'!B7/'Data Entry'!B$6)), 0)</f>
        <v>5.7683727452355154</v>
      </c>
      <c r="D4" s="1">
        <f>IF((D$3&gt;0),(1000*('Data Entry'!C7/'Data Entry'!C$6)), 0)</f>
        <v>2.405026013546677</v>
      </c>
      <c r="E4" s="1">
        <f>IF((E$3&gt;0),(1000*('Data Entry'!D7/'Data Entry'!D$6)), 0)</f>
        <v>22.29420731707317</v>
      </c>
      <c r="F4" s="1">
        <f>IF((F$3&gt;0),(1000*('Data Entry'!E7/'Data Entry'!E$6)), 0)</f>
        <v>2.7472527472527473</v>
      </c>
      <c r="G4" s="1">
        <f>IF((G$3&gt;0),(1000*('Data Entry'!F7/'Data Entry'!F$6)), 0)</f>
        <v>0.9711880867594691</v>
      </c>
      <c r="H4" s="1">
        <f>IF((H$3&gt;0),(1000*('Data Entry'!G7/'Data Entry'!G$6)), 0)</f>
        <v>0</v>
      </c>
      <c r="I4" s="1">
        <f>IF((I$3&gt;0),(1000*('Data Entry'!H7/'Data Entry'!H$6)), 0)</f>
        <v>0</v>
      </c>
      <c r="J4" s="1">
        <f>IF((J$3&gt;0),(1000*('Data Entry'!I7/'Data Entry'!I$6)), 0)</f>
        <v>0</v>
      </c>
      <c r="K4" s="1">
        <f>IF((K$3&gt;0),(1000*('Data Entry'!J7/'Data Entry'!J$6)), 0)</f>
        <v>11.541257724463831</v>
      </c>
    </row>
    <row r="5" spans="2:11" ht="15" customHeight="1">
      <c r="B5" s="16" t="s">
        <v>9</v>
      </c>
      <c r="C5" s="1">
        <f>IF((C$3&gt;0),(1000*('Data Entry'!B8/'Data Entry'!B$6)), 0)</f>
        <v>12.078526356045636</v>
      </c>
      <c r="D5" s="1">
        <f>IF((D$3&gt;0),(1000*('Data Entry'!C8/'Data Entry'!C$6)), 0)</f>
        <v>6.0371061156375774</v>
      </c>
      <c r="E5" s="1">
        <f>IF((E$3&gt;0),(1000*('Data Entry'!D8/'Data Entry'!D$6)), 0)</f>
        <v>43.826219512195117</v>
      </c>
      <c r="F5" s="1">
        <f>IF((F$3&gt;0),(1000*('Data Entry'!E8/'Data Entry'!E$6)), 0)</f>
        <v>2.7472527472527473</v>
      </c>
      <c r="G5" s="1">
        <f>IF((G$3&gt;0),(1000*('Data Entry'!F8/'Data Entry'!F$6)), 0)</f>
        <v>0.32372936225315635</v>
      </c>
      <c r="H5" s="1">
        <f>IF((H$3&gt;0),(1000*('Data Entry'!G8/'Data Entry'!G$6)), 0)</f>
        <v>0</v>
      </c>
      <c r="I5" s="1">
        <f>IF((I$3&gt;0),(1000*('Data Entry'!H8/'Data Entry'!H$6)), 0)</f>
        <v>33.613445378151262</v>
      </c>
      <c r="J5" s="1">
        <f>IF((J$3&gt;0),(1000*('Data Entry'!I8/'Data Entry'!I$6)), 0)</f>
        <v>0</v>
      </c>
      <c r="K5" s="1">
        <f>IF((K$3&gt;0),(1000*('Data Entry'!J8/'Data Entry'!J$6)), 0)</f>
        <v>22.900763358778626</v>
      </c>
    </row>
    <row r="6" spans="2:11" ht="15" customHeight="1">
      <c r="B6" s="16" t="s">
        <v>10</v>
      </c>
      <c r="C6" s="1">
        <f>IF((C$3&gt;0),(1000*('Data Entry'!B9/'Data Entry'!B$6)), 0)</f>
        <v>0.86047549238319843</v>
      </c>
      <c r="D6" s="1">
        <f>IF((D$3&gt;0),(1000*('Data Entry'!C9/'Data Entry'!C$6)), 0)</f>
        <v>0.2454108177088446</v>
      </c>
      <c r="E6" s="1">
        <f>IF((E$3&gt;0),(1000*('Data Entry'!D9/'Data Entry'!D$6)), 0)</f>
        <v>3.6204268292682928</v>
      </c>
      <c r="F6" s="1">
        <f>IF((F$3&gt;0),(1000*('Data Entry'!E9/'Data Entry'!E$6)), 0)</f>
        <v>0.39246467817896391</v>
      </c>
      <c r="G6" s="1">
        <f>IF((G$3&gt;0),(1000*('Data Entry'!F9/'Data Entry'!F$6)), 0)</f>
        <v>0</v>
      </c>
      <c r="H6" s="1">
        <f>IF((H$3&gt;0),(1000*('Data Entry'!G9/'Data Entry'!G$6)), 0)</f>
        <v>0</v>
      </c>
      <c r="I6" s="1">
        <f>IF((I$3&gt;0),(1000*('Data Entry'!H9/'Data Entry'!H$6)), 0)</f>
        <v>16.806722689075631</v>
      </c>
      <c r="J6" s="1">
        <f>IF((J$3&gt;0),(1000*('Data Entry'!I9/'Data Entry'!I$6)), 0)</f>
        <v>0</v>
      </c>
      <c r="K6" s="1">
        <f>IF((K$3&gt;0),(1000*('Data Entry'!J9/'Data Entry'!J$6)), 0)</f>
        <v>1.9992729916394036</v>
      </c>
    </row>
    <row r="7" spans="2:11" ht="15" customHeight="1">
      <c r="B7" s="16" t="s">
        <v>11</v>
      </c>
      <c r="C7" s="1">
        <f>IF((C$3&gt;0),(1000*('Data Entry'!B10/'Data Entry'!B$6)), 0)</f>
        <v>3.1550768054050611</v>
      </c>
      <c r="D7" s="1">
        <f>IF((D$3&gt;0),(1000*('Data Entry'!C10/'Data Entry'!C$6)), 0)</f>
        <v>0.83439678021007158</v>
      </c>
      <c r="E7" s="1">
        <f>IF((E$3&gt;0),(1000*('Data Entry'!D10/'Data Entry'!D$6)), 0)</f>
        <v>10.861280487804878</v>
      </c>
      <c r="F7" s="1">
        <f>IF((F$3&gt;0),(1000*('Data Entry'!E10/'Data Entry'!E$6)), 0)</f>
        <v>2.3547880690737832</v>
      </c>
      <c r="G7" s="1">
        <f>IF((G$3&gt;0),(1000*('Data Entry'!F10/'Data Entry'!F$6)), 0)</f>
        <v>0</v>
      </c>
      <c r="H7" s="1">
        <f>IF((H$3&gt;0),(1000*('Data Entry'!G10/'Data Entry'!G$6)), 0)</f>
        <v>0</v>
      </c>
      <c r="I7" s="1">
        <f>IF((I$3&gt;0),(1000*('Data Entry'!H10/'Data Entry'!H$6)), 0)</f>
        <v>33.613445378151262</v>
      </c>
      <c r="J7" s="1">
        <f>IF((J$3&gt;0),(1000*('Data Entry'!I10/'Data Entry'!I$6)), 0)</f>
        <v>0</v>
      </c>
      <c r="K7" s="1">
        <f>IF((K$3&gt;0),(1000*('Data Entry'!J10/'Data Entry'!J$6)), 0)</f>
        <v>7.3609596510359863</v>
      </c>
    </row>
    <row r="8" spans="2:11" ht="15" customHeight="1">
      <c r="B8" s="16" t="s">
        <v>95</v>
      </c>
      <c r="C8" s="1">
        <f>IF((C$3&gt;0),(1000*('Data Entry'!B11/'Data Entry'!B$6)), 0)</f>
        <v>8.317929759704251</v>
      </c>
      <c r="D8" s="1">
        <f>IF((D$3&gt;0),(1000*('Data Entry'!C11/'Data Entry'!C$6)), 0)</f>
        <v>2.4541081770884459</v>
      </c>
      <c r="E8" s="1">
        <f>IF((E$3&gt;0),(1000*('Data Entry'!D11/'Data Entry'!D$6)), 0)</f>
        <v>31.821646341463413</v>
      </c>
      <c r="F8" s="1">
        <f>IF((F$3&gt;0),(1000*('Data Entry'!E11/'Data Entry'!E$6)), 0)</f>
        <v>5.4945054945054945</v>
      </c>
      <c r="G8" s="1">
        <f>IF((G$3&gt;0),(1000*('Data Entry'!F11/'Data Entry'!F$6)), 0)</f>
        <v>0.32372936225315635</v>
      </c>
      <c r="H8" s="1">
        <f>IF((H$3&gt;0),(1000*('Data Entry'!G11/'Data Entry'!G$6)), 0)</f>
        <v>0</v>
      </c>
      <c r="I8" s="1">
        <f>IF((I$3&gt;0),(1000*('Data Entry'!H11/'Data Entry'!H$6)), 0)</f>
        <v>58.823529411764703</v>
      </c>
      <c r="J8" s="1">
        <f>IF((J$3&gt;0),(1000*('Data Entry'!I11/'Data Entry'!I$6)), 0)</f>
        <v>0</v>
      </c>
      <c r="K8" s="1">
        <f>IF((K$3&gt;0),(1000*('Data Entry'!J11/'Data Entry'!J$6)), 0)</f>
        <v>19.083969465648856</v>
      </c>
    </row>
    <row r="9" spans="2:11" ht="15" customHeight="1">
      <c r="B9" s="16" t="s">
        <v>13</v>
      </c>
      <c r="C9" s="1">
        <f>IF((C$3&gt;0),(1000*('Data Entry'!B12/'Data Entry'!B$6)), 0)</f>
        <v>2.1989929249792848</v>
      </c>
      <c r="D9" s="1">
        <f>IF((D$3&gt;0),(1000*('Data Entry'!C12/'Data Entry'!C$6)), 0)</f>
        <v>0.58898596250122703</v>
      </c>
      <c r="E9" s="1">
        <f>IF((E$3&gt;0),(1000*('Data Entry'!D12/'Data Entry'!D$6)), 0)</f>
        <v>10.289634146341465</v>
      </c>
      <c r="F9" s="1">
        <f>IF((F$3&gt;0),(1000*('Data Entry'!E12/'Data Entry'!E$6)), 0)</f>
        <v>0.39246467817896391</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5.0890585241730282</v>
      </c>
    </row>
    <row r="10" spans="2:11" ht="15" customHeight="1">
      <c r="B10" s="16" t="s">
        <v>14</v>
      </c>
      <c r="C10" s="1">
        <f>IF((C$3&gt;0),(1000*('Data Entry'!B13/'Data Entry'!B$6)), 0)</f>
        <v>6.0870673720441069</v>
      </c>
      <c r="D10" s="1">
        <f>IF((D$3&gt;0),(1000*('Data Entry'!C13/'Data Entry'!C$6)), 0)</f>
        <v>2.7486011583390595</v>
      </c>
      <c r="E10" s="1">
        <f>IF((E$3&gt;0),(1000*('Data Entry'!D13/'Data Entry'!D$6)), 0)</f>
        <v>22.29420731707317</v>
      </c>
      <c r="F10" s="1">
        <f>IF((F$3&gt;0),(1000*('Data Entry'!E13/'Data Entry'!E$6)), 0)</f>
        <v>3.1397174254317113</v>
      </c>
      <c r="G10" s="1">
        <f>IF((G$3&gt;0),(1000*('Data Entry'!F13/'Data Entry'!F$6)), 0)</f>
        <v>0.32372936225315635</v>
      </c>
      <c r="H10" s="1">
        <f>IF((H$3&gt;0),(1000*('Data Entry'!G13/'Data Entry'!G$6)), 0)</f>
        <v>0</v>
      </c>
      <c r="I10" s="1">
        <f>IF((I$3&gt;0),(1000*('Data Entry'!H13/'Data Entry'!H$6)), 0)</f>
        <v>16.806722689075631</v>
      </c>
      <c r="J10" s="1">
        <f>IF((J$3&gt;0),(1000*('Data Entry'!I13/'Data Entry'!I$6)), 0)</f>
        <v>0</v>
      </c>
      <c r="K10" s="1">
        <f>IF((K$3&gt;0),(1000*('Data Entry'!J13/'Data Entry'!J$6)), 0)</f>
        <v>12.177390039985459</v>
      </c>
    </row>
    <row r="11" spans="2:11" ht="25.5" customHeight="1">
      <c r="B11" s="16" t="s">
        <v>15</v>
      </c>
      <c r="C11" s="1">
        <f>IF((C$3&gt;0),(1000*('Data Entry'!B14/'Data Entry'!B$6)), 0)</f>
        <v>0.12747785072343679</v>
      </c>
      <c r="D11" s="1">
        <f>IF((D$3&gt;0),(1000*('Data Entry'!C14/'Data Entry'!C$6)), 0)</f>
        <v>9.8164327083537839E-2</v>
      </c>
      <c r="E11" s="1">
        <f>IF((E$3&gt;0),(1000*('Data Entry'!D14/'Data Entry'!D$6)), 0)</f>
        <v>0.38109756097560976</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0.1817520901490367</v>
      </c>
    </row>
    <row r="12" spans="2:11" ht="15" customHeight="1">
      <c r="B12" s="16" t="s">
        <v>16</v>
      </c>
      <c r="C12" s="1">
        <f>IF((C$3&gt;0),(1000*('Data Entry'!B15/'Data Entry'!B$6)), 0)</f>
        <v>6.3738925361718393E-2</v>
      </c>
      <c r="D12" s="1">
        <f>IF((D$3&gt;0),(1000*('Data Entry'!C15/'Data Entry'!C$6)), 0)</f>
        <v>4.9082163541768919E-2</v>
      </c>
      <c r="E12" s="1">
        <f>IF((E$3&gt;0),(1000*('Data Entry'!D15/'Data Entry'!D$6)), 0)</f>
        <v>0.19054878048780488</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9.0876045074518352E-2</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Washtenaw</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9.269840405674465</v>
      </c>
      <c r="E19" s="72">
        <f t="shared" si="1"/>
        <v>1.1422964790311729</v>
      </c>
      <c r="F19" s="72">
        <f t="shared" si="1"/>
        <v>0.40381604244158009</v>
      </c>
      <c r="G19" s="72" t="str">
        <f t="shared" si="1"/>
        <v>--</v>
      </c>
      <c r="H19" s="72" t="str">
        <f t="shared" si="1"/>
        <v>--</v>
      </c>
      <c r="I19" s="72" t="str">
        <f t="shared" si="1"/>
        <v>--</v>
      </c>
      <c r="J19" s="73">
        <f t="shared" si="1"/>
        <v>4.7988078546576753</v>
      </c>
    </row>
    <row r="20" spans="2:10" ht="15" customHeight="1">
      <c r="B20" s="71" t="s">
        <v>9</v>
      </c>
      <c r="C20" s="72">
        <f t="shared" ref="C20:J27" si="2">IF(AND(($D5&gt;0),(D5&gt;0)), (D5/$D5),"--")</f>
        <v>1</v>
      </c>
      <c r="D20" s="72">
        <f t="shared" si="2"/>
        <v>7.2594747670037663</v>
      </c>
      <c r="E20" s="72">
        <f t="shared" si="2"/>
        <v>0.455061198963638</v>
      </c>
      <c r="F20" s="72">
        <f t="shared" si="2"/>
        <v>5.3623268508502499E-2</v>
      </c>
      <c r="G20" s="72" t="str">
        <f t="shared" si="2"/>
        <v>--</v>
      </c>
      <c r="H20" s="72">
        <f t="shared" si="2"/>
        <v>5.5678076108492176</v>
      </c>
      <c r="I20" s="72" t="str">
        <f t="shared" si="2"/>
        <v>--</v>
      </c>
      <c r="J20" s="73">
        <f t="shared" si="2"/>
        <v>3.7933345745671199</v>
      </c>
    </row>
    <row r="21" spans="2:10" ht="15" customHeight="1">
      <c r="B21" s="71" t="s">
        <v>10</v>
      </c>
      <c r="C21" s="72">
        <f t="shared" si="2"/>
        <v>1</v>
      </c>
      <c r="D21" s="72">
        <f t="shared" si="2"/>
        <v>14.75251524390244</v>
      </c>
      <c r="E21" s="72">
        <f t="shared" si="2"/>
        <v>1.5992150706436421</v>
      </c>
      <c r="F21" s="72" t="str">
        <f t="shared" si="2"/>
        <v>--</v>
      </c>
      <c r="G21" s="72" t="str">
        <f t="shared" si="2"/>
        <v>--</v>
      </c>
      <c r="H21" s="72">
        <f t="shared" si="2"/>
        <v>68.484033613445376</v>
      </c>
      <c r="I21" s="72" t="str">
        <f t="shared" si="2"/>
        <v>--</v>
      </c>
      <c r="J21" s="73">
        <f t="shared" si="2"/>
        <v>8.1466375863322416</v>
      </c>
    </row>
    <row r="22" spans="2:10" ht="15" customHeight="1">
      <c r="B22" s="71" t="s">
        <v>11</v>
      </c>
      <c r="C22" s="72">
        <f t="shared" si="2"/>
        <v>1</v>
      </c>
      <c r="D22" s="72">
        <f t="shared" si="2"/>
        <v>13.016925215208035</v>
      </c>
      <c r="E22" s="72">
        <f t="shared" si="2"/>
        <v>2.8221442423123095</v>
      </c>
      <c r="F22" s="72" t="str">
        <f t="shared" si="2"/>
        <v>--</v>
      </c>
      <c r="G22" s="72" t="str">
        <f t="shared" si="2"/>
        <v>--</v>
      </c>
      <c r="H22" s="72">
        <f t="shared" si="2"/>
        <v>40.284725654967872</v>
      </c>
      <c r="I22" s="72" t="str">
        <f t="shared" si="2"/>
        <v>--</v>
      </c>
      <c r="J22" s="73">
        <f t="shared" si="2"/>
        <v>8.8218936429533645</v>
      </c>
    </row>
    <row r="23" spans="2:10" ht="15" customHeight="1">
      <c r="B23" s="71" t="s">
        <v>95</v>
      </c>
      <c r="C23" s="72">
        <f t="shared" si="2"/>
        <v>1</v>
      </c>
      <c r="D23" s="72">
        <f t="shared" si="2"/>
        <v>12.966684451219512</v>
      </c>
      <c r="E23" s="72">
        <f t="shared" si="2"/>
        <v>2.2389010989010991</v>
      </c>
      <c r="F23" s="72">
        <f t="shared" si="2"/>
        <v>0.13191324053091616</v>
      </c>
      <c r="G23" s="72" t="str">
        <f t="shared" si="2"/>
        <v>--</v>
      </c>
      <c r="H23" s="72">
        <f t="shared" si="2"/>
        <v>23.969411764705882</v>
      </c>
      <c r="I23" s="72" t="str">
        <f t="shared" si="2"/>
        <v>--</v>
      </c>
      <c r="J23" s="73">
        <f t="shared" si="2"/>
        <v>7.7763358778625964</v>
      </c>
    </row>
    <row r="24" spans="2:10" ht="15" customHeight="1">
      <c r="B24" s="71" t="s">
        <v>13</v>
      </c>
      <c r="C24" s="72">
        <f t="shared" si="2"/>
        <v>1</v>
      </c>
      <c r="D24" s="72">
        <f t="shared" si="2"/>
        <v>17.470083841463417</v>
      </c>
      <c r="E24" s="72">
        <f t="shared" si="2"/>
        <v>0.66633961276818421</v>
      </c>
      <c r="F24" s="72" t="str">
        <f t="shared" si="2"/>
        <v>--</v>
      </c>
      <c r="G24" s="72" t="str">
        <f t="shared" si="2"/>
        <v>--</v>
      </c>
      <c r="H24" s="72" t="str">
        <f t="shared" si="2"/>
        <v>--</v>
      </c>
      <c r="I24" s="72" t="str">
        <f t="shared" si="2"/>
        <v>--</v>
      </c>
      <c r="J24" s="73">
        <f t="shared" si="2"/>
        <v>8.6403731976251059</v>
      </c>
    </row>
    <row r="25" spans="2:10" ht="15" customHeight="1">
      <c r="B25" s="71" t="s">
        <v>14</v>
      </c>
      <c r="C25" s="72">
        <f t="shared" si="2"/>
        <v>1</v>
      </c>
      <c r="D25" s="72">
        <f t="shared" si="2"/>
        <v>8.111110354965156</v>
      </c>
      <c r="E25" s="72">
        <f t="shared" si="2"/>
        <v>1.1422964790311729</v>
      </c>
      <c r="F25" s="72">
        <f t="shared" si="2"/>
        <v>0.11777967904546086</v>
      </c>
      <c r="G25" s="72" t="str">
        <f t="shared" si="2"/>
        <v>--</v>
      </c>
      <c r="H25" s="72">
        <f t="shared" si="2"/>
        <v>6.1146458583433381</v>
      </c>
      <c r="I25" s="72" t="str">
        <f t="shared" si="2"/>
        <v>--</v>
      </c>
      <c r="J25" s="73">
        <f t="shared" si="2"/>
        <v>4.4303954406189954</v>
      </c>
    </row>
    <row r="26" spans="2:10" ht="25.5" customHeight="1">
      <c r="B26" s="71" t="s">
        <v>15</v>
      </c>
      <c r="C26" s="72">
        <f t="shared" si="2"/>
        <v>1</v>
      </c>
      <c r="D26" s="72">
        <f t="shared" si="2"/>
        <v>3.8822408536585367</v>
      </c>
      <c r="E26" s="72" t="str">
        <f t="shared" si="2"/>
        <v>--</v>
      </c>
      <c r="F26" s="72" t="str">
        <f t="shared" si="2"/>
        <v>--</v>
      </c>
      <c r="G26" s="72" t="str">
        <f t="shared" si="2"/>
        <v>--</v>
      </c>
      <c r="H26" s="72" t="str">
        <f t="shared" si="2"/>
        <v>--</v>
      </c>
      <c r="I26" s="72" t="str">
        <f t="shared" si="2"/>
        <v>--</v>
      </c>
      <c r="J26" s="73">
        <f t="shared" si="2"/>
        <v>1.8515085423482369</v>
      </c>
    </row>
    <row r="27" spans="2:10" ht="15" customHeight="1">
      <c r="B27" s="71" t="s">
        <v>16</v>
      </c>
      <c r="C27" s="72">
        <f t="shared" si="2"/>
        <v>1</v>
      </c>
      <c r="D27" s="72">
        <f t="shared" si="2"/>
        <v>3.8822408536585367</v>
      </c>
      <c r="E27" s="72" t="str">
        <f t="shared" si="2"/>
        <v>--</v>
      </c>
      <c r="F27" s="72" t="str">
        <f t="shared" si="2"/>
        <v>--</v>
      </c>
      <c r="G27" s="72" t="str">
        <f t="shared" si="2"/>
        <v>--</v>
      </c>
      <c r="H27" s="72" t="str">
        <f t="shared" si="2"/>
        <v>--</v>
      </c>
      <c r="I27" s="72" t="str">
        <f t="shared" si="2"/>
        <v>--</v>
      </c>
      <c r="J27" s="73">
        <f t="shared" si="2"/>
        <v>1.8515085423482369</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Washtenaw</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20374</v>
      </c>
      <c r="D7" s="104">
        <f>'Data Entry'!D6</f>
        <v>5248</v>
      </c>
      <c r="E7" s="105"/>
      <c r="F7" s="106">
        <f>'Data Entry'!E6</f>
        <v>2548</v>
      </c>
      <c r="G7" s="105"/>
      <c r="H7" s="106">
        <f>'Data Entry'!F6</f>
        <v>3089</v>
      </c>
      <c r="I7" s="105"/>
      <c r="J7" s="106">
        <f>'Data Entry'!G6</f>
        <v>0</v>
      </c>
      <c r="K7" s="105"/>
      <c r="L7" s="106">
        <f>'Data Entry'!H6</f>
        <v>119</v>
      </c>
      <c r="M7" s="105"/>
      <c r="N7" s="106">
        <f>'Data Entry'!I6</f>
        <v>0</v>
      </c>
      <c r="O7" s="105"/>
      <c r="P7" s="106">
        <f>'Data Entry'!J6</f>
        <v>11004</v>
      </c>
      <c r="Q7" s="107"/>
    </row>
    <row r="8" spans="2:26" s="1" customFormat="1" ht="15" customHeight="1">
      <c r="B8" s="142" t="s">
        <v>8</v>
      </c>
      <c r="C8" s="103">
        <f>'Data Entry'!C7</f>
        <v>49</v>
      </c>
      <c r="D8" s="104">
        <f>'Data Entry'!D7</f>
        <v>117</v>
      </c>
      <c r="E8" s="105">
        <f>'Black or African-American'!$G7</f>
        <v>9.2698404056744632</v>
      </c>
      <c r="F8" s="106">
        <f>'Data Entry'!E7</f>
        <v>7</v>
      </c>
      <c r="G8" s="105">
        <f>Hispanic!G7</f>
        <v>1.1422964790311727</v>
      </c>
      <c r="H8" s="106">
        <f>'Data Entry'!F7</f>
        <v>3</v>
      </c>
      <c r="I8" s="105" t="str">
        <f>Asian!G7</f>
        <v>**</v>
      </c>
      <c r="J8" s="106">
        <f>'Data Entry'!G7</f>
        <v>0</v>
      </c>
      <c r="K8" s="105" t="str">
        <f>Hawaiian!G7</f>
        <v>*</v>
      </c>
      <c r="L8" s="106">
        <f>'Data Entry'!H7</f>
        <v>0</v>
      </c>
      <c r="M8" s="105" t="str">
        <f>'Am Indian'!G7</f>
        <v>*</v>
      </c>
      <c r="N8" s="106">
        <f>'Data Entry'!I7</f>
        <v>0</v>
      </c>
      <c r="O8" s="105" t="str">
        <f>'Other - Mixed'!G7</f>
        <v>*</v>
      </c>
      <c r="P8" s="106">
        <f>'Data Entry'!J7</f>
        <v>127</v>
      </c>
      <c r="Q8" s="107">
        <f>'All Minorities'!G7</f>
        <v>4.7988078546576745</v>
      </c>
      <c r="R8"/>
      <c r="T8" s="1">
        <f>'Black or African-American'!L7</f>
        <v>1</v>
      </c>
      <c r="U8" s="1">
        <f>Hispanic!L7</f>
        <v>2</v>
      </c>
      <c r="V8" s="1">
        <f>Asian!L7</f>
        <v>40</v>
      </c>
      <c r="W8" s="1" t="e">
        <f>Hawaiian!L7</f>
        <v>#VALUE!</v>
      </c>
      <c r="X8" s="1">
        <f>'Am Indian'!L7</f>
        <v>139</v>
      </c>
      <c r="Y8" s="1" t="e">
        <f>'Other - Mixed'!L7</f>
        <v>#VALUE!</v>
      </c>
      <c r="Z8" s="1">
        <f>'All Minorities'!L7</f>
        <v>1</v>
      </c>
    </row>
    <row r="9" spans="2:26" s="1" customFormat="1" ht="15" customHeight="1">
      <c r="B9" s="142" t="s">
        <v>126</v>
      </c>
      <c r="C9" s="103">
        <f>'Data Entry'!C8</f>
        <v>123</v>
      </c>
      <c r="D9" s="108">
        <f>'Data Entry'!D8</f>
        <v>230</v>
      </c>
      <c r="E9" s="109">
        <f>'Black or African-American'!$G8</f>
        <v>0.78312834410395393</v>
      </c>
      <c r="F9" s="110">
        <f>'Data Entry'!E8</f>
        <v>7</v>
      </c>
      <c r="G9" s="109" t="str">
        <f>Hispanic!G8</f>
        <v>**</v>
      </c>
      <c r="H9" s="110">
        <f>'Data Entry'!F8</f>
        <v>1</v>
      </c>
      <c r="I9" s="109" t="str">
        <f>Asian!G8</f>
        <v>**</v>
      </c>
      <c r="J9" s="110">
        <f>'Data Entry'!G8</f>
        <v>2</v>
      </c>
      <c r="K9" s="109" t="str">
        <f>Hawaiian!G8</f>
        <v>*</v>
      </c>
      <c r="L9" s="110">
        <f>'Data Entry'!H8</f>
        <v>4</v>
      </c>
      <c r="M9" s="109" t="str">
        <f>'Am Indian'!G8</f>
        <v>*</v>
      </c>
      <c r="N9" s="110">
        <f>'Data Entry'!I8</f>
        <v>8</v>
      </c>
      <c r="O9" s="109" t="str">
        <f>'Other - Mixed'!G8</f>
        <v>*</v>
      </c>
      <c r="P9" s="110">
        <f>'Data Entry'!J8</f>
        <v>252</v>
      </c>
      <c r="Q9" s="111">
        <f>'All Minorities'!G8</f>
        <v>0.79047436143652772</v>
      </c>
      <c r="R9"/>
      <c r="T9" s="1">
        <f>'Black or African-American'!L8</f>
        <v>1</v>
      </c>
      <c r="U9" s="1">
        <f>Hispanic!L8</f>
        <v>20</v>
      </c>
      <c r="V9" s="1">
        <f>Asian!L8</f>
        <v>20</v>
      </c>
      <c r="W9" s="1">
        <f>Hawaiian!L8</f>
        <v>119</v>
      </c>
      <c r="X9" s="1">
        <f>'Am Indian'!L8</f>
        <v>119</v>
      </c>
      <c r="Y9" s="1">
        <f>'Other - Mixed'!L8</f>
        <v>119</v>
      </c>
      <c r="Z9" s="1">
        <f>'All Minorities'!L8</f>
        <v>1</v>
      </c>
    </row>
    <row r="10" spans="2:26" s="1" customFormat="1" ht="15" customHeight="1">
      <c r="B10" s="142" t="s">
        <v>10</v>
      </c>
      <c r="C10" s="103">
        <f>'Data Entry'!C9</f>
        <v>5</v>
      </c>
      <c r="D10" s="112">
        <f>'Data Entry'!D9</f>
        <v>19</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2</v>
      </c>
      <c r="M10" s="113" t="str">
        <f>'Am Indian'!G9</f>
        <v>*</v>
      </c>
      <c r="N10" s="114">
        <f>'Data Entry'!I9</f>
        <v>0</v>
      </c>
      <c r="O10" s="113" t="str">
        <f>'Other - Mixed'!G9</f>
        <v>*</v>
      </c>
      <c r="P10" s="114">
        <f>'Data Entry'!J9</f>
        <v>22</v>
      </c>
      <c r="Q10" s="115" t="str">
        <f>'All Minorities'!G9</f>
        <v>**</v>
      </c>
      <c r="R10"/>
      <c r="T10" s="1">
        <f>'Black or African-American'!L9</f>
        <v>40</v>
      </c>
      <c r="U10" s="1">
        <f>Hispanic!L9</f>
        <v>40</v>
      </c>
      <c r="V10" s="1">
        <f>Asian!L9</f>
        <v>40</v>
      </c>
      <c r="W10" s="1">
        <f>Hawaiian!L9</f>
        <v>139</v>
      </c>
      <c r="X10" s="1">
        <f>'Am Indian'!L9</f>
        <v>119</v>
      </c>
      <c r="Y10" s="1">
        <f>'Other - Mixed'!L9</f>
        <v>139</v>
      </c>
      <c r="Z10" s="1">
        <f>'All Minorities'!L9</f>
        <v>40</v>
      </c>
    </row>
    <row r="11" spans="2:26" s="1" customFormat="1" ht="15" customHeight="1">
      <c r="B11" s="142" t="s">
        <v>11</v>
      </c>
      <c r="C11" s="103">
        <f>'Data Entry'!C10</f>
        <v>17</v>
      </c>
      <c r="D11" s="108">
        <f>'Data Entry'!D10</f>
        <v>57</v>
      </c>
      <c r="E11" s="109">
        <f>'Black or African-American'!$G10</f>
        <v>1.7930946291560101</v>
      </c>
      <c r="F11" s="110">
        <f>'Data Entry'!E10</f>
        <v>6</v>
      </c>
      <c r="G11" s="109" t="str">
        <f>Hispanic!G10</f>
        <v>**</v>
      </c>
      <c r="H11" s="110">
        <f>'Data Entry'!F10</f>
        <v>0</v>
      </c>
      <c r="I11" s="109" t="str">
        <f>Asian!G10</f>
        <v>**</v>
      </c>
      <c r="J11" s="110">
        <f>'Data Entry'!G10</f>
        <v>0</v>
      </c>
      <c r="K11" s="109" t="str">
        <f>Hawaiian!G10</f>
        <v>*</v>
      </c>
      <c r="L11" s="110">
        <f>'Data Entry'!H10</f>
        <v>4</v>
      </c>
      <c r="M11" s="109" t="str">
        <f>'Am Indian'!G10</f>
        <v>*</v>
      </c>
      <c r="N11" s="110">
        <f>'Data Entry'!I10</f>
        <v>14</v>
      </c>
      <c r="O11" s="109" t="str">
        <f>'Other - Mixed'!G10</f>
        <v>*</v>
      </c>
      <c r="P11" s="110">
        <f>'Data Entry'!J10</f>
        <v>81</v>
      </c>
      <c r="Q11" s="111">
        <f>'All Minorities'!G10</f>
        <v>2.3256302521008405</v>
      </c>
      <c r="R11"/>
      <c r="T11" s="1">
        <f>'Black or African-American'!L10</f>
        <v>1</v>
      </c>
      <c r="U11" s="1">
        <f>Hispanic!L10</f>
        <v>20</v>
      </c>
      <c r="V11" s="1">
        <f>Asian!L10</f>
        <v>40</v>
      </c>
      <c r="W11" s="1">
        <f>Hawaiian!L10</f>
        <v>139</v>
      </c>
      <c r="X11" s="1">
        <f>'Am Indian'!L10</f>
        <v>119</v>
      </c>
      <c r="Y11" s="1">
        <f>'Other - Mixed'!L10</f>
        <v>119</v>
      </c>
      <c r="Z11" s="1">
        <f>'All Minorities'!L10</f>
        <v>1</v>
      </c>
    </row>
    <row r="12" spans="2:26" s="1" customFormat="1" ht="15" customHeight="1">
      <c r="B12" s="142" t="s">
        <v>95</v>
      </c>
      <c r="C12" s="103">
        <f>'Data Entry'!C11</f>
        <v>50</v>
      </c>
      <c r="D12" s="112">
        <f>'Data Entry'!D11</f>
        <v>167</v>
      </c>
      <c r="E12" s="113">
        <f>'Black or African-American'!$G11</f>
        <v>1.7861739130434786</v>
      </c>
      <c r="F12" s="114">
        <f>'Data Entry'!E11</f>
        <v>14</v>
      </c>
      <c r="G12" s="113" t="str">
        <f>Hispanic!G11</f>
        <v>**</v>
      </c>
      <c r="H12" s="114">
        <f>'Data Entry'!F11</f>
        <v>1</v>
      </c>
      <c r="I12" s="113" t="str">
        <f>Asian!G11</f>
        <v>**</v>
      </c>
      <c r="J12" s="114">
        <f>'Data Entry'!G11</f>
        <v>1</v>
      </c>
      <c r="K12" s="113" t="str">
        <f>Hawaiian!G11</f>
        <v>*</v>
      </c>
      <c r="L12" s="114">
        <f>'Data Entry'!H11</f>
        <v>7</v>
      </c>
      <c r="M12" s="113" t="str">
        <f>'Am Indian'!G11</f>
        <v>*</v>
      </c>
      <c r="N12" s="114">
        <f>'Data Entry'!I11</f>
        <v>20</v>
      </c>
      <c r="O12" s="113" t="str">
        <f>'Other - Mixed'!G11</f>
        <v>*</v>
      </c>
      <c r="P12" s="114">
        <f>'Data Entry'!J11</f>
        <v>210</v>
      </c>
      <c r="Q12" s="115">
        <f>'All Minorities'!G11</f>
        <v>2.0499999999999998</v>
      </c>
      <c r="R12"/>
      <c r="T12" s="1">
        <f>'Black or African-American'!L11</f>
        <v>1</v>
      </c>
      <c r="U12" s="1">
        <f>Hispanic!L11</f>
        <v>20</v>
      </c>
      <c r="V12" s="1">
        <f>Asian!L11</f>
        <v>40</v>
      </c>
      <c r="W12" s="1">
        <f>Hawaiian!L11</f>
        <v>139</v>
      </c>
      <c r="X12" s="1">
        <f>'Am Indian'!L11</f>
        <v>119</v>
      </c>
      <c r="Y12" s="1">
        <f>'Other - Mixed'!L11</f>
        <v>119</v>
      </c>
      <c r="Z12" s="1">
        <f>'All Minorities'!L11</f>
        <v>1</v>
      </c>
    </row>
    <row r="13" spans="2:26" s="1" customFormat="1" ht="15" customHeight="1">
      <c r="B13" s="142" t="s">
        <v>13</v>
      </c>
      <c r="C13" s="103">
        <f>'Data Entry'!C12</f>
        <v>12</v>
      </c>
      <c r="D13" s="108">
        <f>'Data Entry'!D12</f>
        <v>54</v>
      </c>
      <c r="E13" s="109">
        <f>'Black or African-American'!$G12</f>
        <v>1.347305389221557</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56</v>
      </c>
      <c r="Q13" s="111">
        <f>'All Minorities'!G12</f>
        <v>1.1111111111111109</v>
      </c>
      <c r="R13"/>
      <c r="T13" s="1">
        <f>'Black or African-American'!L12</f>
        <v>2</v>
      </c>
      <c r="U13" s="1">
        <f>Hispanic!L12</f>
        <v>40</v>
      </c>
      <c r="V13" s="1">
        <f>Asian!L12</f>
        <v>40</v>
      </c>
      <c r="W13" s="1">
        <f>Hawaiian!L12</f>
        <v>139</v>
      </c>
      <c r="X13" s="1">
        <f>'Am Indian'!L12</f>
        <v>139</v>
      </c>
      <c r="Y13" s="1">
        <f>'Other - Mixed'!L12</f>
        <v>139</v>
      </c>
      <c r="Z13" s="1">
        <f>'All Minorities'!L12</f>
        <v>2</v>
      </c>
    </row>
    <row r="14" spans="2:26" s="1" customFormat="1" ht="15" customHeight="1">
      <c r="B14" s="142" t="s">
        <v>125</v>
      </c>
      <c r="C14" s="103">
        <f>'Data Entry'!C13</f>
        <v>56</v>
      </c>
      <c r="D14" s="112">
        <f>'Data Entry'!D13</f>
        <v>117</v>
      </c>
      <c r="E14" s="113" t="str">
        <f>'Black or African-American'!$G13</f>
        <v>**</v>
      </c>
      <c r="F14" s="114">
        <f>'Data Entry'!E13</f>
        <v>8</v>
      </c>
      <c r="G14" s="113" t="str">
        <f>Hispanic!G13</f>
        <v>**</v>
      </c>
      <c r="H14" s="114">
        <f>'Data Entry'!F13</f>
        <v>1</v>
      </c>
      <c r="I14" s="113" t="str">
        <f>Asian!G13</f>
        <v>--</v>
      </c>
      <c r="J14" s="114">
        <f>'Data Entry'!G13</f>
        <v>2</v>
      </c>
      <c r="K14" s="113" t="str">
        <f>Hawaiian!G13</f>
        <v>*</v>
      </c>
      <c r="L14" s="114">
        <f>'Data Entry'!H13</f>
        <v>2</v>
      </c>
      <c r="M14" s="113" t="str">
        <f>'Am Indian'!G13</f>
        <v>*</v>
      </c>
      <c r="N14" s="114">
        <f>'Data Entry'!I13</f>
        <v>4</v>
      </c>
      <c r="O14" s="113" t="str">
        <f>'Other - Mixed'!G13</f>
        <v>*</v>
      </c>
      <c r="P14" s="114">
        <f>'Data Entry'!J13</f>
        <v>134</v>
      </c>
      <c r="Q14" s="115" t="str">
        <f>'All Minorities'!G13</f>
        <v>**</v>
      </c>
      <c r="R14"/>
      <c r="T14" s="1">
        <f>'Black or African-American'!L13</f>
        <v>20</v>
      </c>
      <c r="U14" s="1">
        <f>Hispanic!L13</f>
        <v>40</v>
      </c>
      <c r="V14" s="1" t="e">
        <f>Asian!L13</f>
        <v>#DIV/0!</v>
      </c>
      <c r="W14" s="1" t="e">
        <f>Hawaiian!L13</f>
        <v>#DIV/0!</v>
      </c>
      <c r="X14" s="1" t="e">
        <f>'Am Indian'!L13</f>
        <v>#DIV/0!</v>
      </c>
      <c r="Y14" s="1">
        <f>'Other - Mixed'!L13</f>
        <v>139</v>
      </c>
      <c r="Z14" s="1">
        <f>'All Minorities'!L13</f>
        <v>20</v>
      </c>
    </row>
    <row r="15" spans="2:26" s="1" customFormat="1" ht="33">
      <c r="B15" s="144" t="s">
        <v>115</v>
      </c>
      <c r="C15" s="103">
        <f>'Data Entry'!C14</f>
        <v>2</v>
      </c>
      <c r="D15" s="108">
        <f>'Data Entry'!D14</f>
        <v>2</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2</v>
      </c>
      <c r="Q15" s="111"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1</v>
      </c>
      <c r="D16" s="116">
        <f>'Data Entry'!D15</f>
        <v>1</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1</v>
      </c>
      <c r="Q16" s="119" t="str">
        <f>'All Minorities'!G15</f>
        <v>**</v>
      </c>
      <c r="R16"/>
      <c r="T16" s="1">
        <f>'Black or African-American'!L15</f>
        <v>40</v>
      </c>
      <c r="U16" s="1">
        <f>Hispanic!L15</f>
        <v>40</v>
      </c>
      <c r="V16" s="1">
        <f>Asian!L15</f>
        <v>40</v>
      </c>
      <c r="W16" s="1">
        <f>Hawaiian!L15</f>
        <v>139</v>
      </c>
      <c r="X16" s="1">
        <f>'Am Indian'!L15</f>
        <v>139</v>
      </c>
      <c r="Y16" s="1">
        <f>'Other - Mixed'!L15</f>
        <v>139</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Washtenaw County Juvenile Court</v>
      </c>
      <c r="E27" s="1" t="str">
        <f>'Data Entry'!D20</f>
        <v>Item 4.Diversion: Washtenaw County Juvenile Court</v>
      </c>
      <c r="I27" s="96"/>
      <c r="J27" s="96"/>
    </row>
    <row r="28" spans="2:18" ht="12.75" customHeight="1">
      <c r="B28" s="1" t="str">
        <f>'Data Entry'!A21</f>
        <v>Item 5.Detention: Washtenaw County Juvenile Court</v>
      </c>
      <c r="E28" s="1" t="str">
        <f>'Data Entry'!D21</f>
        <v>Item 6.Petitioned: Washtenaw County Juvenile Court</v>
      </c>
      <c r="I28" s="96"/>
      <c r="J28" s="96"/>
    </row>
    <row r="29" spans="2:18" ht="12.75" customHeight="1">
      <c r="B29" s="1" t="str">
        <f>'Data Entry'!A22</f>
        <v>Item 7.Delinquent: Washtenaw County Juvenile Court</v>
      </c>
      <c r="E29" s="1" t="str">
        <f>'Data Entry'!D22</f>
        <v>Item 8.Probation: Washtenaw County Juvenile Court</v>
      </c>
      <c r="I29" s="96"/>
      <c r="J29" s="96"/>
    </row>
    <row r="30" spans="2:18" ht="12.75" customHeight="1">
      <c r="B30" s="1" t="str">
        <f>'Data Entry'!A23</f>
        <v>Item 9.Confinement: Washtenaw County Juvenile Court</v>
      </c>
      <c r="E30" s="1" t="str">
        <f>'Data Entry'!D23</f>
        <v>Item 10.Transferred: Washtenaw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Washtenaw</v>
      </c>
    </row>
    <row r="6" spans="1:12">
      <c r="A6" s="135" t="str">
        <f>CONCATENATE("Percentage of Minorities at Stages of the Juvenile Justice System, ", A5, " 2024")</f>
        <v>Percentage of Minorities at Stages of the Juvenile Justice System, County: Washtenaw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N=2</v>
      </c>
      <c r="B7" s="150">
        <f>'Data Entry'!D15/'Data Entry'!B15</f>
        <v>0.5</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0.5</v>
      </c>
      <c r="K7" s="96" t="str">
        <f t="shared" ref="K7:K14" si="0">A7</f>
        <v>Waivers, total N=2</v>
      </c>
      <c r="L7">
        <f>I14/(SUM(B14:G14))</f>
        <v>1.8515085423482371</v>
      </c>
    </row>
    <row r="8" spans="1:12" ht="25.5" customHeight="1">
      <c r="A8" s="151" t="str">
        <f>CONCATENATE("Confinement, total N=", 'Data Entry'!B14)</f>
        <v>Confinement, total N=4</v>
      </c>
      <c r="B8" s="150">
        <f>'Data Entry'!D14/'Data Entry'!B14</f>
        <v>0.5</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0.5</v>
      </c>
      <c r="K8" s="96" t="str">
        <f>A8</f>
        <v>Confinement, total N=4</v>
      </c>
      <c r="L8">
        <f>I14/(SUM(B14:G14))</f>
        <v>1.8515085423482371</v>
      </c>
    </row>
    <row r="9" spans="1:12">
      <c r="A9" s="128" t="str">
        <f>CONCATENATE("Delinquent Findings, total N=", 'Data Entry'!B12)</f>
        <v>Delinquent Findings, total N=69</v>
      </c>
      <c r="B9" s="150">
        <f>'Data Entry'!D12/'Data Entry'!B12</f>
        <v>0.78260869565217395</v>
      </c>
      <c r="C9" s="150">
        <f>'Data Entry'!E12/'Data Entry'!B12</f>
        <v>1.4492753623188406E-2</v>
      </c>
      <c r="D9" s="150">
        <f>'Data Entry'!F12/'Data Entry'!B12</f>
        <v>0</v>
      </c>
      <c r="E9" s="150">
        <f>'Data Entry'!G12/'Data Entry'!B12</f>
        <v>0</v>
      </c>
      <c r="F9" s="150">
        <f>'Data Entry'!H12/'Data Entry'!B12</f>
        <v>0</v>
      </c>
      <c r="G9" s="150">
        <f>'Data Entry'!I12/'Data Entry'!B12</f>
        <v>1.4492753623188406E-2</v>
      </c>
      <c r="H9" s="150">
        <f>SUM(D9:G9)/'Data Entry'!B12</f>
        <v>2.1003990758244068E-4</v>
      </c>
      <c r="I9" s="150">
        <f>'Data Entry'!C12/'Data Entry'!B12</f>
        <v>0.17391304347826086</v>
      </c>
      <c r="K9" s="96" t="str">
        <f t="shared" si="0"/>
        <v>Delinquent Findings, total N=69</v>
      </c>
      <c r="L9">
        <f>I14/(SUM(B14:G14))</f>
        <v>1.8515085423482371</v>
      </c>
    </row>
    <row r="10" spans="1:12">
      <c r="A10" s="128" t="str">
        <f>CONCATENATE("Petitions, total N=", 'Data Entry'!B11)</f>
        <v>Petitions, total N=261</v>
      </c>
      <c r="B10" s="150">
        <f>'Data Entry'!D11/'Data Entry'!B11</f>
        <v>0.63984674329501912</v>
      </c>
      <c r="C10" s="150">
        <f>'Data Entry'!E11/'Data Entry'!B11</f>
        <v>5.3639846743295021E-2</v>
      </c>
      <c r="D10" s="150">
        <f>'Data Entry'!F11/'Data Entry'!B11</f>
        <v>3.8314176245210726E-3</v>
      </c>
      <c r="E10" s="150">
        <f>'Data Entry'!G11/'Data Entry'!B11</f>
        <v>3.8314176245210726E-3</v>
      </c>
      <c r="F10" s="150">
        <f>'Data Entry'!H11/'Data Entry'!B11</f>
        <v>2.681992337164751E-2</v>
      </c>
      <c r="G10" s="150">
        <f>'Data Entry'!I11/'Data Entry'!B11</f>
        <v>7.662835249042145E-2</v>
      </c>
      <c r="H10" s="150">
        <f>SUM(D10:G10)/'Data Entry'!B11</f>
        <v>4.2571306939123026E-4</v>
      </c>
      <c r="I10" s="150">
        <f>'Data Entry'!C11/'Data Entry'!B11</f>
        <v>0.19157088122605365</v>
      </c>
      <c r="K10" s="96" t="str">
        <f t="shared" si="0"/>
        <v>Petitions, total N=261</v>
      </c>
      <c r="L10">
        <f>I14/(SUM(B14:G14))</f>
        <v>1.8515085423482371</v>
      </c>
    </row>
    <row r="11" spans="1:12">
      <c r="A11" s="128" t="str">
        <f>CONCATENATE("Detentions, total N=", 'Data Entry'!B10)</f>
        <v>Detentions, total N=99</v>
      </c>
      <c r="B11" s="150">
        <f>'Data Entry'!D10/'Data Entry'!B10</f>
        <v>0.5757575757575758</v>
      </c>
      <c r="C11" s="150">
        <f>'Data Entry'!E10/'Data Entry'!B10</f>
        <v>6.0606060606060608E-2</v>
      </c>
      <c r="D11" s="150">
        <f>'Data Entry'!F10/'Data Entry'!B10</f>
        <v>0</v>
      </c>
      <c r="E11" s="150">
        <f>'Data Entry'!G10/'Data Entry'!B10</f>
        <v>0</v>
      </c>
      <c r="F11" s="150">
        <f>'Data Entry'!H10/'Data Entry'!B10</f>
        <v>4.0404040404040407E-2</v>
      </c>
      <c r="G11" s="150">
        <f>'Data Entry'!I10/'Data Entry'!B10</f>
        <v>0.14141414141414141</v>
      </c>
      <c r="H11" s="150">
        <f>SUM(D11:G11)/'Data Entry'!B10</f>
        <v>1.8365472910927456E-3</v>
      </c>
      <c r="I11" s="150">
        <f>'Data Entry'!C10/'Data Entry'!B10</f>
        <v>0.17171717171717171</v>
      </c>
      <c r="K11" s="96" t="str">
        <f t="shared" si="0"/>
        <v>Detentions, total N=99</v>
      </c>
      <c r="L11">
        <f>I14/(SUM(B14:G14))</f>
        <v>1.8515085423482371</v>
      </c>
    </row>
    <row r="12" spans="1:12">
      <c r="A12" s="128" t="str">
        <f>CONCATENATE("Referrals, total N=", 'Data Entry'!B8)</f>
        <v>Referrals, total N=379</v>
      </c>
      <c r="B12" s="150">
        <f>'Data Entry'!D8/'Data Entry'!B8</f>
        <v>0.60686015831134565</v>
      </c>
      <c r="C12" s="150">
        <f>'Data Entry'!E8/'Data Entry'!B8</f>
        <v>1.8469656992084433E-2</v>
      </c>
      <c r="D12" s="150">
        <f>'Data Entry'!F8/'Data Entry'!B8</f>
        <v>2.6385224274406332E-3</v>
      </c>
      <c r="E12" s="150">
        <f>'Data Entry'!G8/'Data Entry'!B8</f>
        <v>5.2770448548812663E-3</v>
      </c>
      <c r="F12" s="150">
        <f>'Data Entry'!H8/'Data Entry'!B8</f>
        <v>1.0554089709762533E-2</v>
      </c>
      <c r="G12" s="150">
        <f>'Data Entry'!I8/'Data Entry'!B8</f>
        <v>2.1108179419525065E-2</v>
      </c>
      <c r="H12" s="150">
        <f>SUM(D12:G12)/'Data Entry'!B8</f>
        <v>1.0442700900160818E-4</v>
      </c>
      <c r="I12" s="150">
        <f>'Data Entry'!C8/'Data Entry'!B8</f>
        <v>0.32453825857519791</v>
      </c>
      <c r="K12" s="96" t="str">
        <f t="shared" si="0"/>
        <v>Referrals, total N=379</v>
      </c>
      <c r="L12">
        <f>I14/(SUM(B14:G14))</f>
        <v>1.8515085423482371</v>
      </c>
    </row>
    <row r="13" spans="1:12">
      <c r="A13" s="128" t="str">
        <f>CONCATENATE("Arrests, total N=", 'Data Entry'!B7)</f>
        <v>Arrests, total N=181</v>
      </c>
      <c r="B13" s="150">
        <f>'Data Entry'!D7/'Data Entry'!B7</f>
        <v>0.64640883977900554</v>
      </c>
      <c r="C13" s="150">
        <f>'Data Entry'!E7/'Data Entry'!B7</f>
        <v>3.8674033149171269E-2</v>
      </c>
      <c r="D13" s="150">
        <f>'Data Entry'!F7/'Data Entry'!B7</f>
        <v>1.6574585635359115E-2</v>
      </c>
      <c r="E13" s="150">
        <f>'Data Entry'!G7/'Data Entry'!B7</f>
        <v>0</v>
      </c>
      <c r="F13" s="150">
        <f>'Data Entry'!H7/'Data Entry'!B7</f>
        <v>0</v>
      </c>
      <c r="G13" s="150">
        <f>'Data Entry'!I7/'Data Entry'!B7</f>
        <v>0</v>
      </c>
      <c r="H13" s="150">
        <f>SUM(D13:G13)/'Data Entry'!B7</f>
        <v>9.1572296327950916E-5</v>
      </c>
      <c r="I13" s="150">
        <f>'Data Entry'!C7/'Data Entry'!B7</f>
        <v>0.27071823204419887</v>
      </c>
      <c r="K13" s="96" t="str">
        <f t="shared" si="0"/>
        <v>Arrests, total N=181</v>
      </c>
      <c r="L13">
        <f>I14/(SUM(B14:G14))</f>
        <v>1.8515085423482371</v>
      </c>
    </row>
    <row r="14" spans="1:12">
      <c r="A14" s="128" t="str">
        <f>CONCATENATE("Population, total N=", 'Data Entry'!B6)</f>
        <v>Population, total N=31378</v>
      </c>
      <c r="B14" s="150">
        <f>'Data Entry'!D6/'Data Entry'!B6</f>
        <v>0.1672509401491491</v>
      </c>
      <c r="C14" s="150">
        <f>'Data Entry'!E6/'Data Entry'!B6</f>
        <v>8.1203390910829246E-2</v>
      </c>
      <c r="D14" s="150">
        <f>'Data Entry'!F6/'Data Entry'!B6</f>
        <v>9.8444770221174066E-2</v>
      </c>
      <c r="E14" s="150">
        <f>'Data Entry'!G6/'Data Entry'!B6</f>
        <v>0</v>
      </c>
      <c r="F14" s="150">
        <f>'Data Entry'!H6/'Data Entry'!B6</f>
        <v>3.792466059022245E-3</v>
      </c>
      <c r="G14" s="150">
        <f>'Data Entry'!I6/'Data Entry'!B6</f>
        <v>0</v>
      </c>
      <c r="H14" s="150">
        <f>SUM(D14:G14)/'Data Entry'!B6</f>
        <v>3.2582457862259006E-6</v>
      </c>
      <c r="I14" s="150">
        <f>'Data Entry'!C6/'Data Entry'!B6</f>
        <v>0.64930843265982541</v>
      </c>
      <c r="K14" s="96" t="str">
        <f t="shared" si="0"/>
        <v>Population, total N=31378</v>
      </c>
      <c r="L14">
        <f>I14/(SUM(B14:G14))</f>
        <v>1.8515085423482371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Washtenaw</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20374</v>
      </c>
      <c r="D7" s="104">
        <f>'Data Entry'!D6</f>
        <v>5248</v>
      </c>
      <c r="E7" s="105"/>
      <c r="F7" s="106">
        <f>'Data Entry'!E6</f>
        <v>2548</v>
      </c>
      <c r="G7" s="105"/>
      <c r="H7" s="106">
        <f>'Data Entry'!F6</f>
        <v>3089</v>
      </c>
      <c r="I7" s="105"/>
      <c r="J7" s="106">
        <f>'Data Entry'!J6</f>
        <v>11004</v>
      </c>
      <c r="K7" s="107"/>
    </row>
    <row r="8" spans="2:30" s="1" customFormat="1" ht="15" customHeight="1">
      <c r="B8" s="121" t="s">
        <v>8</v>
      </c>
      <c r="C8" s="103">
        <f>'Data Entry'!C7</f>
        <v>49</v>
      </c>
      <c r="D8" s="104">
        <f>'Data Entry'!D7</f>
        <v>117</v>
      </c>
      <c r="E8" s="105">
        <f>'Black or African-American'!$G7</f>
        <v>9.2698404056744632</v>
      </c>
      <c r="F8" s="106">
        <f>'Data Entry'!E7</f>
        <v>7</v>
      </c>
      <c r="G8" s="105">
        <f>Hispanic!G7</f>
        <v>1.1422964790311727</v>
      </c>
      <c r="H8" s="106">
        <f>'Data Entry'!F7</f>
        <v>3</v>
      </c>
      <c r="I8" s="105" t="str">
        <f>Asian!G7</f>
        <v>**</v>
      </c>
      <c r="J8" s="106">
        <f>'Data Entry'!J7</f>
        <v>127</v>
      </c>
      <c r="K8" s="107">
        <f>'All Minorities'!G7</f>
        <v>4.7988078546576745</v>
      </c>
      <c r="L8"/>
      <c r="N8" s="1">
        <f>'Black or African-American'!L7</f>
        <v>1</v>
      </c>
      <c r="O8" s="1">
        <f>Hispanic!L7</f>
        <v>2</v>
      </c>
      <c r="P8" s="1">
        <f>Asian!L7</f>
        <v>40</v>
      </c>
      <c r="Q8" s="1" t="e">
        <f>Hawaiian!L7</f>
        <v>#VALUE!</v>
      </c>
      <c r="R8" s="1">
        <f>'Am Indian'!L7</f>
        <v>139</v>
      </c>
      <c r="S8" s="1" t="e">
        <f>'Other - Mixed'!L7</f>
        <v>#VALUE!</v>
      </c>
      <c r="T8" s="1">
        <f>'All Minorities'!L7</f>
        <v>1</v>
      </c>
    </row>
    <row r="9" spans="2:30" s="1" customFormat="1" ht="15" customHeight="1">
      <c r="B9" s="121" t="s">
        <v>126</v>
      </c>
      <c r="C9" s="103">
        <f>'Data Entry'!C8</f>
        <v>123</v>
      </c>
      <c r="D9" s="108">
        <f>'Data Entry'!D8</f>
        <v>230</v>
      </c>
      <c r="E9" s="109">
        <f>'Black or African-American'!$G8</f>
        <v>0.78312834410395393</v>
      </c>
      <c r="F9" s="110">
        <f>'Data Entry'!E8</f>
        <v>7</v>
      </c>
      <c r="G9" s="109" t="str">
        <f>Hispanic!G8</f>
        <v>**</v>
      </c>
      <c r="H9" s="110">
        <f>'Data Entry'!F8</f>
        <v>1</v>
      </c>
      <c r="I9" s="109" t="str">
        <f>Asian!G8</f>
        <v>**</v>
      </c>
      <c r="J9" s="110">
        <f>'Data Entry'!J8</f>
        <v>252</v>
      </c>
      <c r="K9" s="111">
        <f>'All Minorities'!G8</f>
        <v>0.79047436143652772</v>
      </c>
      <c r="L9"/>
      <c r="N9" s="1">
        <f>'Black or African-American'!L8</f>
        <v>1</v>
      </c>
      <c r="O9" s="1">
        <f>Hispanic!L8</f>
        <v>20</v>
      </c>
      <c r="P9" s="1">
        <f>Asian!L8</f>
        <v>20</v>
      </c>
      <c r="Q9" s="1">
        <f>Hawaiian!L8</f>
        <v>119</v>
      </c>
      <c r="R9" s="1">
        <f>'Am Indian'!L8</f>
        <v>119</v>
      </c>
      <c r="S9" s="1">
        <f>'Other - Mixed'!L8</f>
        <v>119</v>
      </c>
      <c r="T9" s="1">
        <f>'All Minorities'!L8</f>
        <v>1</v>
      </c>
    </row>
    <row r="10" spans="2:30" s="1" customFormat="1" ht="15" customHeight="1">
      <c r="B10" s="121" t="s">
        <v>10</v>
      </c>
      <c r="C10" s="103">
        <f>'Data Entry'!C9</f>
        <v>5</v>
      </c>
      <c r="D10" s="112">
        <f>'Data Entry'!D9</f>
        <v>19</v>
      </c>
      <c r="E10" s="113" t="str">
        <f>'Black or African-American'!$G9</f>
        <v>**</v>
      </c>
      <c r="F10" s="114">
        <f>'Data Entry'!E9</f>
        <v>1</v>
      </c>
      <c r="G10" s="113" t="str">
        <f>Hispanic!G9</f>
        <v>**</v>
      </c>
      <c r="H10" s="114">
        <f>'Data Entry'!F9</f>
        <v>0</v>
      </c>
      <c r="I10" s="113" t="str">
        <f>Asian!G9</f>
        <v>**</v>
      </c>
      <c r="J10" s="114">
        <f>'Data Entry'!J9</f>
        <v>22</v>
      </c>
      <c r="K10" s="115" t="str">
        <f>'All Minorities'!G9</f>
        <v>**</v>
      </c>
      <c r="L10"/>
      <c r="N10" s="1">
        <f>'Black or African-American'!L9</f>
        <v>40</v>
      </c>
      <c r="O10" s="1">
        <f>Hispanic!L9</f>
        <v>40</v>
      </c>
      <c r="P10" s="1">
        <f>Asian!L9</f>
        <v>40</v>
      </c>
      <c r="Q10" s="1">
        <f>Hawaiian!L9</f>
        <v>139</v>
      </c>
      <c r="R10" s="1">
        <f>'Am Indian'!L9</f>
        <v>119</v>
      </c>
      <c r="S10" s="1">
        <f>'Other - Mixed'!L9</f>
        <v>139</v>
      </c>
      <c r="T10" s="1">
        <f>'All Minorities'!L9</f>
        <v>40</v>
      </c>
    </row>
    <row r="11" spans="2:30" s="1" customFormat="1" ht="15" customHeight="1">
      <c r="B11" s="121" t="s">
        <v>11</v>
      </c>
      <c r="C11" s="103">
        <f>'Data Entry'!C10</f>
        <v>17</v>
      </c>
      <c r="D11" s="108">
        <f>'Data Entry'!D10</f>
        <v>57</v>
      </c>
      <c r="E11" s="109">
        <f>'Black or African-American'!$G10</f>
        <v>1.7930946291560101</v>
      </c>
      <c r="F11" s="110">
        <f>'Data Entry'!E10</f>
        <v>6</v>
      </c>
      <c r="G11" s="109" t="str">
        <f>Hispanic!G10</f>
        <v>**</v>
      </c>
      <c r="H11" s="110">
        <f>'Data Entry'!F10</f>
        <v>0</v>
      </c>
      <c r="I11" s="109" t="str">
        <f>Asian!G10</f>
        <v>**</v>
      </c>
      <c r="J11" s="110">
        <f>'Data Entry'!J10</f>
        <v>81</v>
      </c>
      <c r="K11" s="111">
        <f>'All Minorities'!G10</f>
        <v>2.3256302521008405</v>
      </c>
      <c r="L11"/>
      <c r="N11" s="1">
        <f>'Black or African-American'!L10</f>
        <v>1</v>
      </c>
      <c r="O11" s="1">
        <f>Hispanic!L10</f>
        <v>20</v>
      </c>
      <c r="P11" s="1">
        <f>Asian!L10</f>
        <v>40</v>
      </c>
      <c r="Q11" s="1">
        <f>Hawaiian!L10</f>
        <v>139</v>
      </c>
      <c r="R11" s="1">
        <f>'Am Indian'!L10</f>
        <v>119</v>
      </c>
      <c r="S11" s="1">
        <f>'Other - Mixed'!L10</f>
        <v>119</v>
      </c>
      <c r="T11" s="1">
        <f>'All Minorities'!L10</f>
        <v>1</v>
      </c>
    </row>
    <row r="12" spans="2:30" s="1" customFormat="1" ht="15" customHeight="1">
      <c r="B12" s="121" t="s">
        <v>95</v>
      </c>
      <c r="C12" s="103">
        <f>'Data Entry'!C11</f>
        <v>50</v>
      </c>
      <c r="D12" s="112">
        <f>'Data Entry'!D11</f>
        <v>167</v>
      </c>
      <c r="E12" s="113">
        <f>'Black or African-American'!$G11</f>
        <v>1.7861739130434786</v>
      </c>
      <c r="F12" s="114">
        <f>'Data Entry'!E11</f>
        <v>14</v>
      </c>
      <c r="G12" s="113" t="str">
        <f>Hispanic!G11</f>
        <v>**</v>
      </c>
      <c r="H12" s="114">
        <f>'Data Entry'!F11</f>
        <v>1</v>
      </c>
      <c r="I12" s="113" t="str">
        <f>Asian!G11</f>
        <v>**</v>
      </c>
      <c r="J12" s="114">
        <f>'Data Entry'!J11</f>
        <v>210</v>
      </c>
      <c r="K12" s="115">
        <f>'All Minorities'!G11</f>
        <v>2.0499999999999998</v>
      </c>
      <c r="L12"/>
      <c r="N12" s="1">
        <f>'Black or African-American'!L11</f>
        <v>1</v>
      </c>
      <c r="O12" s="1">
        <f>Hispanic!L11</f>
        <v>20</v>
      </c>
      <c r="P12" s="1">
        <f>Asian!L11</f>
        <v>40</v>
      </c>
      <c r="Q12" s="1">
        <f>Hawaiian!L11</f>
        <v>139</v>
      </c>
      <c r="R12" s="1">
        <f>'Am Indian'!L11</f>
        <v>119</v>
      </c>
      <c r="S12" s="1">
        <f>'Other - Mixed'!L11</f>
        <v>119</v>
      </c>
      <c r="T12" s="1">
        <f>'All Minorities'!L11</f>
        <v>1</v>
      </c>
    </row>
    <row r="13" spans="2:30" s="1" customFormat="1" ht="15" customHeight="1">
      <c r="B13" s="121" t="s">
        <v>13</v>
      </c>
      <c r="C13" s="103">
        <f>'Data Entry'!C12</f>
        <v>12</v>
      </c>
      <c r="D13" s="108">
        <f>'Data Entry'!D12</f>
        <v>54</v>
      </c>
      <c r="E13" s="109">
        <f>'Black or African-American'!$G12</f>
        <v>1.347305389221557</v>
      </c>
      <c r="F13" s="110">
        <f>'Data Entry'!E12</f>
        <v>1</v>
      </c>
      <c r="G13" s="109" t="str">
        <f>Hispanic!G12</f>
        <v>**</v>
      </c>
      <c r="H13" s="110">
        <f>'Data Entry'!F12</f>
        <v>0</v>
      </c>
      <c r="I13" s="109" t="str">
        <f>Asian!G12</f>
        <v>**</v>
      </c>
      <c r="J13" s="110">
        <f>'Data Entry'!J12</f>
        <v>56</v>
      </c>
      <c r="K13" s="111">
        <f>'All Minorities'!G12</f>
        <v>1.1111111111111109</v>
      </c>
      <c r="L13"/>
      <c r="N13" s="1">
        <f>'Black or African-American'!L12</f>
        <v>2</v>
      </c>
      <c r="O13" s="1">
        <f>Hispanic!L12</f>
        <v>40</v>
      </c>
      <c r="P13" s="1">
        <f>Asian!L12</f>
        <v>40</v>
      </c>
      <c r="Q13" s="1">
        <f>Hawaiian!L12</f>
        <v>139</v>
      </c>
      <c r="R13" s="1">
        <f>'Am Indian'!L12</f>
        <v>139</v>
      </c>
      <c r="S13" s="1">
        <f>'Other - Mixed'!L12</f>
        <v>139</v>
      </c>
      <c r="T13" s="1">
        <f>'All Minorities'!L12</f>
        <v>2</v>
      </c>
      <c r="W13" s="8"/>
      <c r="X13" s="8"/>
      <c r="Y13" s="8"/>
      <c r="Z13" s="8"/>
      <c r="AA13" s="8"/>
      <c r="AB13" s="8"/>
      <c r="AC13" s="8"/>
      <c r="AD13" s="8"/>
    </row>
    <row r="14" spans="2:30" s="1" customFormat="1" ht="15" customHeight="1">
      <c r="B14" s="121" t="s">
        <v>14</v>
      </c>
      <c r="C14" s="103">
        <f>'Data Entry'!C13</f>
        <v>56</v>
      </c>
      <c r="D14" s="112">
        <f>'Data Entry'!D13</f>
        <v>117</v>
      </c>
      <c r="E14" s="113" t="str">
        <f>'Black or African-American'!$G13</f>
        <v>**</v>
      </c>
      <c r="F14" s="114">
        <f>'Data Entry'!E13</f>
        <v>8</v>
      </c>
      <c r="G14" s="113" t="str">
        <f>Hispanic!G13</f>
        <v>**</v>
      </c>
      <c r="H14" s="114">
        <f>'Data Entry'!F13</f>
        <v>1</v>
      </c>
      <c r="I14" s="113" t="str">
        <f>Asian!G13</f>
        <v>--</v>
      </c>
      <c r="J14" s="114">
        <f>'Data Entry'!J13</f>
        <v>134</v>
      </c>
      <c r="K14" s="115" t="str">
        <f>'All Minorities'!G13</f>
        <v>**</v>
      </c>
      <c r="L14"/>
      <c r="N14" s="1">
        <f>'Black or African-American'!L13</f>
        <v>20</v>
      </c>
      <c r="O14" s="1">
        <f>Hispanic!L13</f>
        <v>40</v>
      </c>
      <c r="P14" s="1" t="e">
        <f>Asian!L13</f>
        <v>#DIV/0!</v>
      </c>
      <c r="Q14" s="1" t="e">
        <f>Hawaiian!L13</f>
        <v>#DIV/0!</v>
      </c>
      <c r="R14" s="1" t="e">
        <f>'Am Indian'!L13</f>
        <v>#DIV/0!</v>
      </c>
      <c r="S14" s="1">
        <f>'Other - Mixed'!L13</f>
        <v>139</v>
      </c>
      <c r="T14" s="1">
        <f>'All Minorities'!L13</f>
        <v>20</v>
      </c>
      <c r="W14" s="8"/>
      <c r="X14" s="8"/>
      <c r="Y14" s="8"/>
      <c r="Z14" s="8"/>
      <c r="AA14" s="8"/>
      <c r="AB14" s="8"/>
      <c r="AC14" s="8"/>
      <c r="AD14" s="8"/>
    </row>
    <row r="15" spans="2:30" s="1" customFormat="1" ht="33">
      <c r="B15" s="126" t="s">
        <v>115</v>
      </c>
      <c r="C15" s="103">
        <f>'Data Entry'!C14</f>
        <v>2</v>
      </c>
      <c r="D15" s="108">
        <f>'Data Entry'!D14</f>
        <v>2</v>
      </c>
      <c r="E15" s="109" t="str">
        <f>'Black or African-American'!$G14</f>
        <v>**</v>
      </c>
      <c r="F15" s="110">
        <f>'Data Entry'!E14</f>
        <v>0</v>
      </c>
      <c r="G15" s="109" t="str">
        <f>Hispanic!G14</f>
        <v>**</v>
      </c>
      <c r="H15" s="110">
        <f>'Data Entry'!F14</f>
        <v>0</v>
      </c>
      <c r="I15" s="109" t="str">
        <f>Asian!G14</f>
        <v>--</v>
      </c>
      <c r="J15" s="110">
        <f>'Data Entry'!J14</f>
        <v>2</v>
      </c>
      <c r="K15" s="111"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1</v>
      </c>
      <c r="D16" s="116">
        <f>'Data Entry'!D15</f>
        <v>1</v>
      </c>
      <c r="E16" s="117" t="str">
        <f>'Black or African-American'!$G15</f>
        <v>**</v>
      </c>
      <c r="F16" s="118">
        <f>'Data Entry'!E15</f>
        <v>0</v>
      </c>
      <c r="G16" s="117" t="str">
        <f>Hispanic!G15</f>
        <v>**</v>
      </c>
      <c r="H16" s="118">
        <f>'Data Entry'!F15</f>
        <v>0</v>
      </c>
      <c r="I16" s="117" t="str">
        <f>Asian!G15</f>
        <v>**</v>
      </c>
      <c r="J16" s="118">
        <f>'Data Entry'!J15</f>
        <v>1</v>
      </c>
      <c r="K16" s="119" t="str">
        <f>'All Minorities'!G15</f>
        <v>**</v>
      </c>
      <c r="L16"/>
      <c r="N16" s="1">
        <f>'Black or African-American'!L15</f>
        <v>40</v>
      </c>
      <c r="O16" s="1">
        <f>Hispanic!L15</f>
        <v>40</v>
      </c>
      <c r="P16" s="1">
        <f>Asian!L15</f>
        <v>40</v>
      </c>
      <c r="Q16" s="1">
        <f>Hawaiian!L15</f>
        <v>139</v>
      </c>
      <c r="R16" s="1">
        <f>'Am Indian'!L15</f>
        <v>139</v>
      </c>
      <c r="S16" s="1">
        <f>'Other - Mixed'!L15</f>
        <v>139</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112</v>
      </c>
      <c r="C19" s="193"/>
      <c r="D19" s="193"/>
      <c r="E19" s="193"/>
      <c r="F19" s="193"/>
      <c r="G19" s="193"/>
      <c r="H19" s="193"/>
      <c r="I19" s="194"/>
      <c r="J19" s="195"/>
      <c r="K19" s="196"/>
    </row>
    <row r="20" spans="2:30" ht="15.75">
      <c r="B20" s="153" t="s">
        <v>117</v>
      </c>
      <c r="C20" s="200" t="s">
        <v>53</v>
      </c>
      <c r="D20" s="201"/>
      <c r="E20" s="184" t="s">
        <v>56</v>
      </c>
      <c r="F20" s="185"/>
      <c r="G20" s="185"/>
      <c r="H20" s="185"/>
      <c r="I20" s="185"/>
      <c r="J20" s="185"/>
      <c r="K20" s="154" t="s">
        <v>57</v>
      </c>
    </row>
    <row r="21" spans="2:30" ht="15" customHeight="1">
      <c r="B21" s="155" t="s">
        <v>118</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Washtenaw County Juvenile Court</v>
      </c>
      <c r="E27" s="1" t="str">
        <f>'Data Entry'!D20</f>
        <v>Item 4.Diversion: Washtenaw County Juvenile Court</v>
      </c>
      <c r="I27" s="96"/>
    </row>
    <row r="28" spans="2:30" ht="12.75" customHeight="1">
      <c r="B28" s="1" t="str">
        <f>'Data Entry'!A21</f>
        <v>Item 5.Detention: Washtenaw County Juvenile Court</v>
      </c>
      <c r="E28" s="1" t="str">
        <f>'Data Entry'!D21</f>
        <v>Item 6.Petitioned: Washtenaw County Juvenile Court</v>
      </c>
      <c r="I28" s="96"/>
    </row>
    <row r="29" spans="2:30" ht="12.75" customHeight="1">
      <c r="B29" s="1" t="str">
        <f>'Data Entry'!A22</f>
        <v>Item 7.Delinquent: Washtenaw County Juvenile Court</v>
      </c>
      <c r="E29" s="1" t="str">
        <f>'Data Entry'!D22</f>
        <v>Item 8.Probation: Washtenaw County Juvenile Court</v>
      </c>
      <c r="I29" s="96"/>
    </row>
    <row r="30" spans="2:30" ht="12.75" customHeight="1">
      <c r="B30" s="1" t="str">
        <f>'Data Entry'!A23</f>
        <v>Item 9.Confinement: Washtenaw County Juvenile Court</v>
      </c>
      <c r="E30" s="1" t="str">
        <f>'Data Entry'!D23</f>
        <v>Item 10.Transferred: Washtenaw County Juvenile Court</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20374</v>
      </c>
      <c r="D6" s="34"/>
      <c r="E6" s="33">
        <f>'Data Entry'!D6</f>
        <v>5248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2.4050260135466774</v>
      </c>
      <c r="E7" s="33">
        <f>'Data Entry'!D7</f>
        <v>117</v>
      </c>
      <c r="F7" s="34">
        <f>IF((AND($E$7&gt;0,$D$66&gt;0)),($E$7/$D$66),0)</f>
        <v>22.29420731707317</v>
      </c>
      <c r="G7" s="39">
        <f>IF(L$6=100,"*",IF(M7=FALSE,"--",IF(K7=20,"**",($F7/$D7))))</f>
        <v>9.2698404056744632</v>
      </c>
      <c r="H7" s="40"/>
      <c r="I7" s="41"/>
      <c r="J7" s="40">
        <f>IF((ABS($U7)&gt;Defaults!D$7),1,2)</f>
        <v>1</v>
      </c>
      <c r="K7" s="39">
        <f>IF((AND(N7&gt;Defaults!B$12,(N7+O7)&gt;Defaults!B$13, P7 &gt; Defaults!B$12, (P7+Q7) &gt; Defaults!B$13)),1,20)</f>
        <v>1</v>
      </c>
      <c r="L7" s="1">
        <f>(J7*K7+L$6)-1</f>
        <v>1</v>
      </c>
      <c r="M7" s="1" t="b">
        <f t="shared" ref="M7:M15" si="0">(ISNUMBER(J7))</f>
        <v>1</v>
      </c>
      <c r="N7" s="42">
        <f t="shared" ref="N7:N15" si="1">E7</f>
        <v>117</v>
      </c>
      <c r="O7" s="42">
        <f>E6-E7</f>
        <v>5131</v>
      </c>
      <c r="P7" s="42">
        <f t="shared" ref="P7:P15" si="2">C7</f>
        <v>49</v>
      </c>
      <c r="Q7" s="42">
        <f>C6-C7</f>
        <v>20325</v>
      </c>
      <c r="R7" s="42">
        <f t="shared" ref="R7:R15" si="3">SUM(N7:Q7)</f>
        <v>25622</v>
      </c>
      <c r="S7" s="30">
        <f t="shared" ref="S7:S15" si="4">R7*((((N7*Q7)-(O7*P7))^2))</f>
        <v>1.158742927961848E+17</v>
      </c>
      <c r="T7" s="30">
        <f t="shared" ref="T7:T15" si="5">(N7+O7)*(P7+Q7)*(N7+P7)*(O7+Q7)</f>
        <v>451823045435392</v>
      </c>
      <c r="U7" s="31">
        <f t="shared" ref="U7:U15" si="6">IF((S7&gt;0),S7/T7,"- -")</f>
        <v>256.45945678694721</v>
      </c>
    </row>
    <row r="8" spans="2:21" ht="18" customHeight="1">
      <c r="B8" s="32" t="str">
        <f>'Data Entry'!A8</f>
        <v>3. Refer to Juvenile Court</v>
      </c>
      <c r="C8" s="33">
        <f>'Data Entry'!C8</f>
        <v>123</v>
      </c>
      <c r="D8" s="34">
        <f>IF((AND(C67&gt;0,C8&gt;0)),(C8/C67),0)</f>
        <v>251.0204081632653</v>
      </c>
      <c r="E8" s="33">
        <f>'Data Entry'!D8</f>
        <v>230</v>
      </c>
      <c r="F8" s="34">
        <f>IF((AND($E$8&gt;0,$D$67&gt;0)),($E8/$D67),0)</f>
        <v>196.58119658119659</v>
      </c>
      <c r="G8" s="39">
        <f t="shared" ref="G8:G15" si="7">IF(L$6=100,"*",IF(M8=FALSE,"--",IF(K8=20,"**",($F8/$D8))))</f>
        <v>0.78312834410395393</v>
      </c>
      <c r="H8" s="40"/>
      <c r="I8" s="41"/>
      <c r="J8" s="40">
        <f>IF((ABS($U8)&gt;Defaults!D$7),1,2)</f>
        <v>1</v>
      </c>
      <c r="K8" s="39">
        <f>IF((AND(N8&gt;Defaults!B$12,(N8+O8)&gt;Defaults!B$13, P8 &gt; Defaults!B$12, (P8+Q8) &gt; Defaults!B$13)),1,20)</f>
        <v>1</v>
      </c>
      <c r="L8" s="1">
        <f t="shared" ref="L8:L15" si="8">(J8*K8+L$6)-1</f>
        <v>1</v>
      </c>
      <c r="M8" s="1" t="b">
        <f t="shared" si="0"/>
        <v>1</v>
      </c>
      <c r="N8" s="42">
        <f t="shared" si="1"/>
        <v>230</v>
      </c>
      <c r="O8" s="42">
        <f>((D67*L67)-E8)+0.05</f>
        <v>-112.95</v>
      </c>
      <c r="P8" s="42">
        <f t="shared" si="2"/>
        <v>123</v>
      </c>
      <c r="Q8" s="42">
        <f>(C$67*L67)-C8</f>
        <v>-74</v>
      </c>
      <c r="R8" s="42">
        <f t="shared" si="3"/>
        <v>166.05</v>
      </c>
      <c r="S8" s="30">
        <f t="shared" si="4"/>
        <v>1623814095.6911247</v>
      </c>
      <c r="T8" s="30">
        <f t="shared" si="5"/>
        <v>-378501559.25749993</v>
      </c>
      <c r="U8" s="31">
        <f t="shared" si="6"/>
        <v>-4.2901120377853479</v>
      </c>
    </row>
    <row r="9" spans="2:21" ht="18" customHeight="1">
      <c r="B9" s="32" t="str">
        <f>'Data Entry'!A9</f>
        <v xml:space="preserve">4. Cases Diverted </v>
      </c>
      <c r="C9" s="33">
        <f>'Data Entry'!C9</f>
        <v>5</v>
      </c>
      <c r="D9" s="34">
        <f>IF((AND(C68&gt;0,C9&gt;0)),((C9/C68)),0)</f>
        <v>4.0650406504065044</v>
      </c>
      <c r="E9" s="33">
        <f>'Data Entry'!D9</f>
        <v>19</v>
      </c>
      <c r="F9" s="34">
        <f>IF((AND($E$9&gt;0,$D$68&gt;0)),(($E$9/$D$68)),0)</f>
        <v>8.2608695652173925</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19</v>
      </c>
      <c r="O9" s="42">
        <f>(D$68*L68)-E9</f>
        <v>210.99999999999997</v>
      </c>
      <c r="P9" s="42">
        <f t="shared" si="2"/>
        <v>5</v>
      </c>
      <c r="Q9" s="42">
        <f>(C$68*L68)-C9</f>
        <v>118</v>
      </c>
      <c r="R9" s="42">
        <f t="shared" si="3"/>
        <v>353</v>
      </c>
      <c r="S9" s="30">
        <f t="shared" si="4"/>
        <v>497366057.00000018</v>
      </c>
      <c r="T9" s="30">
        <f t="shared" si="5"/>
        <v>223377839.99999997</v>
      </c>
      <c r="U9" s="31">
        <f t="shared" si="6"/>
        <v>2.2265684769805287</v>
      </c>
    </row>
    <row r="10" spans="2:21" ht="18" customHeight="1">
      <c r="B10" s="32" t="str">
        <f>'Data Entry'!A10</f>
        <v>5. Cases Involving Secure Detention</v>
      </c>
      <c r="C10" s="33">
        <f>'Data Entry'!C10</f>
        <v>17</v>
      </c>
      <c r="D10" s="34">
        <f>IF(((AND(C68&gt;0,C10&gt;0))),(C10/(C68)),0)</f>
        <v>13.821138211382115</v>
      </c>
      <c r="E10" s="33">
        <f>'Data Entry'!D10</f>
        <v>57</v>
      </c>
      <c r="F10" s="34">
        <f>IF(((AND($E$10&gt;0,$D$68&gt;0))),($E$10/($D$68)),0)</f>
        <v>24.782608695652176</v>
      </c>
      <c r="G10" s="39">
        <f t="shared" si="7"/>
        <v>1.7930946291560101</v>
      </c>
      <c r="H10" s="40"/>
      <c r="I10" s="41"/>
      <c r="J10" s="40">
        <f>IF((ABS($U10)&gt;Defaults!D$7),1,2)</f>
        <v>1</v>
      </c>
      <c r="K10" s="39">
        <f>IF((AND(N10&gt;Defaults!B$12,(N10+O10)&gt;Defaults!B$13, P10 &gt; Defaults!B$12, (P10+Q10) &gt; Defaults!B$13)),1,20)</f>
        <v>1</v>
      </c>
      <c r="L10" s="1">
        <f t="shared" si="8"/>
        <v>1</v>
      </c>
      <c r="M10" s="1" t="b">
        <f t="shared" si="0"/>
        <v>1</v>
      </c>
      <c r="N10" s="42">
        <f t="shared" si="1"/>
        <v>57</v>
      </c>
      <c r="O10" s="42">
        <f>(D$68*L68)-E10</f>
        <v>172.99999999999997</v>
      </c>
      <c r="P10" s="42">
        <f t="shared" si="2"/>
        <v>17</v>
      </c>
      <c r="Q10" s="42">
        <f>(C$68*L68)-C10</f>
        <v>106</v>
      </c>
      <c r="R10" s="42">
        <f t="shared" si="3"/>
        <v>353</v>
      </c>
      <c r="S10" s="30">
        <f t="shared" si="4"/>
        <v>3394518953.0000014</v>
      </c>
      <c r="T10" s="30">
        <f t="shared" si="5"/>
        <v>584075339.99999988</v>
      </c>
      <c r="U10" s="31">
        <f t="shared" si="6"/>
        <v>5.8117826939928712</v>
      </c>
    </row>
    <row r="11" spans="2:21" ht="18" customHeight="1">
      <c r="B11" s="32" t="str">
        <f>'Data Entry'!A11</f>
        <v>6. Cases Petitioned (Charge Filed)</v>
      </c>
      <c r="C11" s="33">
        <f>'Data Entry'!C11</f>
        <v>50</v>
      </c>
      <c r="D11" s="34">
        <f>IF(((AND(C68&gt;0,C11&gt;0))),(C11/(C68)),0)</f>
        <v>40.650406504065039</v>
      </c>
      <c r="E11" s="33">
        <f>'Data Entry'!D11</f>
        <v>167</v>
      </c>
      <c r="F11" s="34">
        <f>IF(((AND($E$11&gt;0,$D$68&gt;0))),($E$11/($D$68)),0)</f>
        <v>72.608695652173921</v>
      </c>
      <c r="G11" s="39">
        <f t="shared" si="7"/>
        <v>1.7861739130434786</v>
      </c>
      <c r="H11" s="40"/>
      <c r="I11" s="41"/>
      <c r="J11" s="40">
        <f>IF((ABS($U11)&gt;Defaults!D$7),1,2)</f>
        <v>1</v>
      </c>
      <c r="K11" s="39">
        <f>IF((AND(N11&gt;Defaults!B$12,(N11+O11)&gt;Defaults!B$13, P11 &gt; Defaults!B$12, (P11+Q11) &gt; Defaults!B$13)),1,20)</f>
        <v>1</v>
      </c>
      <c r="L11" s="1">
        <f t="shared" si="8"/>
        <v>1</v>
      </c>
      <c r="M11" s="1" t="b">
        <f t="shared" si="0"/>
        <v>1</v>
      </c>
      <c r="N11" s="42">
        <f t="shared" si="1"/>
        <v>167</v>
      </c>
      <c r="O11" s="42">
        <f>(D$68*L68)-E11</f>
        <v>62.999999999999972</v>
      </c>
      <c r="P11" s="42">
        <f t="shared" si="2"/>
        <v>50</v>
      </c>
      <c r="Q11" s="42">
        <f>(C$68*L68)-C11</f>
        <v>73</v>
      </c>
      <c r="R11" s="42">
        <f t="shared" si="3"/>
        <v>353</v>
      </c>
      <c r="S11" s="30">
        <f t="shared" si="4"/>
        <v>28854107393.000011</v>
      </c>
      <c r="T11" s="30">
        <f t="shared" si="5"/>
        <v>834894479.99999964</v>
      </c>
      <c r="U11" s="31">
        <f t="shared" si="6"/>
        <v>34.560184651119052</v>
      </c>
    </row>
    <row r="12" spans="2:21" ht="18" customHeight="1">
      <c r="B12" s="32" t="str">
        <f>'Data Entry'!A12</f>
        <v>7. Cases Resulting in Delinquent Findings</v>
      </c>
      <c r="C12" s="33">
        <f>'Data Entry'!C12</f>
        <v>12</v>
      </c>
      <c r="D12" s="34">
        <f>IF(((AND(C69&gt;0,C12&gt;0))),(C12/(C69)),0)</f>
        <v>24</v>
      </c>
      <c r="E12" s="33">
        <f>'Data Entry'!D12</f>
        <v>54</v>
      </c>
      <c r="F12" s="34">
        <f>IF(((AND($D$69&gt;0,$E$12&gt;0))),(E12/(D69)),0)</f>
        <v>32.335329341317369</v>
      </c>
      <c r="G12" s="39">
        <f t="shared" si="7"/>
        <v>1.347305389221557</v>
      </c>
      <c r="H12" s="40"/>
      <c r="I12" s="41"/>
      <c r="J12" s="40">
        <f>IF((ABS($U12)&gt;Defaults!D$7),1,2)</f>
        <v>2</v>
      </c>
      <c r="K12" s="39">
        <f>IF((AND(N12&gt;Defaults!B$12,(N12+O12)&gt;Defaults!B$13, P12 &gt; Defaults!B$12, (P12+Q12) &gt; Defaults!B$13)),1,20)</f>
        <v>1</v>
      </c>
      <c r="L12" s="1">
        <f t="shared" si="8"/>
        <v>2</v>
      </c>
      <c r="M12" s="1" t="b">
        <f t="shared" si="0"/>
        <v>1</v>
      </c>
      <c r="N12" s="42">
        <f t="shared" si="1"/>
        <v>54</v>
      </c>
      <c r="O12" s="42">
        <f>(D69*L69)-E12</f>
        <v>113</v>
      </c>
      <c r="P12" s="42">
        <f t="shared" si="2"/>
        <v>12</v>
      </c>
      <c r="Q12" s="42">
        <f>(C69*L69)-C12</f>
        <v>38</v>
      </c>
      <c r="R12" s="42">
        <f t="shared" si="3"/>
        <v>217</v>
      </c>
      <c r="S12" s="30">
        <f t="shared" si="4"/>
        <v>105118272</v>
      </c>
      <c r="T12" s="30">
        <f t="shared" si="5"/>
        <v>83216100</v>
      </c>
      <c r="U12" s="31">
        <f t="shared" si="6"/>
        <v>1.2631963285950676</v>
      </c>
    </row>
    <row r="13" spans="2:21" ht="18" customHeight="1">
      <c r="B13" s="32" t="str">
        <f>'Data Entry'!A13</f>
        <v>8. Cases Resulting in Probation Placement</v>
      </c>
      <c r="C13" s="33">
        <f>'Data Entry'!C13</f>
        <v>56</v>
      </c>
      <c r="D13" s="34">
        <f>IF(((AND(C70&gt;0,C13&gt;0))),(C13/(C70)),0)</f>
        <v>466.66666666666669</v>
      </c>
      <c r="E13" s="33">
        <f>'Data Entry'!D13</f>
        <v>117</v>
      </c>
      <c r="F13" s="34">
        <f>IF(((AND($D$70&gt;0,$E$13&gt;0))),($E$13/($D$70)),0)</f>
        <v>216.66666666666666</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117</v>
      </c>
      <c r="O13" s="42">
        <f>(D70*L70)-E13</f>
        <v>-63</v>
      </c>
      <c r="P13" s="42">
        <f t="shared" si="2"/>
        <v>56</v>
      </c>
      <c r="Q13" s="42">
        <f>(C70*L70)-C13</f>
        <v>-44</v>
      </c>
      <c r="R13" s="42">
        <f t="shared" si="3"/>
        <v>66</v>
      </c>
      <c r="S13" s="30">
        <f t="shared" si="4"/>
        <v>173210400</v>
      </c>
      <c r="T13" s="30">
        <f t="shared" si="5"/>
        <v>-11995128</v>
      </c>
      <c r="U13" s="31">
        <f t="shared" si="6"/>
        <v>-14.44006266544217</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Entry'!D14</f>
        <v>2</v>
      </c>
      <c r="F14" s="34">
        <f>IF(((AND($D$70&gt;0,$E$14&gt;0))), (($E$14/($D$70))),0)</f>
        <v>3.7037037037037033</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2</v>
      </c>
      <c r="O14" s="42">
        <f>(D70*L70)-E14</f>
        <v>52</v>
      </c>
      <c r="P14" s="42">
        <f t="shared" si="2"/>
        <v>2</v>
      </c>
      <c r="Q14" s="42">
        <f>(C70*L70)-C14</f>
        <v>10</v>
      </c>
      <c r="R14" s="42">
        <f t="shared" si="3"/>
        <v>66</v>
      </c>
      <c r="S14" s="30">
        <f t="shared" si="4"/>
        <v>465696</v>
      </c>
      <c r="T14" s="30">
        <f t="shared" si="5"/>
        <v>160704</v>
      </c>
      <c r="U14" s="31">
        <f t="shared" si="6"/>
        <v>2.8978494623655915</v>
      </c>
    </row>
    <row r="15" spans="2:21" ht="15.75" customHeight="1">
      <c r="B15" s="32" t="str">
        <f>'Data Entry'!A15</f>
        <v xml:space="preserve">10. Cases Transferred to Adult Court </v>
      </c>
      <c r="C15" s="33">
        <f>'Data Entry'!C15</f>
        <v>1</v>
      </c>
      <c r="D15" s="34">
        <f>IF(((AND(C69&gt;0,C15&gt;0))),((C15/(C69))),0)</f>
        <v>2</v>
      </c>
      <c r="E15" s="33">
        <f>'Data Entry'!D15</f>
        <v>1</v>
      </c>
      <c r="F15" s="34">
        <f>IF(((AND($D$69&gt;0,$E$15&gt;0))),(($E$15/($D$69))),0)</f>
        <v>0.5988023952095809</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1</v>
      </c>
      <c r="O15" s="42">
        <f>(D69*L69)-E15</f>
        <v>166</v>
      </c>
      <c r="P15" s="42">
        <f t="shared" si="2"/>
        <v>1</v>
      </c>
      <c r="Q15" s="42">
        <f>(C69*L69)-C15</f>
        <v>49</v>
      </c>
      <c r="R15" s="42">
        <f t="shared" si="3"/>
        <v>217</v>
      </c>
      <c r="S15" s="30">
        <f t="shared" si="4"/>
        <v>2970513</v>
      </c>
      <c r="T15" s="30">
        <f t="shared" si="5"/>
        <v>3590500</v>
      </c>
      <c r="U15" s="31">
        <f t="shared" si="6"/>
        <v>0.82732572065171983</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20.373999999999999</v>
      </c>
      <c r="D42" s="56">
        <f>E6/1000</f>
        <v>5.2480000000000002</v>
      </c>
      <c r="E42" s="56">
        <f>MAX(C42:D42)</f>
        <v>20.373999999999999</v>
      </c>
      <c r="G42" s="1" t="str">
        <f>B42</f>
        <v>per 1000 youth</v>
      </c>
      <c r="L42" s="57">
        <v>1000</v>
      </c>
      <c r="M42" s="57"/>
      <c r="R42" s="49"/>
    </row>
    <row r="43" spans="2:18" ht="15" hidden="1" customHeight="1">
      <c r="B43" s="49" t="s">
        <v>87</v>
      </c>
      <c r="C43" s="56">
        <f>C7/100</f>
        <v>0.49</v>
      </c>
      <c r="D43" s="56">
        <f>E7/100</f>
        <v>1.17</v>
      </c>
      <c r="E43" s="56">
        <f>MAX(C43:D43,0)</f>
        <v>1.17</v>
      </c>
      <c r="G43" s="1" t="str">
        <f>B43</f>
        <v>per 100 arrests</v>
      </c>
      <c r="L43" s="57">
        <v>100</v>
      </c>
      <c r="M43" s="57"/>
      <c r="R43" s="49"/>
    </row>
    <row r="44" spans="2:18" ht="15" hidden="1" customHeight="1">
      <c r="B44" s="49" t="s">
        <v>88</v>
      </c>
      <c r="C44" s="56">
        <f>C8/100</f>
        <v>1.23</v>
      </c>
      <c r="D44" s="56">
        <f>E8/100</f>
        <v>2.2999999999999998</v>
      </c>
      <c r="E44" s="56">
        <f>MAX(C44:D44,0)</f>
        <v>2.2999999999999998</v>
      </c>
      <c r="G44" s="1" t="str">
        <f>B44</f>
        <v>per 100 referrals</v>
      </c>
      <c r="L44" s="57">
        <v>100</v>
      </c>
      <c r="M44" s="57"/>
      <c r="R44" s="49"/>
    </row>
    <row r="45" spans="2:18" ht="15" hidden="1" customHeight="1">
      <c r="B45" s="49" t="s">
        <v>89</v>
      </c>
      <c r="C45" s="49">
        <f>C11/100</f>
        <v>0.5</v>
      </c>
      <c r="D45" s="49">
        <f>E11/100</f>
        <v>1.67</v>
      </c>
      <c r="E45" s="56">
        <f>MAX(C45:D45,0)</f>
        <v>1.67</v>
      </c>
      <c r="G45" s="1" t="str">
        <f>B45</f>
        <v>per 100 youth petitioned</v>
      </c>
      <c r="L45" s="57">
        <v>100</v>
      </c>
      <c r="M45" s="57"/>
      <c r="R45" s="49"/>
    </row>
    <row r="46" spans="2:18" ht="15" hidden="1" customHeight="1">
      <c r="B46" s="49" t="s">
        <v>90</v>
      </c>
      <c r="C46" s="49">
        <f>C12/100</f>
        <v>0.12</v>
      </c>
      <c r="D46" s="49">
        <f>E12/100</f>
        <v>0.54</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20.373999999999999</v>
      </c>
      <c r="D48" s="56">
        <f>D42</f>
        <v>5.2480000000000002</v>
      </c>
      <c r="E48" s="56">
        <f>MAX(C48:D48)</f>
        <v>20.373999999999999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0.49</v>
      </c>
      <c r="D49" s="49">
        <f t="shared" si="9"/>
        <v>1.17</v>
      </c>
      <c r="E49" s="49">
        <f>MAX(C49:D49)</f>
        <v>1.17</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2.2999999999999998</v>
      </c>
      <c r="E50" s="49">
        <f>MAX(C50:D50)</f>
        <v>2.2999999999999998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v>
      </c>
      <c r="D51" s="49">
        <f>IF(($E45&gt;0),D45,D44)</f>
        <v>1.67</v>
      </c>
      <c r="E51" s="49">
        <f>MAX(C51:D51)</f>
        <v>1.67</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0.54</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20.373999999999999</v>
      </c>
      <c r="D54" s="56">
        <f>D48</f>
        <v>5.2480000000000002</v>
      </c>
      <c r="E54" s="56">
        <f>MAX(C54:D54)</f>
        <v>20.373999999999999</v>
      </c>
      <c r="G54" s="1" t="str">
        <f>G48</f>
        <v>per 1000 youth</v>
      </c>
      <c r="L54" s="58">
        <f>L48</f>
        <v>1000</v>
      </c>
      <c r="M54" s="58"/>
    </row>
    <row r="55" spans="2:18" ht="15" hidden="1" customHeight="1">
      <c r="B55" s="49" t="str">
        <f t="shared" ref="B55:D56" si="10">IF(($E49&gt;0),B49,B48)</f>
        <v>per 100 arrests</v>
      </c>
      <c r="C55" s="49">
        <f t="shared" si="10"/>
        <v>0.49</v>
      </c>
      <c r="D55" s="49">
        <f t="shared" si="10"/>
        <v>1.17</v>
      </c>
      <c r="E55" s="49">
        <f>MAX(C55:D55)</f>
        <v>1.17</v>
      </c>
      <c r="G55" s="1" t="str">
        <f>G49</f>
        <v>per 100 arrests</v>
      </c>
      <c r="L55" s="58">
        <f>IF(($E49&gt;0),L49,L48)</f>
        <v>100</v>
      </c>
      <c r="M55" s="58"/>
    </row>
    <row r="56" spans="2:18" ht="15" hidden="1" customHeight="1">
      <c r="B56" s="49" t="str">
        <f t="shared" si="10"/>
        <v>per 100 referrals</v>
      </c>
      <c r="C56" s="49">
        <f t="shared" si="10"/>
        <v>1.23</v>
      </c>
      <c r="D56" s="49">
        <f t="shared" si="10"/>
        <v>2.2999999999999998</v>
      </c>
      <c r="E56" s="49">
        <f>MAX(C56:D56)</f>
        <v>2.2999999999999998</v>
      </c>
      <c r="G56" s="1" t="str">
        <f>G50</f>
        <v>per 100 referrals</v>
      </c>
      <c r="L56" s="58">
        <f>IF(($E50&gt;0),L50,L49)</f>
        <v>100</v>
      </c>
      <c r="M56" s="58"/>
    </row>
    <row r="57" spans="2:18" ht="15" hidden="1" customHeight="1">
      <c r="B57" s="49" t="str">
        <f>IF(($E51&gt;0),B51,B49)</f>
        <v>per 100 youth petitioned</v>
      </c>
      <c r="C57" s="49">
        <f>IF(($E51&gt;0),C51,C50)</f>
        <v>0.5</v>
      </c>
      <c r="D57" s="49">
        <f>IF(($E51&gt;0),D51,D50)</f>
        <v>1.67</v>
      </c>
      <c r="E57" s="49">
        <f>MAX(C57:D57)</f>
        <v>1.67</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0.54</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20.373999999999999</v>
      </c>
      <c r="D60" s="56">
        <f>D54</f>
        <v>5.2480000000000002</v>
      </c>
      <c r="E60" s="56">
        <f>MAX(C60:D60)</f>
        <v>20.373999999999999</v>
      </c>
      <c r="G60" s="1" t="str">
        <f>G54</f>
        <v>per 1000 youth</v>
      </c>
      <c r="L60" s="58">
        <f>L54</f>
        <v>1000</v>
      </c>
      <c r="M60" s="58"/>
    </row>
    <row r="61" spans="2:18" ht="15" hidden="1" customHeight="1">
      <c r="B61" s="49" t="str">
        <f t="shared" ref="B61:D62" si="11">IF(($E55&gt;0),B55,B54)</f>
        <v>per 100 arrests</v>
      </c>
      <c r="C61" s="49">
        <f t="shared" si="11"/>
        <v>0.49</v>
      </c>
      <c r="D61" s="49">
        <f t="shared" si="11"/>
        <v>1.17</v>
      </c>
      <c r="E61" s="49">
        <f>MAX(C61:D61)</f>
        <v>1.17</v>
      </c>
      <c r="G61" s="1" t="str">
        <f>G55</f>
        <v>per 100 arrests</v>
      </c>
      <c r="L61" s="58">
        <f>IF(($E55&gt;0),L55,L54)</f>
        <v>100</v>
      </c>
      <c r="M61" s="58"/>
    </row>
    <row r="62" spans="2:18" ht="15" hidden="1" customHeight="1">
      <c r="B62" s="49" t="str">
        <f t="shared" si="11"/>
        <v>per 100 referrals</v>
      </c>
      <c r="C62" s="49">
        <f t="shared" si="11"/>
        <v>1.23</v>
      </c>
      <c r="D62" s="49">
        <f t="shared" si="11"/>
        <v>2.2999999999999998</v>
      </c>
      <c r="E62" s="49">
        <f>MAX(C62:D62)</f>
        <v>2.2999999999999998</v>
      </c>
      <c r="G62" s="1" t="str">
        <f>G56</f>
        <v>per 100 referrals</v>
      </c>
      <c r="L62" s="58">
        <f>IF(($E56&gt;0),L56,L55)</f>
        <v>100</v>
      </c>
      <c r="M62" s="58"/>
    </row>
    <row r="63" spans="2:18" ht="15" hidden="1" customHeight="1">
      <c r="B63" s="49" t="str">
        <f>IF(($E57&gt;0),B57,B55)</f>
        <v>per 100 youth petitioned</v>
      </c>
      <c r="C63" s="49">
        <f>IF(($E57&gt;0),C57,C56)</f>
        <v>0.5</v>
      </c>
      <c r="D63" s="49">
        <f>IF(($E57&gt;0),D57,D56)</f>
        <v>1.67</v>
      </c>
      <c r="E63" s="49">
        <f>MAX(C63:D63)</f>
        <v>1.67</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0.54</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20.373999999999999</v>
      </c>
      <c r="D66" s="56">
        <f>D60</f>
        <v>5.2480000000000002</v>
      </c>
      <c r="E66" s="56">
        <f>MAX(C66:D66)</f>
        <v>20.373999999999999</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1.17</v>
      </c>
      <c r="E67" s="49">
        <f>MAX(C67:D67)</f>
        <v>1.17</v>
      </c>
      <c r="G67" s="1" t="str">
        <f>G61</f>
        <v>per 100 arrests</v>
      </c>
      <c r="L67" s="58">
        <f>IF(($E61&gt;0),L61,L60)</f>
        <v>100</v>
      </c>
      <c r="M67" s="58">
        <f>IF((B67=G67),1,2)</f>
        <v>1</v>
      </c>
    </row>
    <row r="68" spans="2:13" ht="15" hidden="1" customHeight="1">
      <c r="B68" s="49" t="str">
        <f t="shared" si="12"/>
        <v>per 100 referrals</v>
      </c>
      <c r="C68" s="49">
        <f t="shared" si="12"/>
        <v>1.23</v>
      </c>
      <c r="D68" s="49">
        <f t="shared" si="12"/>
        <v>2.2999999999999998</v>
      </c>
      <c r="E68" s="49">
        <f>MAX(C68:D68)</f>
        <v>2.2999999999999998</v>
      </c>
      <c r="G68" s="1" t="str">
        <f>G62</f>
        <v>per 100 referrals</v>
      </c>
      <c r="L68" s="58">
        <f>IF(($E62&gt;0),L62,L61)</f>
        <v>100</v>
      </c>
      <c r="M68" s="58">
        <f>IF((B68=G68),1,2)</f>
        <v>1</v>
      </c>
    </row>
    <row r="69" spans="2:13" ht="15" hidden="1" customHeight="1">
      <c r="B69" s="49" t="str">
        <f>IF(($E63&gt;0),B63,B61)</f>
        <v>per 100 youth petitioned</v>
      </c>
      <c r="C69" s="49">
        <f>IF(($E63&gt;0),C63,C62)</f>
        <v>0.5</v>
      </c>
      <c r="D69" s="49">
        <f>IF(($E63&gt;0),D63,D62)</f>
        <v>1.67</v>
      </c>
      <c r="E69" s="49">
        <f>MAX(C69:D69)</f>
        <v>1.67</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0.54</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20374</v>
      </c>
      <c r="D6" s="34"/>
      <c r="E6" s="33">
        <f>'Data Entry'!F6</f>
        <v>3089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2.4050260135466774</v>
      </c>
      <c r="E7" s="33">
        <f>'Data Entry'!F7</f>
        <v>3</v>
      </c>
      <c r="F7" s="34">
        <f>IF((AND($E$7&gt;0,$D$66&gt;0)),($E$7/$D$66),0)</f>
        <v>0.9711880867594691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3086</v>
      </c>
      <c r="P7" s="42">
        <f t="shared" ref="P7:P15" si="4">C7</f>
        <v>49</v>
      </c>
      <c r="Q7" s="42">
        <f>C6-C7</f>
        <v>20325</v>
      </c>
      <c r="R7" s="42">
        <f t="shared" ref="R7:R15" si="5">SUM(N7:Q7)</f>
        <v>23463</v>
      </c>
      <c r="S7" s="30">
        <f t="shared" ref="S7:S15" si="6">R7*((((N7*Q7)-(O7*P7))^2))</f>
        <v>191061018490023</v>
      </c>
      <c r="T7" s="30">
        <f t="shared" ref="T7:T15" si="7">(N7+O7)*(P7+Q7)*(N7+P7)*(O7+Q7)</f>
        <v>76615654988392</v>
      </c>
      <c r="U7" s="31">
        <f t="shared" ref="U7:U15" si="8">IF((S7&gt;0),S7/T7,"- -")</f>
        <v>2.4937595132348678</v>
      </c>
    </row>
    <row r="8" spans="2:21" ht="18" customHeight="1">
      <c r="B8" s="32" t="str">
        <f>'Data Entry'!A8</f>
        <v>3. Refer to Juvenile Court</v>
      </c>
      <c r="C8" s="33">
        <f>'Data Entry'!C8</f>
        <v>123</v>
      </c>
      <c r="D8" s="34">
        <f>IF((AND(C67&gt;0,C8&gt;0)),(C8/C67),0)</f>
        <v>251.0204081632653</v>
      </c>
      <c r="E8" s="33">
        <f>'Data Entry'!F8</f>
        <v>1</v>
      </c>
      <c r="F8" s="34">
        <f>IF((AND($E$8&gt;0,$D$67&gt;0)),($E8/$D67),0)</f>
        <v>33.333333333333336</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2.0499999999999998</v>
      </c>
      <c r="P8" s="42">
        <f t="shared" si="4"/>
        <v>123</v>
      </c>
      <c r="Q8" s="42">
        <f>(C$67*L67)-C8</f>
        <v>-74</v>
      </c>
      <c r="R8" s="42">
        <f t="shared" si="5"/>
        <v>52.05</v>
      </c>
      <c r="S8" s="30">
        <f t="shared" si="6"/>
        <v>5536757.4611249985</v>
      </c>
      <c r="T8" s="30">
        <f t="shared" si="7"/>
        <v>-1333363.01</v>
      </c>
      <c r="U8" s="31">
        <f t="shared" si="8"/>
        <v>-4.1524756721164771</v>
      </c>
    </row>
    <row r="9" spans="2:21" ht="18" customHeight="1">
      <c r="B9" s="32" t="str">
        <f>'Data Entry'!A9</f>
        <v xml:space="preserve">4. Cases Diverted </v>
      </c>
      <c r="C9" s="33">
        <f>'Data Entry'!C9</f>
        <v>5</v>
      </c>
      <c r="D9" s="34">
        <f>IF((AND(C68&gt;0,C9&gt;0)),((C9/C68)),0)</f>
        <v>4.0650406504065044</v>
      </c>
      <c r="E9" s="33">
        <f>'Data Entry'!F9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5</v>
      </c>
      <c r="Q9" s="42">
        <f>(C$68*L68)-C9</f>
        <v>118</v>
      </c>
      <c r="R9" s="42">
        <f t="shared" si="5"/>
        <v>124</v>
      </c>
      <c r="S9" s="30">
        <f t="shared" si="6"/>
        <v>3100</v>
      </c>
      <c r="T9" s="30">
        <f t="shared" si="7"/>
        <v>73185</v>
      </c>
      <c r="U9" s="31">
        <f t="shared" si="8"/>
        <v>4.2358406777345085E-2</v>
      </c>
    </row>
    <row r="10" spans="2:21" ht="18" customHeight="1">
      <c r="B10" s="32" t="str">
        <f>'Data Entry'!A10</f>
        <v>5. Cases Involving Secure Detention</v>
      </c>
      <c r="C10" s="33">
        <f>'Data Entry'!C10</f>
        <v>17</v>
      </c>
      <c r="D10" s="34">
        <f>IF(((AND(C68&gt;0,C10&gt;0))),(C10/(C68)),0)</f>
        <v>13.821138211382115</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17</v>
      </c>
      <c r="Q10" s="42">
        <f>(C$68*L68)-C10</f>
        <v>106</v>
      </c>
      <c r="R10" s="42">
        <f t="shared" si="5"/>
        <v>124</v>
      </c>
      <c r="S10" s="30">
        <f t="shared" si="6"/>
        <v>35836</v>
      </c>
      <c r="T10" s="30">
        <f t="shared" si="7"/>
        <v>223737</v>
      </c>
      <c r="U10" s="31">
        <f t="shared" si="8"/>
        <v>0.16017019983283945</v>
      </c>
    </row>
    <row r="11" spans="2:21" ht="18" customHeight="1">
      <c r="B11" s="32" t="str">
        <f>'Data Entry'!A11</f>
        <v>6. Cases Petitioned (Charge Filed)</v>
      </c>
      <c r="C11" s="33">
        <f>'Data Entry'!C11</f>
        <v>50</v>
      </c>
      <c r="D11" s="34">
        <f>IF(((AND(C68&gt;0,C11&gt;0))),(C11/(C68)),0)</f>
        <v>40.650406504065039</v>
      </c>
      <c r="E11" s="33">
        <f>'Data Entry'!F11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50</v>
      </c>
      <c r="Q11" s="42">
        <f>(C$68*L68)-C11</f>
        <v>73</v>
      </c>
      <c r="R11" s="42">
        <f t="shared" si="5"/>
        <v>124</v>
      </c>
      <c r="S11" s="30">
        <f t="shared" si="6"/>
        <v>660796</v>
      </c>
      <c r="T11" s="30">
        <f t="shared" si="7"/>
        <v>457929</v>
      </c>
      <c r="U11" s="31">
        <f t="shared" si="8"/>
        <v>1.4430097242148892</v>
      </c>
    </row>
    <row r="12" spans="2:21" ht="18" customHeight="1">
      <c r="B12" s="32" t="str">
        <f>'Data Entry'!A12</f>
        <v>7. Cases Resulting in Delinquent Findings</v>
      </c>
      <c r="C12" s="33">
        <f>'Data Entry'!C12</f>
        <v>12</v>
      </c>
      <c r="D12" s="34">
        <f>IF(((AND(C69&gt;0,C12&gt;0))),(C12/(C69)),0)</f>
        <v>24</v>
      </c>
      <c r="E12" s="33">
        <f>'Data Entry'!F12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12</v>
      </c>
      <c r="Q12" s="42">
        <f>(C69*L69)-C12</f>
        <v>38</v>
      </c>
      <c r="R12" s="42">
        <f t="shared" si="5"/>
        <v>51</v>
      </c>
      <c r="S12" s="30">
        <f t="shared" si="6"/>
        <v>7344</v>
      </c>
      <c r="T12" s="30">
        <f t="shared" si="7"/>
        <v>23400</v>
      </c>
      <c r="U12" s="31">
        <f t="shared" si="8"/>
        <v>0.31384615384615383</v>
      </c>
    </row>
    <row r="13" spans="2:21" ht="18" customHeight="1">
      <c r="B13" s="32" t="str">
        <f>'Data Entry'!A13</f>
        <v>8. Cases Resulting in Probation Placement</v>
      </c>
      <c r="C13" s="33">
        <f>'Data Entry'!C13</f>
        <v>56</v>
      </c>
      <c r="D13" s="34">
        <f>IF(((AND(C70&gt;0,C13&gt;0))),(C13/(C70)),0)</f>
        <v>466.66666666666669</v>
      </c>
      <c r="E13" s="33">
        <f>'Data Entry'!F13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56</v>
      </c>
      <c r="Q13" s="42">
        <f>(C70*L70)-C13</f>
        <v>-44</v>
      </c>
      <c r="R13" s="42">
        <f t="shared" si="5"/>
        <v>12</v>
      </c>
      <c r="S13" s="30">
        <f t="shared" si="6"/>
        <v>1728</v>
      </c>
      <c r="T13" s="30">
        <f t="shared" si="7"/>
        <v>0</v>
      </c>
      <c r="U13" s="31" t="e">
        <f t="shared" si="8"/>
        <v>#DIV/0!</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10</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2</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1</v>
      </c>
      <c r="P15" s="42">
        <f t="shared" si="4"/>
        <v>1</v>
      </c>
      <c r="Q15" s="42">
        <f>(C69*L69)-C15</f>
        <v>49</v>
      </c>
      <c r="R15" s="42">
        <f t="shared" si="5"/>
        <v>51</v>
      </c>
      <c r="S15" s="30">
        <f t="shared" si="6"/>
        <v>51</v>
      </c>
      <c r="T15" s="30">
        <f t="shared" si="7"/>
        <v>2500</v>
      </c>
      <c r="U15" s="31">
        <f t="shared" si="8"/>
        <v>2.0400000000000001E-2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20.373999999999999</v>
      </c>
      <c r="D42" s="56">
        <f>E6/1000</f>
        <v>3.089</v>
      </c>
      <c r="E42" s="56">
        <f>MAX(C42:D42)</f>
        <v>20.373999999999999</v>
      </c>
      <c r="G42" s="1" t="str">
        <f>B42</f>
        <v>per 1000 youth</v>
      </c>
      <c r="L42" s="57">
        <v>1000</v>
      </c>
      <c r="M42" s="57"/>
      <c r="R42" s="49"/>
    </row>
    <row r="43" spans="2:18" ht="15" hidden="1" customHeight="1">
      <c r="B43" s="49" t="s">
        <v>87</v>
      </c>
      <c r="C43" s="56">
        <f>C7/100</f>
        <v>0.49</v>
      </c>
      <c r="D43" s="56">
        <f>E7/100</f>
        <v>0.03</v>
      </c>
      <c r="E43" s="56">
        <f>MAX(C43:D43,0)</f>
        <v>0.49</v>
      </c>
      <c r="G43" s="1" t="str">
        <f>B43</f>
        <v>per 100 arrests</v>
      </c>
      <c r="L43" s="57">
        <v>100</v>
      </c>
      <c r="M43" s="57"/>
      <c r="R43" s="49"/>
    </row>
    <row r="44" spans="2:18" ht="15" hidden="1" customHeight="1">
      <c r="B44" s="49" t="s">
        <v>88</v>
      </c>
      <c r="C44" s="56">
        <f>C8/100</f>
        <v>1.23</v>
      </c>
      <c r="D44" s="56">
        <f>E8/100</f>
        <v>0.01</v>
      </c>
      <c r="E44" s="56">
        <f>MAX(C44:D44,0)</f>
        <v>1.23</v>
      </c>
      <c r="G44" s="1" t="str">
        <f>B44</f>
        <v>per 100 referrals</v>
      </c>
      <c r="L44" s="57">
        <v>100</v>
      </c>
      <c r="M44" s="57"/>
      <c r="R44" s="49"/>
    </row>
    <row r="45" spans="2:18" ht="15" hidden="1" customHeight="1">
      <c r="B45" s="49" t="s">
        <v>89</v>
      </c>
      <c r="C45" s="49">
        <f>C11/100</f>
        <v>0.5</v>
      </c>
      <c r="D45" s="49">
        <f>E11/100</f>
        <v>0.01</v>
      </c>
      <c r="E45" s="56">
        <f>MAX(C45:D45,0)</f>
        <v>0.5</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20.373999999999999</v>
      </c>
      <c r="D48" s="56">
        <f>D42</f>
        <v>3.089</v>
      </c>
      <c r="E48" s="56">
        <f>MAX(C48:D48)</f>
        <v>20.373999999999999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0.03</v>
      </c>
      <c r="E49" s="49">
        <f>MAX(C49:D49)</f>
        <v>0.49</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0.01</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v>
      </c>
      <c r="D51" s="49">
        <f>IF(($E45&gt;0),D45,D44)</f>
        <v>0.01</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20.373999999999999</v>
      </c>
      <c r="D54" s="56">
        <f>D48</f>
        <v>3.089</v>
      </c>
      <c r="E54" s="56">
        <f>MAX(C54:D54)</f>
        <v>20.373999999999999</v>
      </c>
      <c r="G54" s="1" t="str">
        <f>G48</f>
        <v>per 1000 youth</v>
      </c>
      <c r="L54" s="58">
        <f>L48</f>
        <v>1000</v>
      </c>
      <c r="M54" s="58"/>
    </row>
    <row r="55" spans="2:18" ht="15" hidden="1" customHeight="1">
      <c r="B55" s="49" t="str">
        <f t="shared" ref="B55:D56" si="10">IF(($E49&gt;0),B49,B48)</f>
        <v>per 100 arrests</v>
      </c>
      <c r="C55" s="49">
        <f t="shared" si="10"/>
        <v>0.49</v>
      </c>
      <c r="D55" s="49">
        <f t="shared" si="10"/>
        <v>0.03</v>
      </c>
      <c r="E55" s="49">
        <f>MAX(C55:D55)</f>
        <v>0.49</v>
      </c>
      <c r="G55" s="1" t="str">
        <f>G49</f>
        <v>per 100 arrests</v>
      </c>
      <c r="L55" s="58">
        <f>IF(($E49&gt;0),L49,L48)</f>
        <v>100</v>
      </c>
      <c r="M55" s="58"/>
    </row>
    <row r="56" spans="2:18" ht="15" hidden="1" customHeight="1">
      <c r="B56" s="49" t="str">
        <f t="shared" si="10"/>
        <v>per 100 referrals</v>
      </c>
      <c r="C56" s="49">
        <f t="shared" si="10"/>
        <v>1.23</v>
      </c>
      <c r="D56" s="49">
        <f t="shared" si="10"/>
        <v>0.01</v>
      </c>
      <c r="E56" s="49">
        <f>MAX(C56:D56)</f>
        <v>1.23</v>
      </c>
      <c r="G56" s="1" t="str">
        <f>G50</f>
        <v>per 100 referrals</v>
      </c>
      <c r="L56" s="58">
        <f>IF(($E50&gt;0),L50,L49)</f>
        <v>100</v>
      </c>
      <c r="M56" s="58"/>
    </row>
    <row r="57" spans="2:18" ht="15" hidden="1" customHeight="1">
      <c r="B57" s="49" t="str">
        <f>IF(($E51&gt;0),B51,B49)</f>
        <v>per 100 youth petitioned</v>
      </c>
      <c r="C57" s="49">
        <f>IF(($E51&gt;0),C51,C50)</f>
        <v>0.5</v>
      </c>
      <c r="D57" s="49">
        <f>IF(($E51&gt;0),D51,D50)</f>
        <v>0.01</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20.373999999999999</v>
      </c>
      <c r="D60" s="56">
        <f>D54</f>
        <v>3.089</v>
      </c>
      <c r="E60" s="56">
        <f>MAX(C60:D60)</f>
        <v>20.373999999999999</v>
      </c>
      <c r="G60" s="1" t="str">
        <f>G54</f>
        <v>per 1000 youth</v>
      </c>
      <c r="L60" s="58">
        <f>L54</f>
        <v>1000</v>
      </c>
      <c r="M60" s="58"/>
    </row>
    <row r="61" spans="2:18" ht="15" hidden="1" customHeight="1">
      <c r="B61" s="49" t="str">
        <f t="shared" ref="B61:D62" si="11">IF(($E55&gt;0),B55,B54)</f>
        <v>per 100 arrests</v>
      </c>
      <c r="C61" s="49">
        <f t="shared" si="11"/>
        <v>0.49</v>
      </c>
      <c r="D61" s="49">
        <f t="shared" si="11"/>
        <v>0.03</v>
      </c>
      <c r="E61" s="49">
        <f>MAX(C61:D61)</f>
        <v>0.49</v>
      </c>
      <c r="G61" s="1" t="str">
        <f>G55</f>
        <v>per 100 arrests</v>
      </c>
      <c r="L61" s="58">
        <f>IF(($E55&gt;0),L55,L54)</f>
        <v>100</v>
      </c>
      <c r="M61" s="58"/>
    </row>
    <row r="62" spans="2:18" ht="15" hidden="1" customHeight="1">
      <c r="B62" s="49" t="str">
        <f t="shared" si="11"/>
        <v>per 100 referrals</v>
      </c>
      <c r="C62" s="49">
        <f t="shared" si="11"/>
        <v>1.23</v>
      </c>
      <c r="D62" s="49">
        <f t="shared" si="11"/>
        <v>0.01</v>
      </c>
      <c r="E62" s="49">
        <f>MAX(C62:D62)</f>
        <v>1.23</v>
      </c>
      <c r="G62" s="1" t="str">
        <f>G56</f>
        <v>per 100 referrals</v>
      </c>
      <c r="L62" s="58">
        <f>IF(($E56&gt;0),L56,L55)</f>
        <v>100</v>
      </c>
      <c r="M62" s="58"/>
    </row>
    <row r="63" spans="2:18" ht="15" hidden="1" customHeight="1">
      <c r="B63" s="49" t="str">
        <f>IF(($E57&gt;0),B57,B55)</f>
        <v>per 100 youth petitioned</v>
      </c>
      <c r="C63" s="49">
        <f>IF(($E57&gt;0),C57,C56)</f>
        <v>0.5</v>
      </c>
      <c r="D63" s="49">
        <f>IF(($E57&gt;0),D57,D56)</f>
        <v>0.01</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20.373999999999999</v>
      </c>
      <c r="D66" s="56">
        <f>D60</f>
        <v>3.089</v>
      </c>
      <c r="E66" s="56">
        <f>MAX(C66:D66)</f>
        <v>20.373999999999999</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0.03</v>
      </c>
      <c r="E67" s="49">
        <f>MAX(C67:D67)</f>
        <v>0.49</v>
      </c>
      <c r="G67" s="1" t="str">
        <f>G61</f>
        <v>per 100 arrests</v>
      </c>
      <c r="L67" s="58">
        <f>IF(($E61&gt;0),L61,L60)</f>
        <v>100</v>
      </c>
      <c r="M67" s="58">
        <f>IF((B67=G67),1,2)</f>
        <v>1</v>
      </c>
    </row>
    <row r="68" spans="2:13" ht="15" hidden="1" customHeight="1">
      <c r="B68" s="49" t="str">
        <f t="shared" si="12"/>
        <v>per 100 referrals</v>
      </c>
      <c r="C68" s="49">
        <f t="shared" si="12"/>
        <v>1.23</v>
      </c>
      <c r="D68" s="49">
        <f t="shared" si="12"/>
        <v>0.01</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0.5</v>
      </c>
      <c r="D69" s="49">
        <f>IF(($E63&gt;0),D63,D62)</f>
        <v>0.01</v>
      </c>
      <c r="E69" s="49">
        <f>MAX(C69:D69)</f>
        <v>0.5</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20374</v>
      </c>
      <c r="D6" s="34"/>
      <c r="E6" s="33">
        <f>'Data Entry'!E6</f>
        <v>2548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2.4050260135466774</v>
      </c>
      <c r="E7" s="33">
        <f>'Data Entry'!E7</f>
        <v>7</v>
      </c>
      <c r="F7" s="34">
        <f>IF((AND($E$7&gt;0,$D$66&gt;0)),($E$7/$D$66),0)</f>
        <v>2.7472527472527473</v>
      </c>
      <c r="G7" s="39">
        <f t="shared" ref="G7:G15" si="0">IF(L$6=100,"*",IF(M7=FALSE,"--",IF(K7=20,"**",($F7/$D7))))</f>
        <v>1.1422964790311727</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2541</v>
      </c>
      <c r="P7" s="42">
        <f t="shared" ref="P7:P15" si="4">C7</f>
        <v>49</v>
      </c>
      <c r="Q7" s="42">
        <f>C6-C7</f>
        <v>20325</v>
      </c>
      <c r="R7" s="42">
        <f t="shared" ref="R7:R15" si="5">SUM(N7:Q7)</f>
        <v>22922</v>
      </c>
      <c r="S7" s="30">
        <f t="shared" ref="S7:S15" si="6">R7*((((N7*Q7)-(O7*P7))^2))</f>
        <v>7234888189032</v>
      </c>
      <c r="T7" s="30">
        <f t="shared" ref="T7:T15" si="7">(N7+O7)*(P7+Q7)*(N7+P7)*(O7+Q7)</f>
        <v>66474327384192</v>
      </c>
      <c r="U7" s="31">
        <f t="shared" ref="U7:U15" si="8">IF((S7&gt;0),S7/T7,"- -")</f>
        <v>0.10883732823978148</v>
      </c>
    </row>
    <row r="8" spans="2:21" ht="18" customHeight="1">
      <c r="B8" s="32" t="str">
        <f>'Data Entry'!A8</f>
        <v>3. Refer to Juvenile Court</v>
      </c>
      <c r="C8" s="33">
        <f>'Data Entry'!C8</f>
        <v>123</v>
      </c>
      <c r="D8" s="34">
        <f>IF((AND(C67&gt;0,C8&gt;0)),(C8/C67),0)</f>
        <v>251.0204081632653</v>
      </c>
      <c r="E8" s="33">
        <f>'Data Entry'!E8</f>
        <v>7</v>
      </c>
      <c r="F8" s="34">
        <f>IF((AND($E$8&gt;0,$D$67&gt;0)),($E8/$D67),0)</f>
        <v>99.999999999999986</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7</v>
      </c>
      <c r="O8" s="42">
        <f>((D67*L67)-E8)+0.05</f>
        <v>5.0000000000000891E-2</v>
      </c>
      <c r="P8" s="42">
        <f t="shared" si="4"/>
        <v>123</v>
      </c>
      <c r="Q8" s="42">
        <f>(C$67*L67)-C8</f>
        <v>-74</v>
      </c>
      <c r="R8" s="42">
        <f t="shared" si="5"/>
        <v>56.050000000000011</v>
      </c>
      <c r="S8" s="30">
        <f t="shared" si="6"/>
        <v>15398797.121125009</v>
      </c>
      <c r="T8" s="30">
        <f t="shared" si="7"/>
        <v>-3320983.5750000007</v>
      </c>
      <c r="U8" s="31">
        <f t="shared" si="8"/>
        <v>-4.636818211642316</v>
      </c>
    </row>
    <row r="9" spans="2:21" ht="18" customHeight="1">
      <c r="B9" s="32" t="str">
        <f>'Data Entry'!A9</f>
        <v xml:space="preserve">4. Cases Diverted </v>
      </c>
      <c r="C9" s="33">
        <f>'Data Entry'!C9</f>
        <v>5</v>
      </c>
      <c r="D9" s="34">
        <f>IF((AND(C68&gt;0,C9&gt;0)),((C9/C68)),0)</f>
        <v>4.0650406504065044</v>
      </c>
      <c r="E9" s="33">
        <f>'Data Entry'!E9</f>
        <v>1</v>
      </c>
      <c r="F9" s="34">
        <f>IF((AND($E$9&gt;0,$D$68&gt;0)),(($E$9/$D$68)),0)</f>
        <v>14.285714285714285</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6.0000000000000009</v>
      </c>
      <c r="P9" s="42">
        <f t="shared" si="4"/>
        <v>5</v>
      </c>
      <c r="Q9" s="42">
        <f>(C$68*L68)-C9</f>
        <v>118</v>
      </c>
      <c r="R9" s="42">
        <f t="shared" si="5"/>
        <v>130</v>
      </c>
      <c r="S9" s="30">
        <f t="shared" si="6"/>
        <v>1006720</v>
      </c>
      <c r="T9" s="30">
        <f t="shared" si="7"/>
        <v>640584.00000000012</v>
      </c>
      <c r="U9" s="31">
        <f t="shared" si="8"/>
        <v>1.5715659460742071</v>
      </c>
    </row>
    <row r="10" spans="2:21" ht="18" customHeight="1">
      <c r="B10" s="32" t="str">
        <f>'Data Entry'!A10</f>
        <v>5. Cases Involving Secure Detention</v>
      </c>
      <c r="C10" s="33">
        <f>'Data Entry'!C10</f>
        <v>17</v>
      </c>
      <c r="D10" s="34">
        <f>IF(((AND(C68&gt;0,C10&gt;0))),(C10/(C68)),0)</f>
        <v>13.821138211382115</v>
      </c>
      <c r="E10" s="33">
        <f>'Data Entry'!E10</f>
        <v>6</v>
      </c>
      <c r="F10" s="34">
        <f>IF(((AND($E$10&gt;0,$D$68&gt;0))),($E$10/($D$68)),0)</f>
        <v>85.714285714285708</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6</v>
      </c>
      <c r="O10" s="42">
        <f>(D$68*L68)-E10</f>
        <v>1.0000000000000009</v>
      </c>
      <c r="P10" s="42">
        <f t="shared" si="4"/>
        <v>17</v>
      </c>
      <c r="Q10" s="42">
        <f>(C$68*L68)-C10</f>
        <v>106</v>
      </c>
      <c r="R10" s="42">
        <f t="shared" si="5"/>
        <v>130</v>
      </c>
      <c r="S10" s="30">
        <f t="shared" si="6"/>
        <v>49810930</v>
      </c>
      <c r="T10" s="30">
        <f t="shared" si="7"/>
        <v>2118921.0000000005</v>
      </c>
      <c r="U10" s="31">
        <f t="shared" si="8"/>
        <v>23.507686223318373</v>
      </c>
    </row>
    <row r="11" spans="2:21" ht="18" customHeight="1">
      <c r="B11" s="32" t="str">
        <f>'Data Entry'!A11</f>
        <v>6. Cases Petitioned (Charge Filed)</v>
      </c>
      <c r="C11" s="33">
        <f>'Data Entry'!C11</f>
        <v>50</v>
      </c>
      <c r="D11" s="34">
        <f>IF(((AND(C68&gt;0,C11&gt;0))),(C11/(C68)),0)</f>
        <v>40.650406504065039</v>
      </c>
      <c r="E11" s="33">
        <f>'Data Entry'!E11</f>
        <v>14</v>
      </c>
      <c r="F11" s="34">
        <f>IF(((AND($E$11&gt;0,$D$68&gt;0))),($E$11/($D$68)),0)</f>
        <v>199.99999999999997</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14</v>
      </c>
      <c r="O11" s="42">
        <f>(D$68*L68)-E11</f>
        <v>-6.9999999999999991</v>
      </c>
      <c r="P11" s="42">
        <f t="shared" si="4"/>
        <v>50</v>
      </c>
      <c r="Q11" s="42">
        <f>(C$68*L68)-C11</f>
        <v>73</v>
      </c>
      <c r="R11" s="42">
        <f t="shared" si="5"/>
        <v>130</v>
      </c>
      <c r="S11" s="30">
        <f t="shared" si="6"/>
        <v>244709920</v>
      </c>
      <c r="T11" s="30">
        <f t="shared" si="7"/>
        <v>3636864.0000000005</v>
      </c>
      <c r="U11" s="31">
        <f t="shared" si="8"/>
        <v>67.285969450603588</v>
      </c>
    </row>
    <row r="12" spans="2:21" ht="18" customHeight="1">
      <c r="B12" s="32" t="str">
        <f>'Data Entry'!A12</f>
        <v>7. Cases Resulting in Delinquent Findings</v>
      </c>
      <c r="C12" s="33">
        <f>'Data Entry'!C12</f>
        <v>12</v>
      </c>
      <c r="D12" s="34">
        <f>IF(((AND(C69&gt;0,C12&gt;0))),(C12/(C69)),0)</f>
        <v>24</v>
      </c>
      <c r="E12" s="33">
        <f>'Data Entry'!E12</f>
        <v>1</v>
      </c>
      <c r="F12" s="34">
        <f>IF(((AND($D$69&gt;0,$E$12&gt;0))),(E12/(D69)),0)</f>
        <v>7.1428571428571423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13.000000000000002</v>
      </c>
      <c r="P12" s="42">
        <f t="shared" si="4"/>
        <v>12</v>
      </c>
      <c r="Q12" s="42">
        <f>(C69*L69)-C12</f>
        <v>38</v>
      </c>
      <c r="R12" s="42">
        <f t="shared" si="5"/>
        <v>64</v>
      </c>
      <c r="S12" s="30">
        <f t="shared" si="6"/>
        <v>891136.00000000047</v>
      </c>
      <c r="T12" s="30">
        <f t="shared" si="7"/>
        <v>464100.00000000012</v>
      </c>
      <c r="U12" s="31">
        <f t="shared" si="8"/>
        <v>1.9201379013143725</v>
      </c>
    </row>
    <row r="13" spans="2:21" ht="18" customHeight="1">
      <c r="B13" s="32" t="str">
        <f>'Data Entry'!A13</f>
        <v>8. Cases Resulting in Probation Placement</v>
      </c>
      <c r="C13" s="33">
        <f>'Data Entry'!C13</f>
        <v>56</v>
      </c>
      <c r="D13" s="34">
        <f>IF(((AND(C70&gt;0,C13&gt;0))),(C13/(C70)),0)</f>
        <v>466.66666666666669</v>
      </c>
      <c r="E13" s="33">
        <f>'Data Entry'!E13</f>
        <v>8</v>
      </c>
      <c r="F13" s="34">
        <f>IF(((AND($D$70&gt;0,$E$13&gt;0))),($E$13/($D$70)),0)</f>
        <v>800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8</v>
      </c>
      <c r="O13" s="42">
        <f>(D70*L70)-E13</f>
        <v>-7</v>
      </c>
      <c r="P13" s="42">
        <f t="shared" si="4"/>
        <v>56</v>
      </c>
      <c r="Q13" s="42">
        <f>(C70*L70)-C13</f>
        <v>-44</v>
      </c>
      <c r="R13" s="42">
        <f t="shared" si="5"/>
        <v>13</v>
      </c>
      <c r="S13" s="30">
        <f t="shared" si="6"/>
        <v>20800</v>
      </c>
      <c r="T13" s="30">
        <f t="shared" si="7"/>
        <v>-39168</v>
      </c>
      <c r="U13" s="31">
        <f t="shared" si="8"/>
        <v>-0.53104575163398693</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2</v>
      </c>
      <c r="Q14" s="42">
        <f>(C70*L70)-C14</f>
        <v>10</v>
      </c>
      <c r="R14" s="42">
        <f t="shared" si="5"/>
        <v>13</v>
      </c>
      <c r="S14" s="30">
        <f t="shared" si="6"/>
        <v>52</v>
      </c>
      <c r="T14" s="30">
        <f t="shared" si="7"/>
        <v>264</v>
      </c>
      <c r="U14" s="31">
        <f t="shared" si="8"/>
        <v>0.19696969696969696</v>
      </c>
    </row>
    <row r="15" spans="2:21" ht="15.75" customHeight="1">
      <c r="B15" s="32" t="str">
        <f>'Data Entry'!A15</f>
        <v xml:space="preserve">10. Cases Transferred to Adult Court </v>
      </c>
      <c r="C15" s="33">
        <f>'Data Entry'!C15</f>
        <v>1</v>
      </c>
      <c r="D15" s="34">
        <f>IF(((AND(C69&gt;0,C15&gt;0))),((C15/(C69))),0)</f>
        <v>2</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14.000000000000002</v>
      </c>
      <c r="P15" s="42">
        <f t="shared" si="4"/>
        <v>1</v>
      </c>
      <c r="Q15" s="42">
        <f>(C69*L69)-C15</f>
        <v>49</v>
      </c>
      <c r="R15" s="42">
        <f t="shared" si="5"/>
        <v>64</v>
      </c>
      <c r="S15" s="30">
        <f t="shared" si="6"/>
        <v>12544.000000000004</v>
      </c>
      <c r="T15" s="30">
        <f t="shared" si="7"/>
        <v>44100.000000000007</v>
      </c>
      <c r="U15" s="31">
        <f t="shared" si="8"/>
        <v>0.2844444444444445</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20.373999999999999</v>
      </c>
      <c r="D42" s="56">
        <f>E6/1000</f>
        <v>2.548</v>
      </c>
      <c r="E42" s="56">
        <f>MAX(C42:D42)</f>
        <v>20.373999999999999</v>
      </c>
      <c r="G42" s="1" t="str">
        <f>B42</f>
        <v>per 1000 youth</v>
      </c>
      <c r="L42" s="57">
        <v>1000</v>
      </c>
      <c r="M42" s="57"/>
      <c r="R42" s="49"/>
    </row>
    <row r="43" spans="2:18" ht="15" hidden="1" customHeight="1">
      <c r="B43" s="49" t="s">
        <v>87</v>
      </c>
      <c r="C43" s="56">
        <f>C7/100</f>
        <v>0.49</v>
      </c>
      <c r="D43" s="56">
        <f>E7/100</f>
        <v>7.0000000000000007E-2</v>
      </c>
      <c r="E43" s="56">
        <f>MAX(C43:D43,0)</f>
        <v>0.49</v>
      </c>
      <c r="G43" s="1" t="str">
        <f>B43</f>
        <v>per 100 arrests</v>
      </c>
      <c r="L43" s="57">
        <v>100</v>
      </c>
      <c r="M43" s="57"/>
      <c r="R43" s="49"/>
    </row>
    <row r="44" spans="2:18" ht="15" hidden="1" customHeight="1">
      <c r="B44" s="49" t="s">
        <v>88</v>
      </c>
      <c r="C44" s="56">
        <f>C8/100</f>
        <v>1.23</v>
      </c>
      <c r="D44" s="56">
        <f>E8/100</f>
        <v>7.0000000000000007E-2</v>
      </c>
      <c r="E44" s="56">
        <f>MAX(C44:D44,0)</f>
        <v>1.23</v>
      </c>
      <c r="G44" s="1" t="str">
        <f>B44</f>
        <v>per 100 referrals</v>
      </c>
      <c r="L44" s="57">
        <v>100</v>
      </c>
      <c r="M44" s="57"/>
      <c r="R44" s="49"/>
    </row>
    <row r="45" spans="2:18" ht="15" hidden="1" customHeight="1">
      <c r="B45" s="49" t="s">
        <v>89</v>
      </c>
      <c r="C45" s="49">
        <f>C11/100</f>
        <v>0.5</v>
      </c>
      <c r="D45" s="49">
        <f>E11/100</f>
        <v>0.14000000000000001</v>
      </c>
      <c r="E45" s="56">
        <f>MAX(C45:D45,0)</f>
        <v>0.5</v>
      </c>
      <c r="G45" s="1" t="str">
        <f>B45</f>
        <v>per 100 youth petitioned</v>
      </c>
      <c r="L45" s="57">
        <v>100</v>
      </c>
      <c r="M45" s="57"/>
      <c r="R45" s="49"/>
    </row>
    <row r="46" spans="2:18" ht="15" hidden="1" customHeight="1">
      <c r="B46" s="49" t="s">
        <v>90</v>
      </c>
      <c r="C46" s="49">
        <f>C12/100</f>
        <v>0.12</v>
      </c>
      <c r="D46" s="49">
        <f>E12/100</f>
        <v>0.01</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20.373999999999999</v>
      </c>
      <c r="D48" s="56">
        <f>D42</f>
        <v>2.548</v>
      </c>
      <c r="E48" s="56">
        <f>MAX(C48:D48)</f>
        <v>20.373999999999999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7.0000000000000007E-2</v>
      </c>
      <c r="E49" s="49">
        <f>MAX(C49:D49)</f>
        <v>0.49</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7.0000000000000007E-2</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v>
      </c>
      <c r="D51" s="49">
        <f>IF(($E45&gt;0),D45,D44)</f>
        <v>0.14000000000000001</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0.01</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20.373999999999999</v>
      </c>
      <c r="D54" s="56">
        <f>D48</f>
        <v>2.548</v>
      </c>
      <c r="E54" s="56">
        <f>MAX(C54:D54)</f>
        <v>20.373999999999999</v>
      </c>
      <c r="G54" s="1" t="str">
        <f>G48</f>
        <v>per 1000 youth</v>
      </c>
      <c r="L54" s="58">
        <f>L48</f>
        <v>1000</v>
      </c>
      <c r="M54" s="58"/>
    </row>
    <row r="55" spans="2:18" ht="15" hidden="1" customHeight="1">
      <c r="B55" s="49" t="str">
        <f t="shared" ref="B55:D56" si="10">IF(($E49&gt;0),B49,B48)</f>
        <v>per 100 arrests</v>
      </c>
      <c r="C55" s="49">
        <f t="shared" si="10"/>
        <v>0.49</v>
      </c>
      <c r="D55" s="49">
        <f t="shared" si="10"/>
        <v>7.0000000000000007E-2</v>
      </c>
      <c r="E55" s="49">
        <f>MAX(C55:D55)</f>
        <v>0.49</v>
      </c>
      <c r="G55" s="1" t="str">
        <f>G49</f>
        <v>per 100 arrests</v>
      </c>
      <c r="L55" s="58">
        <f>IF(($E49&gt;0),L49,L48)</f>
        <v>100</v>
      </c>
      <c r="M55" s="58"/>
    </row>
    <row r="56" spans="2:18" ht="15" hidden="1" customHeight="1">
      <c r="B56" s="49" t="str">
        <f t="shared" si="10"/>
        <v>per 100 referrals</v>
      </c>
      <c r="C56" s="49">
        <f t="shared" si="10"/>
        <v>1.23</v>
      </c>
      <c r="D56" s="49">
        <f t="shared" si="10"/>
        <v>7.0000000000000007E-2</v>
      </c>
      <c r="E56" s="49">
        <f>MAX(C56:D56)</f>
        <v>1.23</v>
      </c>
      <c r="G56" s="1" t="str">
        <f>G50</f>
        <v>per 100 referrals</v>
      </c>
      <c r="L56" s="58">
        <f>IF(($E50&gt;0),L50,L49)</f>
        <v>100</v>
      </c>
      <c r="M56" s="58"/>
    </row>
    <row r="57" spans="2:18" ht="15" hidden="1" customHeight="1">
      <c r="B57" s="49" t="str">
        <f>IF(($E51&gt;0),B51,B49)</f>
        <v>per 100 youth petitioned</v>
      </c>
      <c r="C57" s="49">
        <f>IF(($E51&gt;0),C51,C50)</f>
        <v>0.5</v>
      </c>
      <c r="D57" s="49">
        <f>IF(($E51&gt;0),D51,D50)</f>
        <v>0.14000000000000001</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0.01</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20.373999999999999</v>
      </c>
      <c r="D60" s="56">
        <f>D54</f>
        <v>2.548</v>
      </c>
      <c r="E60" s="56">
        <f>MAX(C60:D60)</f>
        <v>20.373999999999999</v>
      </c>
      <c r="G60" s="1" t="str">
        <f>G54</f>
        <v>per 1000 youth</v>
      </c>
      <c r="L60" s="58">
        <f>L54</f>
        <v>1000</v>
      </c>
      <c r="M60" s="58"/>
    </row>
    <row r="61" spans="2:18" ht="15" hidden="1" customHeight="1">
      <c r="B61" s="49" t="str">
        <f t="shared" ref="B61:D62" si="11">IF(($E55&gt;0),B55,B54)</f>
        <v>per 100 arrests</v>
      </c>
      <c r="C61" s="49">
        <f t="shared" si="11"/>
        <v>0.49</v>
      </c>
      <c r="D61" s="49">
        <f t="shared" si="11"/>
        <v>7.0000000000000007E-2</v>
      </c>
      <c r="E61" s="49">
        <f>MAX(C61:D61)</f>
        <v>0.49</v>
      </c>
      <c r="G61" s="1" t="str">
        <f>G55</f>
        <v>per 100 arrests</v>
      </c>
      <c r="L61" s="58">
        <f>IF(($E55&gt;0),L55,L54)</f>
        <v>100</v>
      </c>
      <c r="M61" s="58"/>
    </row>
    <row r="62" spans="2:18" ht="15" hidden="1" customHeight="1">
      <c r="B62" s="49" t="str">
        <f t="shared" si="11"/>
        <v>per 100 referrals</v>
      </c>
      <c r="C62" s="49">
        <f t="shared" si="11"/>
        <v>1.23</v>
      </c>
      <c r="D62" s="49">
        <f t="shared" si="11"/>
        <v>7.0000000000000007E-2</v>
      </c>
      <c r="E62" s="49">
        <f>MAX(C62:D62)</f>
        <v>1.23</v>
      </c>
      <c r="G62" s="1" t="str">
        <f>G56</f>
        <v>per 100 referrals</v>
      </c>
      <c r="L62" s="58">
        <f>IF(($E56&gt;0),L56,L55)</f>
        <v>100</v>
      </c>
      <c r="M62" s="58"/>
    </row>
    <row r="63" spans="2:18" ht="15" hidden="1" customHeight="1">
      <c r="B63" s="49" t="str">
        <f>IF(($E57&gt;0),B57,B55)</f>
        <v>per 100 youth petitioned</v>
      </c>
      <c r="C63" s="49">
        <f>IF(($E57&gt;0),C57,C56)</f>
        <v>0.5</v>
      </c>
      <c r="D63" s="49">
        <f>IF(($E57&gt;0),D57,D56)</f>
        <v>0.14000000000000001</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0.01</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20.373999999999999</v>
      </c>
      <c r="D66" s="56">
        <f>D60</f>
        <v>2.548</v>
      </c>
      <c r="E66" s="56">
        <f>MAX(C66:D66)</f>
        <v>20.373999999999999</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7.0000000000000007E-2</v>
      </c>
      <c r="E67" s="49">
        <f>MAX(C67:D67)</f>
        <v>0.49</v>
      </c>
      <c r="G67" s="1" t="str">
        <f>G61</f>
        <v>per 100 arrests</v>
      </c>
      <c r="L67" s="58">
        <f>IF(($E61&gt;0),L61,L60)</f>
        <v>100</v>
      </c>
      <c r="M67" s="58">
        <f>IF((B67=G67),1,2)</f>
        <v>1</v>
      </c>
    </row>
    <row r="68" spans="2:13" ht="15" hidden="1" customHeight="1">
      <c r="B68" s="49" t="str">
        <f t="shared" si="12"/>
        <v>per 100 referrals</v>
      </c>
      <c r="C68" s="49">
        <f t="shared" si="12"/>
        <v>1.23</v>
      </c>
      <c r="D68" s="49">
        <f t="shared" si="12"/>
        <v>7.0000000000000007E-2</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0.5</v>
      </c>
      <c r="D69" s="49">
        <f>IF(($E63&gt;0),D63,D62)</f>
        <v>0.14000000000000001</v>
      </c>
      <c r="E69" s="49">
        <f>MAX(C69:D69)</f>
        <v>0.5</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0.01</v>
      </c>
      <c r="E70" s="56">
        <f>MAX(C70:D70)</f>
        <v>0.12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20374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2.4050260135466774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49</v>
      </c>
      <c r="Q7" s="42">
        <f>C6-C7</f>
        <v>20325</v>
      </c>
      <c r="R7" s="42">
        <f t="shared" ref="R7:R15" si="5">SUM(N7:Q7)</f>
        <v>20374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123</v>
      </c>
      <c r="D8" s="34">
        <f>IF((AND(C67&gt;0,C8&gt;0)),(C8/C67),0)</f>
        <v>251.0204081632653</v>
      </c>
      <c r="E8" s="33">
        <f>'Data Entry'!G8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123</v>
      </c>
      <c r="Q8" s="42">
        <f>(C$67*L67)-C8</f>
        <v>-74</v>
      </c>
      <c r="R8" s="42">
        <f t="shared" si="5"/>
        <v>49.05</v>
      </c>
      <c r="S8" s="30">
        <f t="shared" si="6"/>
        <v>413806.52362499991</v>
      </c>
      <c r="T8" s="30">
        <f t="shared" si="7"/>
        <v>-23259.687500000018</v>
      </c>
      <c r="U8" s="31">
        <f t="shared" si="8"/>
        <v>-17.790717249533106</v>
      </c>
    </row>
    <row r="9" spans="2:21" ht="18" customHeight="1">
      <c r="B9" s="32" t="str">
        <f>'Data Entry'!A9</f>
        <v xml:space="preserve">4. Cases Diverted </v>
      </c>
      <c r="C9" s="33">
        <f>'Data Entry'!C9</f>
        <v>5</v>
      </c>
      <c r="D9" s="34">
        <f>IF((AND(C68&gt;0,C9&gt;0)),((C9/C68)),0)</f>
        <v>4.0650406504065044</v>
      </c>
      <c r="E9" s="33">
        <f>'Data Entry'!G9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5</v>
      </c>
      <c r="Q9" s="42">
        <f>(C$68*L68)-C9</f>
        <v>118</v>
      </c>
      <c r="R9" s="42">
        <f t="shared" si="5"/>
        <v>125</v>
      </c>
      <c r="S9" s="30">
        <f t="shared" si="6"/>
        <v>12500</v>
      </c>
      <c r="T9" s="30">
        <f t="shared" si="7"/>
        <v>147600</v>
      </c>
      <c r="U9" s="31">
        <f t="shared" si="8"/>
        <v>8.4688346883468837E-2</v>
      </c>
    </row>
    <row r="10" spans="2:21" ht="18" customHeight="1">
      <c r="B10" s="32" t="str">
        <f>'Data Entry'!A10</f>
        <v>5. Cases Involving Secure Detention</v>
      </c>
      <c r="C10" s="33">
        <f>'Data Entry'!C10</f>
        <v>17</v>
      </c>
      <c r="D10" s="34">
        <f>IF(((AND(C68&gt;0,C10&gt;0))),(C10/(C68)),0)</f>
        <v>13.821138211382115</v>
      </c>
      <c r="E10" s="33">
        <f>'Data Entry'!G10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17</v>
      </c>
      <c r="Q10" s="42">
        <f>(C$68*L68)-C10</f>
        <v>106</v>
      </c>
      <c r="R10" s="42">
        <f t="shared" si="5"/>
        <v>125</v>
      </c>
      <c r="S10" s="30">
        <f t="shared" si="6"/>
        <v>144500</v>
      </c>
      <c r="T10" s="30">
        <f t="shared" si="7"/>
        <v>451656</v>
      </c>
      <c r="U10" s="31">
        <f t="shared" si="8"/>
        <v>0.31993375489310449</v>
      </c>
    </row>
    <row r="11" spans="2:21" ht="18" customHeight="1">
      <c r="B11" s="32" t="str">
        <f>'Data Entry'!A11</f>
        <v>6. Cases Petitioned (Charge Filed)</v>
      </c>
      <c r="C11" s="33">
        <f>'Data Entry'!C11</f>
        <v>50</v>
      </c>
      <c r="D11" s="34">
        <f>IF(((AND(C68&gt;0,C11&gt;0))),(C11/(C68)),0)</f>
        <v>40.650406504065039</v>
      </c>
      <c r="E11" s="33">
        <f>'Data Entry'!G11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1</v>
      </c>
      <c r="P11" s="42">
        <f t="shared" si="4"/>
        <v>50</v>
      </c>
      <c r="Q11" s="42">
        <f>(C$68*L68)-C11</f>
        <v>73</v>
      </c>
      <c r="R11" s="42">
        <f t="shared" si="5"/>
        <v>125</v>
      </c>
      <c r="S11" s="30">
        <f t="shared" si="6"/>
        <v>66125</v>
      </c>
      <c r="T11" s="30">
        <f t="shared" si="7"/>
        <v>928404</v>
      </c>
      <c r="U11" s="31">
        <f t="shared" si="8"/>
        <v>7.1224380765270295E-2</v>
      </c>
    </row>
    <row r="12" spans="2:21" ht="18" customHeight="1">
      <c r="B12" s="32" t="str">
        <f>'Data Entry'!A12</f>
        <v>7. Cases Resulting in Delinquent Findings</v>
      </c>
      <c r="C12" s="33">
        <f>'Data Entry'!C12</f>
        <v>12</v>
      </c>
      <c r="D12" s="34">
        <f>IF(((AND(C69&gt;0,C12&gt;0))),(C12/(C69)),0)</f>
        <v>24</v>
      </c>
      <c r="E12" s="33">
        <f>'Data Entry'!G12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1</v>
      </c>
      <c r="P12" s="42">
        <f t="shared" si="4"/>
        <v>12</v>
      </c>
      <c r="Q12" s="42">
        <f>(C69*L69)-C12</f>
        <v>38</v>
      </c>
      <c r="R12" s="42">
        <f t="shared" si="5"/>
        <v>51</v>
      </c>
      <c r="S12" s="30">
        <f t="shared" si="6"/>
        <v>7344</v>
      </c>
      <c r="T12" s="30">
        <f t="shared" si="7"/>
        <v>23400</v>
      </c>
      <c r="U12" s="31">
        <f t="shared" si="8"/>
        <v>0.31384615384615383</v>
      </c>
    </row>
    <row r="13" spans="2:21" ht="18" customHeight="1">
      <c r="B13" s="32" t="str">
        <f>'Data Entry'!A13</f>
        <v>8. Cases Resulting in Probation Placement</v>
      </c>
      <c r="C13" s="33">
        <f>'Data Entry'!C13</f>
        <v>56</v>
      </c>
      <c r="D13" s="34">
        <f>IF(((AND(C70&gt;0,C13&gt;0))),(C13/(C70)),0)</f>
        <v>466.66666666666669</v>
      </c>
      <c r="E13" s="33">
        <f>'Data Entry'!G13</f>
        <v>2</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56</v>
      </c>
      <c r="Q13" s="42">
        <f>(C70*L70)-C13</f>
        <v>-44</v>
      </c>
      <c r="R13" s="42">
        <f t="shared" si="5"/>
        <v>12</v>
      </c>
      <c r="S13" s="30">
        <f t="shared" si="6"/>
        <v>6912</v>
      </c>
      <c r="T13" s="30">
        <f t="shared" si="7"/>
        <v>0</v>
      </c>
      <c r="U13" s="31" t="e">
        <f t="shared" si="8"/>
        <v>#DIV/0!</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10</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2</v>
      </c>
      <c r="E15" s="33">
        <f>'Data Entry'!G15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1</v>
      </c>
      <c r="P15" s="42">
        <f t="shared" si="4"/>
        <v>1</v>
      </c>
      <c r="Q15" s="42">
        <f>(C69*L69)-C15</f>
        <v>49</v>
      </c>
      <c r="R15" s="42">
        <f t="shared" si="5"/>
        <v>51</v>
      </c>
      <c r="S15" s="30">
        <f t="shared" si="6"/>
        <v>51</v>
      </c>
      <c r="T15" s="30">
        <f t="shared" si="7"/>
        <v>2500</v>
      </c>
      <c r="U15" s="31">
        <f t="shared" si="8"/>
        <v>2.0400000000000001E-2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20.373999999999999</v>
      </c>
      <c r="D42" s="56">
        <f>E6/1000</f>
        <v>0</v>
      </c>
      <c r="E42" s="56">
        <f>MAX(C42:D42)</f>
        <v>20.373999999999999</v>
      </c>
      <c r="G42" s="1" t="str">
        <f>B42</f>
        <v>per 1000 youth</v>
      </c>
      <c r="L42" s="57">
        <v>1000</v>
      </c>
      <c r="M42" s="57"/>
      <c r="R42" s="49"/>
    </row>
    <row r="43" spans="2:18" ht="15" hidden="1" customHeight="1">
      <c r="B43" s="49" t="s">
        <v>87</v>
      </c>
      <c r="C43" s="56">
        <f>C7/100</f>
        <v>0.49</v>
      </c>
      <c r="D43" s="56">
        <f>E7/100</f>
        <v>0</v>
      </c>
      <c r="E43" s="56">
        <f>MAX(C43:D43,0)</f>
        <v>0.49</v>
      </c>
      <c r="G43" s="1" t="str">
        <f>B43</f>
        <v>per 100 arrests</v>
      </c>
      <c r="L43" s="57">
        <v>100</v>
      </c>
      <c r="M43" s="57"/>
      <c r="R43" s="49"/>
    </row>
    <row r="44" spans="2:18" ht="15" hidden="1" customHeight="1">
      <c r="B44" s="49" t="s">
        <v>88</v>
      </c>
      <c r="C44" s="56">
        <f>C8/100</f>
        <v>1.23</v>
      </c>
      <c r="D44" s="56">
        <f>E8/100</f>
        <v>0.02</v>
      </c>
      <c r="E44" s="56">
        <f>MAX(C44:D44,0)</f>
        <v>1.23</v>
      </c>
      <c r="G44" s="1" t="str">
        <f>B44</f>
        <v>per 100 referrals</v>
      </c>
      <c r="L44" s="57">
        <v>100</v>
      </c>
      <c r="M44" s="57"/>
      <c r="R44" s="49"/>
    </row>
    <row r="45" spans="2:18" ht="15" hidden="1" customHeight="1">
      <c r="B45" s="49" t="s">
        <v>89</v>
      </c>
      <c r="C45" s="49">
        <f>C11/100</f>
        <v>0.5</v>
      </c>
      <c r="D45" s="49">
        <f>E11/100</f>
        <v>0.01</v>
      </c>
      <c r="E45" s="56">
        <f>MAX(C45:D45,0)</f>
        <v>0.5</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20.373999999999999</v>
      </c>
      <c r="D48" s="56">
        <f>D42</f>
        <v>0</v>
      </c>
      <c r="E48" s="56">
        <f>MAX(C48:D48)</f>
        <v>20.373999999999999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0</v>
      </c>
      <c r="E49" s="49">
        <f>MAX(C49:D49)</f>
        <v>0.49</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0.02</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v>
      </c>
      <c r="D51" s="49">
        <f>IF(($E45&gt;0),D45,D44)</f>
        <v>0.01</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20.373999999999999</v>
      </c>
      <c r="D54" s="56">
        <f>D48</f>
        <v>0</v>
      </c>
      <c r="E54" s="56">
        <f>MAX(C54:D54)</f>
        <v>20.373999999999999</v>
      </c>
      <c r="G54" s="1" t="str">
        <f>G48</f>
        <v>per 1000 youth</v>
      </c>
      <c r="L54" s="58">
        <f>L48</f>
        <v>1000</v>
      </c>
      <c r="M54" s="58"/>
    </row>
    <row r="55" spans="2:18" ht="15" hidden="1" customHeight="1">
      <c r="B55" s="49" t="str">
        <f t="shared" ref="B55:D56" si="10">IF(($E49&gt;0),B49,B48)</f>
        <v>per 100 arrests</v>
      </c>
      <c r="C55" s="49">
        <f t="shared" si="10"/>
        <v>0.49</v>
      </c>
      <c r="D55" s="49">
        <f t="shared" si="10"/>
        <v>0</v>
      </c>
      <c r="E55" s="49">
        <f>MAX(C55:D55)</f>
        <v>0.49</v>
      </c>
      <c r="G55" s="1" t="str">
        <f>G49</f>
        <v>per 100 arrests</v>
      </c>
      <c r="L55" s="58">
        <f>IF(($E49&gt;0),L49,L48)</f>
        <v>100</v>
      </c>
      <c r="M55" s="58"/>
    </row>
    <row r="56" spans="2:18" ht="15" hidden="1" customHeight="1">
      <c r="B56" s="49" t="str">
        <f t="shared" si="10"/>
        <v>per 100 referrals</v>
      </c>
      <c r="C56" s="49">
        <f t="shared" si="10"/>
        <v>1.23</v>
      </c>
      <c r="D56" s="49">
        <f t="shared" si="10"/>
        <v>0.02</v>
      </c>
      <c r="E56" s="49">
        <f>MAX(C56:D56)</f>
        <v>1.23</v>
      </c>
      <c r="G56" s="1" t="str">
        <f>G50</f>
        <v>per 100 referrals</v>
      </c>
      <c r="L56" s="58">
        <f>IF(($E50&gt;0),L50,L49)</f>
        <v>100</v>
      </c>
      <c r="M56" s="58"/>
    </row>
    <row r="57" spans="2:18" ht="15" hidden="1" customHeight="1">
      <c r="B57" s="49" t="str">
        <f>IF(($E51&gt;0),B51,B49)</f>
        <v>per 100 youth petitioned</v>
      </c>
      <c r="C57" s="49">
        <f>IF(($E51&gt;0),C51,C50)</f>
        <v>0.5</v>
      </c>
      <c r="D57" s="49">
        <f>IF(($E51&gt;0),D51,D50)</f>
        <v>0.01</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20.373999999999999</v>
      </c>
      <c r="D60" s="56">
        <f>D54</f>
        <v>0</v>
      </c>
      <c r="E60" s="56">
        <f>MAX(C60:D60)</f>
        <v>20.373999999999999</v>
      </c>
      <c r="G60" s="1" t="str">
        <f>G54</f>
        <v>per 1000 youth</v>
      </c>
      <c r="L60" s="58">
        <f>L54</f>
        <v>1000</v>
      </c>
      <c r="M60" s="58"/>
    </row>
    <row r="61" spans="2:18" ht="15" hidden="1" customHeight="1">
      <c r="B61" s="49" t="str">
        <f t="shared" ref="B61:D62" si="11">IF(($E55&gt;0),B55,B54)</f>
        <v>per 100 arrests</v>
      </c>
      <c r="C61" s="49">
        <f t="shared" si="11"/>
        <v>0.49</v>
      </c>
      <c r="D61" s="49">
        <f t="shared" si="11"/>
        <v>0</v>
      </c>
      <c r="E61" s="49">
        <f>MAX(C61:D61)</f>
        <v>0.49</v>
      </c>
      <c r="G61" s="1" t="str">
        <f>G55</f>
        <v>per 100 arrests</v>
      </c>
      <c r="L61" s="58">
        <f>IF(($E55&gt;0),L55,L54)</f>
        <v>100</v>
      </c>
      <c r="M61" s="58"/>
    </row>
    <row r="62" spans="2:18" ht="15" hidden="1" customHeight="1">
      <c r="B62" s="49" t="str">
        <f t="shared" si="11"/>
        <v>per 100 referrals</v>
      </c>
      <c r="C62" s="49">
        <f t="shared" si="11"/>
        <v>1.23</v>
      </c>
      <c r="D62" s="49">
        <f t="shared" si="11"/>
        <v>0.02</v>
      </c>
      <c r="E62" s="49">
        <f>MAX(C62:D62)</f>
        <v>1.23</v>
      </c>
      <c r="G62" s="1" t="str">
        <f>G56</f>
        <v>per 100 referrals</v>
      </c>
      <c r="L62" s="58">
        <f>IF(($E56&gt;0),L56,L55)</f>
        <v>100</v>
      </c>
      <c r="M62" s="58"/>
    </row>
    <row r="63" spans="2:18" ht="15" hidden="1" customHeight="1">
      <c r="B63" s="49" t="str">
        <f>IF(($E57&gt;0),B57,B55)</f>
        <v>per 100 youth petitioned</v>
      </c>
      <c r="C63" s="49">
        <f>IF(($E57&gt;0),C57,C56)</f>
        <v>0.5</v>
      </c>
      <c r="D63" s="49">
        <f>IF(($E57&gt;0),D57,D56)</f>
        <v>0.01</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20.373999999999999</v>
      </c>
      <c r="D66" s="56">
        <f>D60</f>
        <v>0</v>
      </c>
      <c r="E66" s="56">
        <f>MAX(C66:D66)</f>
        <v>20.373999999999999</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v>
      </c>
      <c r="E67" s="49">
        <f>MAX(C67:D67)</f>
        <v>0.49</v>
      </c>
      <c r="G67" s="1" t="str">
        <f>G61</f>
        <v>per 100 arrests</v>
      </c>
      <c r="L67" s="58">
        <f>IF(($E61&gt;0),L61,L60)</f>
        <v>100</v>
      </c>
      <c r="M67" s="58">
        <f>IF((B67=G67),1,2)</f>
        <v>1</v>
      </c>
    </row>
    <row r="68" spans="2:13" ht="15" hidden="1" customHeight="1">
      <c r="B68" s="49" t="str">
        <f t="shared" si="12"/>
        <v>per 100 referrals</v>
      </c>
      <c r="C68" s="49">
        <f t="shared" si="12"/>
        <v>1.23</v>
      </c>
      <c r="D68" s="49">
        <f t="shared" si="12"/>
        <v>0.02</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0.5</v>
      </c>
      <c r="D69" s="49">
        <f>IF(($E63&gt;0),D63,D62)</f>
        <v>0.01</v>
      </c>
      <c r="E69" s="49">
        <f>MAX(C69:D69)</f>
        <v>0.5</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20374</v>
      </c>
      <c r="D6" s="34"/>
      <c r="E6" s="33">
        <f>'Data Entry'!H6</f>
        <v>119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2.4050260135466774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119</v>
      </c>
      <c r="P7" s="42">
        <f t="shared" ref="P7:P15" si="4">C7</f>
        <v>49</v>
      </c>
      <c r="Q7" s="42">
        <f>C6-C7</f>
        <v>20325</v>
      </c>
      <c r="R7" s="42">
        <f t="shared" ref="R7:R15" si="5">SUM(N7:Q7)</f>
        <v>20493</v>
      </c>
      <c r="S7" s="30">
        <f t="shared" ref="S7:S15" si="6">R7*((((N7*Q7)-(O7*P7))^2))</f>
        <v>696773496573</v>
      </c>
      <c r="T7" s="30">
        <f t="shared" ref="T7:T15" si="7">(N7+O7)*(P7+Q7)*(N7+P7)*(O7+Q7)</f>
        <v>2428763432536</v>
      </c>
      <c r="U7" s="31">
        <f t="shared" ref="U7:U15" si="8">IF((S7&gt;0),S7/T7,"- -")</f>
        <v>0.28688405269897449</v>
      </c>
    </row>
    <row r="8" spans="2:21" ht="18" customHeight="1">
      <c r="B8" s="32" t="str">
        <f>'Data Entry'!A8</f>
        <v>3. Refer to Juvenile Court</v>
      </c>
      <c r="C8" s="33">
        <f>'Data Entry'!C8</f>
        <v>123</v>
      </c>
      <c r="D8" s="34">
        <f>IF((AND(C67&gt;0,C8&gt;0)),(C8/C67),0)</f>
        <v>251.0204081632653</v>
      </c>
      <c r="E8" s="33">
        <f>'Data Entry'!H8</f>
        <v>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4</v>
      </c>
      <c r="O8" s="42">
        <f>((D67*L67)-E8)+0.05</f>
        <v>-3.95</v>
      </c>
      <c r="P8" s="42">
        <f t="shared" si="4"/>
        <v>123</v>
      </c>
      <c r="Q8" s="42">
        <f>(C$67*L67)-C8</f>
        <v>-74</v>
      </c>
      <c r="R8" s="42">
        <f t="shared" si="5"/>
        <v>49.05</v>
      </c>
      <c r="S8" s="30">
        <f t="shared" si="6"/>
        <v>1767910.2536250001</v>
      </c>
      <c r="T8" s="30">
        <f t="shared" si="7"/>
        <v>-24254.142499999914</v>
      </c>
      <c r="U8" s="31">
        <f t="shared" si="8"/>
        <v>-72.89106401617812</v>
      </c>
    </row>
    <row r="9" spans="2:21" ht="18" customHeight="1">
      <c r="B9" s="32" t="str">
        <f>'Data Entry'!A9</f>
        <v xml:space="preserve">4. Cases Diverted </v>
      </c>
      <c r="C9" s="33">
        <f>'Data Entry'!C9</f>
        <v>5</v>
      </c>
      <c r="D9" s="34">
        <f>IF((AND(C68&gt;0,C9&gt;0)),((C9/C68)),0)</f>
        <v>4.0650406504065044</v>
      </c>
      <c r="E9" s="33">
        <f>'Data Entry'!H9</f>
        <v>2</v>
      </c>
      <c r="F9" s="34">
        <f>IF((AND($E$9&gt;0,$D$68&gt;0)),(($E$9/$D$68)),0)</f>
        <v>50</v>
      </c>
      <c r="G9" s="39" t="str">
        <f t="shared" si="0"/>
        <v>*</v>
      </c>
      <c r="H9" s="40"/>
      <c r="I9" s="41"/>
      <c r="J9" s="40">
        <f>IF((ABS($U9)&gt;Defaults!D$7),1,2)</f>
        <v>1</v>
      </c>
      <c r="K9" s="39">
        <f>IF((AND(N9&gt;Defaults!B$12,(N9+O9)&gt;Defaults!B$13, P9 &gt; Defaults!B$12, (P9+Q9) &gt; Defaults!B$13)),1,20)</f>
        <v>20</v>
      </c>
      <c r="L9" s="1">
        <f t="shared" si="1"/>
        <v>119</v>
      </c>
      <c r="M9" s="1" t="b">
        <f t="shared" si="2"/>
        <v>1</v>
      </c>
      <c r="N9" s="42">
        <f t="shared" si="3"/>
        <v>2</v>
      </c>
      <c r="O9" s="42">
        <f>(D$68*L68)-E9</f>
        <v>2</v>
      </c>
      <c r="P9" s="42">
        <f t="shared" si="4"/>
        <v>5</v>
      </c>
      <c r="Q9" s="42">
        <f>(C$68*L68)-C9</f>
        <v>118</v>
      </c>
      <c r="R9" s="42">
        <f t="shared" si="5"/>
        <v>127</v>
      </c>
      <c r="S9" s="30">
        <f t="shared" si="6"/>
        <v>6486652</v>
      </c>
      <c r="T9" s="30">
        <f t="shared" si="7"/>
        <v>413280</v>
      </c>
      <c r="U9" s="31">
        <f t="shared" si="8"/>
        <v>15.695538133952768</v>
      </c>
    </row>
    <row r="10" spans="2:21" ht="18" customHeight="1">
      <c r="B10" s="32" t="str">
        <f>'Data Entry'!A10</f>
        <v>5. Cases Involving Secure Detention</v>
      </c>
      <c r="C10" s="33">
        <f>'Data Entry'!C10</f>
        <v>17</v>
      </c>
      <c r="D10" s="34">
        <f>IF(((AND(C68&gt;0,C10&gt;0))),(C10/(C68)),0)</f>
        <v>13.821138211382115</v>
      </c>
      <c r="E10" s="33">
        <f>'Data Entry'!H10</f>
        <v>4</v>
      </c>
      <c r="F10" s="34">
        <f>IF(((AND($E$10&gt;0,$D$68&gt;0))),($E$10/($D$68)),0)</f>
        <v>100</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4</v>
      </c>
      <c r="O10" s="42">
        <f>(D$68*L68)-E10</f>
        <v>0</v>
      </c>
      <c r="P10" s="42">
        <f t="shared" si="4"/>
        <v>17</v>
      </c>
      <c r="Q10" s="42">
        <f>(C$68*L68)-C10</f>
        <v>106</v>
      </c>
      <c r="R10" s="42">
        <f t="shared" si="5"/>
        <v>127</v>
      </c>
      <c r="S10" s="30">
        <f t="shared" si="6"/>
        <v>22831552</v>
      </c>
      <c r="T10" s="30">
        <f t="shared" si="7"/>
        <v>1095192</v>
      </c>
      <c r="U10" s="31">
        <f t="shared" si="8"/>
        <v>20.847077042198993</v>
      </c>
    </row>
    <row r="11" spans="2:21" ht="18" customHeight="1">
      <c r="B11" s="32" t="str">
        <f>'Data Entry'!A11</f>
        <v>6. Cases Petitioned (Charge Filed)</v>
      </c>
      <c r="C11" s="33">
        <f>'Data Entry'!C11</f>
        <v>50</v>
      </c>
      <c r="D11" s="34">
        <f>IF(((AND(C68&gt;0,C11&gt;0))),(C11/(C68)),0)</f>
        <v>40.650406504065039</v>
      </c>
      <c r="E11" s="33">
        <f>'Data Entry'!H11</f>
        <v>7</v>
      </c>
      <c r="F11" s="34">
        <f>IF(((AND($E$11&gt;0,$D$68&gt;0))),($E$11/($D$68)),0)</f>
        <v>175</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7</v>
      </c>
      <c r="O11" s="42">
        <f>(D$68*L68)-E11</f>
        <v>-3</v>
      </c>
      <c r="P11" s="42">
        <f t="shared" si="4"/>
        <v>50</v>
      </c>
      <c r="Q11" s="42">
        <f>(C$68*L68)-C11</f>
        <v>73</v>
      </c>
      <c r="R11" s="42">
        <f t="shared" si="5"/>
        <v>127</v>
      </c>
      <c r="S11" s="30">
        <f t="shared" si="6"/>
        <v>55488967</v>
      </c>
      <c r="T11" s="30">
        <f t="shared" si="7"/>
        <v>1963080</v>
      </c>
      <c r="U11" s="31">
        <f t="shared" si="8"/>
        <v>28.266279010534465</v>
      </c>
    </row>
    <row r="12" spans="2:21" ht="18" customHeight="1">
      <c r="B12" s="32" t="str">
        <f>'Data Entry'!A12</f>
        <v>7. Cases Resulting in Delinquent Findings</v>
      </c>
      <c r="C12" s="33">
        <f>'Data Entry'!C12</f>
        <v>12</v>
      </c>
      <c r="D12" s="34">
        <f>IF(((AND(C69&gt;0,C12&gt;0))),(C12/(C69)),0)</f>
        <v>24</v>
      </c>
      <c r="E12" s="33">
        <f>'Data Entry'!H12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7.0000000000000009</v>
      </c>
      <c r="P12" s="42">
        <f t="shared" si="4"/>
        <v>12</v>
      </c>
      <c r="Q12" s="42">
        <f>(C69*L69)-C12</f>
        <v>38</v>
      </c>
      <c r="R12" s="42">
        <f t="shared" si="5"/>
        <v>57</v>
      </c>
      <c r="S12" s="30">
        <f t="shared" si="6"/>
        <v>402192.00000000017</v>
      </c>
      <c r="T12" s="30">
        <f t="shared" si="7"/>
        <v>189000.00000000003</v>
      </c>
      <c r="U12" s="31">
        <f t="shared" si="8"/>
        <v>2.1280000000000006</v>
      </c>
    </row>
    <row r="13" spans="2:21" ht="18" customHeight="1">
      <c r="B13" s="32" t="str">
        <f>'Data Entry'!A13</f>
        <v>8. Cases Resulting in Probation Placement</v>
      </c>
      <c r="C13" s="33">
        <f>'Data Entry'!C13</f>
        <v>56</v>
      </c>
      <c r="D13" s="34">
        <f>IF(((AND(C70&gt;0,C13&gt;0))),(C13/(C70)),0)</f>
        <v>466.66666666666669</v>
      </c>
      <c r="E13" s="33">
        <f>'Data Entry'!H13</f>
        <v>2</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56</v>
      </c>
      <c r="Q13" s="42">
        <f>(C70*L70)-C13</f>
        <v>-44</v>
      </c>
      <c r="R13" s="42">
        <f t="shared" si="5"/>
        <v>12</v>
      </c>
      <c r="S13" s="30">
        <f t="shared" si="6"/>
        <v>6912</v>
      </c>
      <c r="T13" s="30">
        <f t="shared" si="7"/>
        <v>0</v>
      </c>
      <c r="U13" s="31" t="e">
        <f t="shared" si="8"/>
        <v>#DIV/0!</v>
      </c>
    </row>
    <row r="14" spans="2:21" ht="30.75" customHeight="1">
      <c r="B14" s="32" t="str">
        <f>'Data Entry'!A14</f>
        <v xml:space="preserve">9. Cases Resulting in Confinement in Secure Juvenile Correctional Facilities </v>
      </c>
      <c r="C14" s="33">
        <f>'Data Entry'!C14</f>
        <v>2</v>
      </c>
      <c r="D14" s="34">
        <f>IF(((AND(C70&gt;0,C14&gt;0))), ((C14/(C70))),0)</f>
        <v>16.666666666666668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10</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2</v>
      </c>
      <c r="E15" s="33">
        <f>'Data Entry'!H15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7.0000000000000009</v>
      </c>
      <c r="P15" s="42">
        <f t="shared" si="4"/>
        <v>1</v>
      </c>
      <c r="Q15" s="42">
        <f>(C69*L69)-C15</f>
        <v>49</v>
      </c>
      <c r="R15" s="42">
        <f t="shared" si="5"/>
        <v>57</v>
      </c>
      <c r="S15" s="30">
        <f t="shared" si="6"/>
        <v>2793.0000000000009</v>
      </c>
      <c r="T15" s="30">
        <f t="shared" si="7"/>
        <v>19600.000000000004</v>
      </c>
      <c r="U15" s="31">
        <f t="shared" si="8"/>
        <v>0.14250000000000002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20.373999999999999</v>
      </c>
      <c r="D42" s="56">
        <f>E6/1000</f>
        <v>0.11899999999999999</v>
      </c>
      <c r="E42" s="56">
        <f>MAX(C42:D42)</f>
        <v>20.373999999999999</v>
      </c>
      <c r="G42" s="1" t="str">
        <f>B42</f>
        <v>per 1000 youth</v>
      </c>
      <c r="L42" s="57">
        <v>1000</v>
      </c>
      <c r="M42" s="57"/>
      <c r="R42" s="49"/>
    </row>
    <row r="43" spans="2:18" ht="15" hidden="1" customHeight="1">
      <c r="B43" s="49" t="s">
        <v>87</v>
      </c>
      <c r="C43" s="56">
        <f>C7/100</f>
        <v>0.49</v>
      </c>
      <c r="D43" s="56">
        <f>E7/100</f>
        <v>0</v>
      </c>
      <c r="E43" s="56">
        <f>MAX(C43:D43,0)</f>
        <v>0.49</v>
      </c>
      <c r="G43" s="1" t="str">
        <f>B43</f>
        <v>per 100 arrests</v>
      </c>
      <c r="L43" s="57">
        <v>100</v>
      </c>
      <c r="M43" s="57"/>
      <c r="R43" s="49"/>
    </row>
    <row r="44" spans="2:18" ht="15" hidden="1" customHeight="1">
      <c r="B44" s="49" t="s">
        <v>88</v>
      </c>
      <c r="C44" s="56">
        <f>C8/100</f>
        <v>1.23</v>
      </c>
      <c r="D44" s="56">
        <f>E8/100</f>
        <v>0.04</v>
      </c>
      <c r="E44" s="56">
        <f>MAX(C44:D44,0)</f>
        <v>1.23</v>
      </c>
      <c r="G44" s="1" t="str">
        <f>B44</f>
        <v>per 100 referrals</v>
      </c>
      <c r="L44" s="57">
        <v>100</v>
      </c>
      <c r="M44" s="57"/>
      <c r="R44" s="49"/>
    </row>
    <row r="45" spans="2:18" ht="15" hidden="1" customHeight="1">
      <c r="B45" s="49" t="s">
        <v>89</v>
      </c>
      <c r="C45" s="49">
        <f>C11/100</f>
        <v>0.5</v>
      </c>
      <c r="D45" s="49">
        <f>E11/100</f>
        <v>7.0000000000000007E-2</v>
      </c>
      <c r="E45" s="56">
        <f>MAX(C45:D45,0)</f>
        <v>0.5</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20.373999999999999</v>
      </c>
      <c r="D48" s="56">
        <f>D42</f>
        <v>0.11899999999999999</v>
      </c>
      <c r="E48" s="56">
        <f>MAX(C48:D48)</f>
        <v>20.373999999999999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0</v>
      </c>
      <c r="E49" s="49">
        <f>MAX(C49:D49)</f>
        <v>0.49</v>
      </c>
      <c r="G49" s="1" t="str">
        <f>G43</f>
        <v>per 100 arrests</v>
      </c>
      <c r="L49" s="58">
        <f>IF(($E43&gt;0),L43,L42)</f>
        <v>100</v>
      </c>
      <c r="M49" s="58"/>
      <c r="N49" s="21"/>
      <c r="O49" s="21"/>
      <c r="P49" s="21"/>
      <c r="Q49" s="21"/>
      <c r="R49" s="21"/>
    </row>
    <row r="50" spans="2:18" ht="15" hidden="1" customHeight="1">
      <c r="B50" s="49" t="str">
        <f t="shared" si="9"/>
        <v>per 100 referrals</v>
      </c>
      <c r="C50" s="49">
        <f t="shared" si="9"/>
        <v>1.23</v>
      </c>
      <c r="D50" s="49">
        <f t="shared" si="9"/>
        <v>0.04</v>
      </c>
      <c r="E50" s="49">
        <f>MAX(C50:D50)</f>
        <v>1.23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v>
      </c>
      <c r="D51" s="49">
        <f>IF(($E45&gt;0),D45,D44)</f>
        <v>7.0000000000000007E-2</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20.373999999999999</v>
      </c>
      <c r="D54" s="56">
        <f>D48</f>
        <v>0.11899999999999999</v>
      </c>
      <c r="E54" s="56">
        <f>MAX(C54:D54)</f>
        <v>20.373999999999999</v>
      </c>
      <c r="G54" s="1" t="str">
        <f>G48</f>
        <v>per 1000 youth</v>
      </c>
      <c r="L54" s="58">
        <f>L48</f>
        <v>1000</v>
      </c>
      <c r="M54" s="58"/>
    </row>
    <row r="55" spans="2:18" ht="15" hidden="1" customHeight="1">
      <c r="B55" s="49" t="str">
        <f t="shared" ref="B55:D56" si="10">IF(($E49&gt;0),B49,B48)</f>
        <v>per 100 arrests</v>
      </c>
      <c r="C55" s="49">
        <f t="shared" si="10"/>
        <v>0.49</v>
      </c>
      <c r="D55" s="49">
        <f t="shared" si="10"/>
        <v>0</v>
      </c>
      <c r="E55" s="49">
        <f>MAX(C55:D55)</f>
        <v>0.49</v>
      </c>
      <c r="G55" s="1" t="str">
        <f>G49</f>
        <v>per 100 arrests</v>
      </c>
      <c r="L55" s="58">
        <f>IF(($E49&gt;0),L49,L48)</f>
        <v>100</v>
      </c>
      <c r="M55" s="58"/>
    </row>
    <row r="56" spans="2:18" ht="15" hidden="1" customHeight="1">
      <c r="B56" s="49" t="str">
        <f t="shared" si="10"/>
        <v>per 100 referrals</v>
      </c>
      <c r="C56" s="49">
        <f t="shared" si="10"/>
        <v>1.23</v>
      </c>
      <c r="D56" s="49">
        <f t="shared" si="10"/>
        <v>0.04</v>
      </c>
      <c r="E56" s="49">
        <f>MAX(C56:D56)</f>
        <v>1.23</v>
      </c>
      <c r="G56" s="1" t="str">
        <f>G50</f>
        <v>per 100 referrals</v>
      </c>
      <c r="L56" s="58">
        <f>IF(($E50&gt;0),L50,L49)</f>
        <v>100</v>
      </c>
      <c r="M56" s="58"/>
    </row>
    <row r="57" spans="2:18" ht="15" hidden="1" customHeight="1">
      <c r="B57" s="49" t="str">
        <f>IF(($E51&gt;0),B51,B49)</f>
        <v>per 100 youth petitioned</v>
      </c>
      <c r="C57" s="49">
        <f>IF(($E51&gt;0),C51,C50)</f>
        <v>0.5</v>
      </c>
      <c r="D57" s="49">
        <f>IF(($E51&gt;0),D51,D50)</f>
        <v>7.0000000000000007E-2</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20.373999999999999</v>
      </c>
      <c r="D60" s="56">
        <f>D54</f>
        <v>0.11899999999999999</v>
      </c>
      <c r="E60" s="56">
        <f>MAX(C60:D60)</f>
        <v>20.373999999999999</v>
      </c>
      <c r="G60" s="1" t="str">
        <f>G54</f>
        <v>per 1000 youth</v>
      </c>
      <c r="L60" s="58">
        <f>L54</f>
        <v>1000</v>
      </c>
      <c r="M60" s="58"/>
    </row>
    <row r="61" spans="2:18" ht="15" hidden="1" customHeight="1">
      <c r="B61" s="49" t="str">
        <f t="shared" ref="B61:D62" si="11">IF(($E55&gt;0),B55,B54)</f>
        <v>per 100 arrests</v>
      </c>
      <c r="C61" s="49">
        <f t="shared" si="11"/>
        <v>0.49</v>
      </c>
      <c r="D61" s="49">
        <f t="shared" si="11"/>
        <v>0</v>
      </c>
      <c r="E61" s="49">
        <f>MAX(C61:D61)</f>
        <v>0.49</v>
      </c>
      <c r="G61" s="1" t="str">
        <f>G55</f>
        <v>per 100 arrests</v>
      </c>
      <c r="L61" s="58">
        <f>IF(($E55&gt;0),L55,L54)</f>
        <v>100</v>
      </c>
      <c r="M61" s="58"/>
    </row>
    <row r="62" spans="2:18" ht="15" hidden="1" customHeight="1">
      <c r="B62" s="49" t="str">
        <f t="shared" si="11"/>
        <v>per 100 referrals</v>
      </c>
      <c r="C62" s="49">
        <f t="shared" si="11"/>
        <v>1.23</v>
      </c>
      <c r="D62" s="49">
        <f t="shared" si="11"/>
        <v>0.04</v>
      </c>
      <c r="E62" s="49">
        <f>MAX(C62:D62)</f>
        <v>1.23</v>
      </c>
      <c r="G62" s="1" t="str">
        <f>G56</f>
        <v>per 100 referrals</v>
      </c>
      <c r="L62" s="58">
        <f>IF(($E56&gt;0),L56,L55)</f>
        <v>100</v>
      </c>
      <c r="M62" s="58"/>
    </row>
    <row r="63" spans="2:18" ht="15" hidden="1" customHeight="1">
      <c r="B63" s="49" t="str">
        <f>IF(($E57&gt;0),B57,B55)</f>
        <v>per 100 youth petitioned</v>
      </c>
      <c r="C63" s="49">
        <f>IF(($E57&gt;0),C57,C56)</f>
        <v>0.5</v>
      </c>
      <c r="D63" s="49">
        <f>IF(($E57&gt;0),D57,D56)</f>
        <v>7.0000000000000007E-2</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20.373999999999999</v>
      </c>
      <c r="D66" s="56">
        <f>D60</f>
        <v>0.11899999999999999</v>
      </c>
      <c r="E66" s="56">
        <f>MAX(C66:D66)</f>
        <v>20.373999999999999</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v>
      </c>
      <c r="E67" s="49">
        <f>MAX(C67:D67)</f>
        <v>0.49</v>
      </c>
      <c r="G67" s="1" t="str">
        <f>G61</f>
        <v>per 100 arrests</v>
      </c>
      <c r="L67" s="58">
        <f>IF(($E61&gt;0),L61,L60)</f>
        <v>100</v>
      </c>
      <c r="M67" s="58">
        <f>IF((B67=G67),1,2)</f>
        <v>1</v>
      </c>
    </row>
    <row r="68" spans="2:13" ht="15" hidden="1" customHeight="1">
      <c r="B68" s="49" t="str">
        <f t="shared" si="12"/>
        <v>per 100 referrals</v>
      </c>
      <c r="C68" s="49">
        <f t="shared" si="12"/>
        <v>1.23</v>
      </c>
      <c r="D68" s="49">
        <f t="shared" si="12"/>
        <v>0.04</v>
      </c>
      <c r="E68" s="49">
        <f>MAX(C68:D68)</f>
        <v>1.23</v>
      </c>
      <c r="G68" s="1" t="str">
        <f>G62</f>
        <v>per 100 referrals</v>
      </c>
      <c r="L68" s="58">
        <f>IF(($E62&gt;0),L62,L61)</f>
        <v>100</v>
      </c>
      <c r="M68" s="58">
        <f>IF((B68=G68),1,2)</f>
        <v>1</v>
      </c>
    </row>
    <row r="69" spans="2:13" ht="15" hidden="1" customHeight="1">
      <c r="B69" s="49" t="str">
        <f>IF(($E63&gt;0),B63,B61)</f>
        <v>per 100 youth petitioned</v>
      </c>
      <c r="C69" s="49">
        <f>IF(($E63&gt;0),C63,C62)</f>
        <v>0.5</v>
      </c>
      <c r="D69" s="49">
        <f>IF(($E63&gt;0),D63,D62)</f>
        <v>7.0000000000000007E-2</v>
      </c>
      <c r="E69" s="49">
        <f>MAX(C69:D69)</f>
        <v>0.5</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U47JMPN4QEAR-1806752177-35400</_dlc_DocId>
    <_dlc_DocIdUrl xmlns="ac3811b5-0f3e-49e2-ba69-f2ffa0c782af">
      <Url>https://michiganphi.sharepoint.com/sites/CMDMC/_layouts/15/DocIdRedir.aspx?ID=U47JMPN4QEAR-1806752177-35400</Url>
      <Description>U47JMPN4QEAR-1806752177-35400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F606FE-2A9F-4ACC-8AB6-863A6C318147}"/>
</file>

<file path=customXml/itemProps2.xml><?xml version="1.0" encoding="utf-8"?>
<ds:datastoreItem xmlns:ds="http://schemas.openxmlformats.org/officeDocument/2006/customXml" ds:itemID="{6A475CAB-BD16-420F-B02F-ED5CBBBCE858}">
  <ds:schemaRefs>
    <ds:schemaRef ds:uri="http://schemas.microsoft.com/sharepoint/v3/contenttype/forms"/>
  </ds:schemaRefs>
</ds:datastoreItem>
</file>

<file path=customXml/itemProps3.xml><?xml version="1.0" encoding="utf-8"?>
<ds:datastoreItem xmlns:ds="http://schemas.openxmlformats.org/officeDocument/2006/customXml" ds:itemID="{DF4D8E2A-C3C8-41A1-9581-F05782120385}">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C8645B37-BFB8-46CB-9EE7-7EBFC4C132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fe21acfe-adf6-4ca2-9d28-2bda297ecb29</vt:lpwstr>
  </property>
</Properties>
</file>