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017F8B82-B942-453F-9CC9-731EDF9FBF16}"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L54" i="5"/>
  <c r="L60" i="5" s="1"/>
  <c r="L66" i="5" s="1"/>
  <c r="G58" i="5"/>
  <c r="G64" i="5" s="1"/>
  <c r="G70"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50" i="7" s="1"/>
  <c r="G56" i="7" s="1"/>
  <c r="G62" i="7" s="1"/>
  <c r="G68" i="7" s="1"/>
  <c r="G45" i="7"/>
  <c r="G51" i="7"/>
  <c r="G57" i="7"/>
  <c r="G63" i="7" s="1"/>
  <c r="G69" i="7" s="1"/>
  <c r="G46" i="7"/>
  <c r="G52" i="7" s="1"/>
  <c r="G58" i="7" s="1"/>
  <c r="G64" i="7" s="1"/>
  <c r="G70" i="7" s="1"/>
  <c r="L48" i="7"/>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M66" i="6"/>
  <c r="F27" i="6"/>
  <c r="F27" i="4"/>
  <c r="M66" i="4"/>
  <c r="F27" i="2"/>
  <c r="M66" i="2"/>
  <c r="F27" i="5"/>
  <c r="M66" i="5"/>
  <c r="M66" i="3"/>
  <c r="F27"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E44" i="6"/>
  <c r="B50" i="6"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L50" i="6"/>
  <c r="D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C50" i="6"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B64" i="5" s="1"/>
  <c r="C57" i="5"/>
  <c r="C66" i="6"/>
  <c r="E60" i="6"/>
  <c r="C66" i="2"/>
  <c r="E60" i="2"/>
  <c r="E56" i="6"/>
  <c r="E55" i="6"/>
  <c r="E55" i="7"/>
  <c r="E58" i="7"/>
  <c r="C64" i="5" l="1"/>
  <c r="E58" i="8"/>
  <c r="B64" i="8" s="1"/>
  <c r="L64" i="5"/>
  <c r="D64" i="5"/>
  <c r="L64" i="3"/>
  <c r="L56" i="8"/>
  <c r="B56" i="8"/>
  <c r="C57" i="8"/>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L64" i="8" l="1"/>
  <c r="C64" i="8"/>
  <c r="E64" i="5"/>
  <c r="D64" i="8"/>
  <c r="I7" i="9"/>
  <c r="E57" i="8"/>
  <c r="C63" i="8" s="1"/>
  <c r="C63" i="3"/>
  <c r="Q8" i="1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B70" i="5" s="1"/>
  <c r="F33" i="5" s="1"/>
  <c r="L63" i="5"/>
  <c r="L70" i="5" s="1"/>
  <c r="F8" i="5"/>
  <c r="E64" i="8" l="1"/>
  <c r="L70" i="8" s="1"/>
  <c r="C70" i="5"/>
  <c r="D70" i="5"/>
  <c r="F14" i="5" s="1"/>
  <c r="B63" i="8"/>
  <c r="L63" i="8"/>
  <c r="L70" i="6"/>
  <c r="D70" i="6"/>
  <c r="O13" i="6" s="1"/>
  <c r="E63" i="3"/>
  <c r="C69" i="3" s="1"/>
  <c r="D15" i="3" s="1"/>
  <c r="C70" i="6"/>
  <c r="C70" i="3"/>
  <c r="D14" i="3" s="1"/>
  <c r="L70" i="3"/>
  <c r="L69" i="7"/>
  <c r="C69" i="7"/>
  <c r="D12" i="7"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F34" i="3"/>
  <c r="D67" i="6"/>
  <c r="F8" i="6" s="1"/>
  <c r="L69" i="3"/>
  <c r="Q12" i="3" s="1"/>
  <c r="M70" i="5"/>
  <c r="E70" i="5"/>
  <c r="Q13" i="5"/>
  <c r="D13" i="5"/>
  <c r="Q14" i="5"/>
  <c r="D14"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3" i="5" l="1"/>
  <c r="C70" i="8"/>
  <c r="Q13" i="8" s="1"/>
  <c r="Q14" i="6"/>
  <c r="D12" i="3"/>
  <c r="B69" i="6"/>
  <c r="M69" i="6" s="1"/>
  <c r="Q12" i="7"/>
  <c r="D13" i="6"/>
  <c r="D14" i="6"/>
  <c r="D69" i="3"/>
  <c r="E69" i="3" s="1"/>
  <c r="B69" i="3"/>
  <c r="M69" i="3" s="1"/>
  <c r="Q13" i="6"/>
  <c r="T13" i="6" s="1"/>
  <c r="D15" i="7"/>
  <c r="Q15" i="7"/>
  <c r="D13" i="3"/>
  <c r="F14" i="3"/>
  <c r="C69" i="6"/>
  <c r="D12" i="6" s="1"/>
  <c r="O13" i="3"/>
  <c r="Q13" i="3"/>
  <c r="E70" i="6"/>
  <c r="O14" i="6"/>
  <c r="K14" i="6" s="1"/>
  <c r="F14" i="6"/>
  <c r="Q14" i="3"/>
  <c r="E70" i="3"/>
  <c r="F13" i="6"/>
  <c r="E69" i="7"/>
  <c r="F12" i="7"/>
  <c r="O12" i="7"/>
  <c r="O15" i="7"/>
  <c r="O14" i="3"/>
  <c r="D69" i="6"/>
  <c r="F12" i="6" s="1"/>
  <c r="T10" i="3"/>
  <c r="K10" i="4"/>
  <c r="F8" i="7"/>
  <c r="T9" i="4"/>
  <c r="F35" i="6"/>
  <c r="F32" i="6"/>
  <c r="T11" i="4"/>
  <c r="U11" i="4" s="1"/>
  <c r="J11" i="4" s="1"/>
  <c r="K11" i="4"/>
  <c r="R10" i="4"/>
  <c r="S10" i="4"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F32" i="2"/>
  <c r="O13" i="8"/>
  <c r="R10" i="3"/>
  <c r="S10" i="3" s="1"/>
  <c r="F8" i="2"/>
  <c r="O14" i="8"/>
  <c r="F14" i="8"/>
  <c r="T14" i="4"/>
  <c r="B70" i="2"/>
  <c r="F33" i="2" s="1"/>
  <c r="D69" i="5"/>
  <c r="O15" i="5" s="1"/>
  <c r="T13" i="5"/>
  <c r="F34" i="7"/>
  <c r="M70" i="7"/>
  <c r="O13" i="7"/>
  <c r="K11" i="3"/>
  <c r="R11" i="3"/>
  <c r="S11" i="3" s="1"/>
  <c r="U11" i="3" s="1"/>
  <c r="J11" i="3" s="1"/>
  <c r="M11" i="3" s="1"/>
  <c r="L68" i="7"/>
  <c r="Q9" i="7" s="1"/>
  <c r="C69" i="5"/>
  <c r="Q12" i="5" s="1"/>
  <c r="B69" i="5"/>
  <c r="F32" i="5" s="1"/>
  <c r="D68" i="7"/>
  <c r="E68" i="7" s="1"/>
  <c r="B68" i="7"/>
  <c r="F31" i="7" s="1"/>
  <c r="K9" i="3"/>
  <c r="K10" i="3"/>
  <c r="R14" i="4"/>
  <c r="S14" i="4" s="1"/>
  <c r="U14" i="4" s="1"/>
  <c r="J14" i="4" s="1"/>
  <c r="D13" i="7"/>
  <c r="R9" i="3"/>
  <c r="S9" i="3" s="1"/>
  <c r="T9" i="3"/>
  <c r="F34" i="8"/>
  <c r="R14" i="5"/>
  <c r="S14" i="5" s="1"/>
  <c r="U14" i="5" s="1"/>
  <c r="J14" i="5" s="1"/>
  <c r="M14" i="5" s="1"/>
  <c r="F33" i="8"/>
  <c r="C70" i="2"/>
  <c r="D14" i="2" s="1"/>
  <c r="T14" i="5"/>
  <c r="D13" i="8"/>
  <c r="K14" i="5"/>
  <c r="Q15" i="3"/>
  <c r="D70" i="2"/>
  <c r="O14" i="2" s="1"/>
  <c r="D14"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2" i="6" l="1"/>
  <c r="U10" i="4"/>
  <c r="J10" i="4" s="1"/>
  <c r="M10" i="4" s="1"/>
  <c r="R13" i="8"/>
  <c r="S13" i="8" s="1"/>
  <c r="E70" i="8"/>
  <c r="Q14" i="8"/>
  <c r="T14" i="8" s="1"/>
  <c r="R13" i="6"/>
  <c r="S13" i="6" s="1"/>
  <c r="U13" i="6" s="1"/>
  <c r="J13" i="6" s="1"/>
  <c r="M13" i="6" s="1"/>
  <c r="G13" i="6" s="1"/>
  <c r="M14" i="13" s="1"/>
  <c r="R12" i="7"/>
  <c r="S12" i="7" s="1"/>
  <c r="U10" i="3"/>
  <c r="J10" i="3" s="1"/>
  <c r="M10" i="3" s="1"/>
  <c r="G10" i="3" s="1"/>
  <c r="I11" i="16" s="1"/>
  <c r="T14" i="3"/>
  <c r="O12" i="3"/>
  <c r="R12" i="3" s="1"/>
  <c r="S12" i="3" s="1"/>
  <c r="U12" i="3" s="1"/>
  <c r="J12" i="3" s="1"/>
  <c r="F12" i="3"/>
  <c r="F32" i="3"/>
  <c r="T13" i="3"/>
  <c r="K13" i="6"/>
  <c r="O15" i="3"/>
  <c r="R15" i="3" s="1"/>
  <c r="S15" i="3" s="1"/>
  <c r="F15" i="3"/>
  <c r="R14" i="6"/>
  <c r="S14" i="6" s="1"/>
  <c r="U14" i="6" s="1"/>
  <c r="J14" i="6" s="1"/>
  <c r="M14" i="6" s="1"/>
  <c r="G14" i="6" s="1"/>
  <c r="M15" i="13" s="1"/>
  <c r="E69" i="6"/>
  <c r="D15" i="6"/>
  <c r="G10" i="4"/>
  <c r="G11" i="16" s="1"/>
  <c r="T14" i="6"/>
  <c r="Q12" i="6"/>
  <c r="R12" i="6" s="1"/>
  <c r="S12" i="6" s="1"/>
  <c r="U12" i="6" s="1"/>
  <c r="J12" i="6" s="1"/>
  <c r="F35" i="3"/>
  <c r="K14" i="3"/>
  <c r="K13" i="3"/>
  <c r="G11" i="3"/>
  <c r="E11" i="9" s="1"/>
  <c r="Q15" i="6"/>
  <c r="T15" i="7"/>
  <c r="R13" i="3"/>
  <c r="S13" i="3" s="1"/>
  <c r="R14" i="3"/>
  <c r="S14" i="3" s="1"/>
  <c r="U14" i="3" s="1"/>
  <c r="J14" i="3" s="1"/>
  <c r="M14" i="3" s="1"/>
  <c r="G14" i="3" s="1"/>
  <c r="I15" i="16" s="1"/>
  <c r="U9" i="4"/>
  <c r="J9" i="4" s="1"/>
  <c r="M9" i="4" s="1"/>
  <c r="G9" i="4" s="1"/>
  <c r="G10" i="16" s="1"/>
  <c r="K12" i="7"/>
  <c r="T12" i="7"/>
  <c r="R15" i="7"/>
  <c r="S15" i="7" s="1"/>
  <c r="U15" i="7" s="1"/>
  <c r="J15" i="7" s="1"/>
  <c r="M15" i="7" s="1"/>
  <c r="K15" i="7"/>
  <c r="T13" i="8"/>
  <c r="U13" i="8" s="1"/>
  <c r="J13" i="8" s="1"/>
  <c r="M13" i="8" s="1"/>
  <c r="O15" i="6"/>
  <c r="F15" i="6"/>
  <c r="L13" i="4"/>
  <c r="O14" i="16" s="1"/>
  <c r="L11" i="4"/>
  <c r="O12" i="16" s="1"/>
  <c r="K8" i="7"/>
  <c r="O13" i="2"/>
  <c r="O12" i="8"/>
  <c r="F35" i="8"/>
  <c r="T8" i="7"/>
  <c r="U8" i="7" s="1"/>
  <c r="J8" i="7" s="1"/>
  <c r="M8" i="7" s="1"/>
  <c r="T13" i="7"/>
  <c r="Q12" i="8"/>
  <c r="F32" i="8"/>
  <c r="Q10" i="7"/>
  <c r="F13" i="2"/>
  <c r="Q11" i="7"/>
  <c r="T12" i="6"/>
  <c r="R8" i="6"/>
  <c r="S8" i="6" s="1"/>
  <c r="F14" i="2"/>
  <c r="E69" i="8"/>
  <c r="F10" i="7"/>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D13" i="2"/>
  <c r="E70" i="2"/>
  <c r="Q14" i="2"/>
  <c r="K14" i="2" s="1"/>
  <c r="M13" i="4"/>
  <c r="G13" i="4" s="1"/>
  <c r="G14"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T15" i="6" l="1"/>
  <c r="G13" i="9"/>
  <c r="L13" i="6"/>
  <c r="R14" i="16" s="1"/>
  <c r="R14" i="8"/>
  <c r="S14" i="8" s="1"/>
  <c r="U14" i="8" s="1"/>
  <c r="J14" i="8" s="1"/>
  <c r="N30" i="8" s="1"/>
  <c r="U12" i="7"/>
  <c r="J12" i="7" s="1"/>
  <c r="M12" i="7" s="1"/>
  <c r="D10" i="9"/>
  <c r="U13" i="3"/>
  <c r="J13" i="3" s="1"/>
  <c r="L13" i="3" s="1"/>
  <c r="P14" i="16" s="1"/>
  <c r="L10" i="3"/>
  <c r="P11" i="16" s="1"/>
  <c r="L9" i="4"/>
  <c r="O10" i="16" s="1"/>
  <c r="T15" i="3"/>
  <c r="U15" i="3" s="1"/>
  <c r="J15" i="3" s="1"/>
  <c r="M15" i="3" s="1"/>
  <c r="G11" i="13"/>
  <c r="K15" i="3"/>
  <c r="K12" i="6"/>
  <c r="L12" i="6" s="1"/>
  <c r="R13" i="16" s="1"/>
  <c r="I12" i="16"/>
  <c r="I12" i="13"/>
  <c r="G10" i="13"/>
  <c r="I15" i="13"/>
  <c r="E14" i="9"/>
  <c r="M13" i="3"/>
  <c r="G13" i="3" s="1"/>
  <c r="E13" i="9" s="1"/>
  <c r="L14" i="3"/>
  <c r="P15" i="16" s="1"/>
  <c r="N30" i="3"/>
  <c r="D9" i="9"/>
  <c r="L15" i="7"/>
  <c r="S16" i="16" s="1"/>
  <c r="I11" i="13"/>
  <c r="E10" i="9"/>
  <c r="L13" i="8"/>
  <c r="T14" i="16" s="1"/>
  <c r="K15" i="6"/>
  <c r="R15" i="6"/>
  <c r="S15" i="6" s="1"/>
  <c r="U15" i="6" s="1"/>
  <c r="J15" i="6" s="1"/>
  <c r="G13" i="8"/>
  <c r="M13" i="9"/>
  <c r="U14" i="13"/>
  <c r="U12" i="13"/>
  <c r="M11" i="9"/>
  <c r="R12" i="8"/>
  <c r="S12" i="8" s="1"/>
  <c r="T13" i="2"/>
  <c r="U8" i="6"/>
  <c r="J8" i="6" s="1"/>
  <c r="M8" i="6" s="1"/>
  <c r="G8" i="6" s="1"/>
  <c r="M9" i="13" s="1"/>
  <c r="R13" i="2"/>
  <c r="S13" i="2" s="1"/>
  <c r="T15" i="8"/>
  <c r="U15" i="8" s="1"/>
  <c r="J15" i="8" s="1"/>
  <c r="G14" i="9"/>
  <c r="T12" i="8"/>
  <c r="K12" i="8"/>
  <c r="R10" i="7"/>
  <c r="S10" i="7" s="1"/>
  <c r="T11" i="7"/>
  <c r="T10" i="7"/>
  <c r="L8" i="2"/>
  <c r="N9" i="16" s="1"/>
  <c r="K13" i="2"/>
  <c r="R15" i="5"/>
  <c r="S15" i="5" s="1"/>
  <c r="U15" i="5" s="1"/>
  <c r="J15" i="5" s="1"/>
  <c r="M15" i="5" s="1"/>
  <c r="K11" i="7"/>
  <c r="K15" i="8"/>
  <c r="T9" i="7"/>
  <c r="U9" i="7" s="1"/>
  <c r="J9" i="7" s="1"/>
  <c r="M9" i="7" s="1"/>
  <c r="N30" i="6"/>
  <c r="R11" i="7"/>
  <c r="S11" i="7" s="1"/>
  <c r="L14" i="6"/>
  <c r="R15" i="16" s="1"/>
  <c r="K12" i="5"/>
  <c r="L12" i="5" s="1"/>
  <c r="Q13" i="16" s="1"/>
  <c r="T12" i="5"/>
  <c r="K10" i="7"/>
  <c r="R14" i="2"/>
  <c r="S14" i="2" s="1"/>
  <c r="D13" i="9"/>
  <c r="G14" i="13"/>
  <c r="P13" i="9"/>
  <c r="K9" i="7"/>
  <c r="T14" i="2"/>
  <c r="V12" i="13"/>
  <c r="X14" i="13"/>
  <c r="N11" i="9"/>
  <c r="T15" i="5"/>
  <c r="W14" i="13"/>
  <c r="L13" i="7"/>
  <c r="S14" i="16" s="1"/>
  <c r="M9" i="3"/>
  <c r="G9" i="3" s="1"/>
  <c r="I10" i="13" s="1"/>
  <c r="G12" i="13"/>
  <c r="G12" i="16"/>
  <c r="N9" i="9"/>
  <c r="P10" i="16"/>
  <c r="M14" i="7"/>
  <c r="N30" i="7"/>
  <c r="L14" i="7"/>
  <c r="S15" i="16" s="1"/>
  <c r="L8" i="7"/>
  <c r="S9" i="16" s="1"/>
  <c r="O13" i="9"/>
  <c r="M10" i="9"/>
  <c r="O14" i="9"/>
  <c r="V10" i="13"/>
  <c r="W15" i="13"/>
  <c r="U12" i="2"/>
  <c r="J12" i="2" s="1"/>
  <c r="L12" i="2" s="1"/>
  <c r="N13" i="16" s="1"/>
  <c r="D11" i="9"/>
  <c r="U11" i="13"/>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12" i="6"/>
  <c r="G12" i="6" s="1"/>
  <c r="M8" i="4"/>
  <c r="G8" i="4" s="1"/>
  <c r="G9" i="16" s="1"/>
  <c r="L8" i="4"/>
  <c r="O9" i="16" s="1"/>
  <c r="R10" i="8"/>
  <c r="S10" i="8" s="1"/>
  <c r="T10" i="8"/>
  <c r="K10" i="8"/>
  <c r="U15" i="4"/>
  <c r="J15" i="4" s="1"/>
  <c r="U10" i="6"/>
  <c r="J10" i="6" s="1"/>
  <c r="K11" i="8"/>
  <c r="T11" i="8"/>
  <c r="R11" i="8"/>
  <c r="S11" i="8" s="1"/>
  <c r="L12" i="3"/>
  <c r="P13" i="16" s="1"/>
  <c r="M12" i="3"/>
  <c r="G12" i="3" s="1"/>
  <c r="I13" i="16" s="1"/>
  <c r="K9" i="8"/>
  <c r="T9" i="8"/>
  <c r="L12" i="7" l="1"/>
  <c r="U11" i="7"/>
  <c r="J11" i="7" s="1"/>
  <c r="N10" i="9"/>
  <c r="V11" i="13"/>
  <c r="M9" i="9"/>
  <c r="G15" i="3"/>
  <c r="I16" i="16" s="1"/>
  <c r="V14" i="13"/>
  <c r="N13" i="9"/>
  <c r="M14" i="8"/>
  <c r="G14" i="8" s="1"/>
  <c r="K15" i="16" s="1"/>
  <c r="L14" i="8"/>
  <c r="T15" i="16" s="1"/>
  <c r="U10" i="13"/>
  <c r="I14" i="13"/>
  <c r="L15" i="3"/>
  <c r="P16" i="16" s="1"/>
  <c r="I14" i="16"/>
  <c r="L15" i="6"/>
  <c r="R16" i="16" s="1"/>
  <c r="U14" i="2"/>
  <c r="J14" i="2" s="1"/>
  <c r="M14" i="2" s="1"/>
  <c r="G14" i="2" s="1"/>
  <c r="E15" i="16" s="1"/>
  <c r="U13" i="2"/>
  <c r="J13" i="2" s="1"/>
  <c r="M13" i="2" s="1"/>
  <c r="G13" i="2" s="1"/>
  <c r="E14" i="16" s="1"/>
  <c r="V15" i="13"/>
  <c r="N14" i="9"/>
  <c r="Y16" i="13"/>
  <c r="Q15" i="9"/>
  <c r="R13" i="9"/>
  <c r="Z14" i="13"/>
  <c r="U12" i="8"/>
  <c r="J12" i="8" s="1"/>
  <c r="L12" i="8" s="1"/>
  <c r="T13" i="16" s="1"/>
  <c r="M15" i="6"/>
  <c r="G15" i="6" s="1"/>
  <c r="G15" i="9" s="1"/>
  <c r="K14" i="16"/>
  <c r="I13" i="9"/>
  <c r="Q14" i="13"/>
  <c r="U10" i="7"/>
  <c r="J10" i="7" s="1"/>
  <c r="L10" i="7" s="1"/>
  <c r="S11" i="16" s="1"/>
  <c r="L8" i="6"/>
  <c r="R9" i="16" s="1"/>
  <c r="L15" i="5"/>
  <c r="Q16" i="16" s="1"/>
  <c r="T9" i="13"/>
  <c r="L8" i="9"/>
  <c r="X15" i="13"/>
  <c r="P14" i="9"/>
  <c r="G8" i="9"/>
  <c r="Q14" i="9"/>
  <c r="Y15" i="13"/>
  <c r="Y14" i="13"/>
  <c r="E9" i="13"/>
  <c r="Q13" i="9"/>
  <c r="L10" i="2"/>
  <c r="N11" i="16" s="1"/>
  <c r="L11" i="6"/>
  <c r="R12" i="16" s="1"/>
  <c r="I10" i="16"/>
  <c r="C8" i="9"/>
  <c r="E9" i="9"/>
  <c r="G12" i="9"/>
  <c r="M13" i="13"/>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P12" i="9"/>
  <c r="X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S13" i="16" l="1"/>
  <c r="Y13" i="13"/>
  <c r="Q12" i="9"/>
  <c r="E15" i="9"/>
  <c r="I16" i="13"/>
  <c r="P15" i="9"/>
  <c r="X16" i="13"/>
  <c r="R14" i="9"/>
  <c r="Q15" i="13"/>
  <c r="I14" i="9"/>
  <c r="Z15" i="13"/>
  <c r="N15" i="9"/>
  <c r="V16" i="13"/>
  <c r="L13" i="2"/>
  <c r="N14" i="16" s="1"/>
  <c r="E15" i="13"/>
  <c r="L14" i="2"/>
  <c r="N15" i="16" s="1"/>
  <c r="C14" i="9"/>
  <c r="M16" i="13"/>
  <c r="M12" i="8"/>
  <c r="G12" i="8" s="1"/>
  <c r="K13" i="16" s="1"/>
  <c r="N30" i="2"/>
  <c r="C13" i="9"/>
  <c r="E14" i="13"/>
  <c r="M10" i="7"/>
  <c r="P8" i="9"/>
  <c r="X9" i="13"/>
  <c r="Q10" i="9"/>
  <c r="Y11" i="13"/>
  <c r="O15" i="9"/>
  <c r="W16" i="13"/>
  <c r="L10" i="9"/>
  <c r="X12" i="13"/>
  <c r="L13" i="9"/>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T15" i="13" l="1"/>
  <c r="L14" i="9"/>
  <c r="T14" i="13"/>
  <c r="I12" i="9"/>
  <c r="Q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<sst xmlns="http://schemas.openxmlformats.org/spreadsheetml/2006/main" count="654" uniqueCount="141">
  <si>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</si>
  <si>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</si>
  <si>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</si>
  <si>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</si>
  <si>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</si>
  <si>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</si>
  <si>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</si>
  <si>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</si>
  <si>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</si>
  <si>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</si>
  <si>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</si>
  <si>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</si>
  <si>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</si>
  <si>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</si>
  <si>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</si>
  <si>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</si>
  <si>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</si>
  <si>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</si>
  <si>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</si>
  <si>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</si>
  <si>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</si>
  <si>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</si>
  <si>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</si>
  <si>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</si>
  <si>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</si>
  <si>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</si>
  <si>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</si>
  <si>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</si>
  <si>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</si>
  <si>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</si>
  <si>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</si>
  <si>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</si>
  <si>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</si>
  <si>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</si>
  <si>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</si>
  <si>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</si>
  <si>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</si>
  <si>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</si>
  <si>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</si>
  <si>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</si>
  <si>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</si>
  <si>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</si>
  <si>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</si>
  <si>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</si>
  <si>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</si>
  <si>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</si>
  <si>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</si>
  <si>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</si>
  <si>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</si>
  <si>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</si>
  <si>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</si>
  <si>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</si>
  <si>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</si>
  <si>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</si>
  <si>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</si>
  <si>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</si>
  <si>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</si>
  <si>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</si>
  <si>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</si>
  <si>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</si>
  <si>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</si>
  <si>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</si>
  <si>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</si>
  <si>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</si>
  <si>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</si>
  <si>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</si>
  <si>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</si>
  <si>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</si>
  <si>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</si>
  <si>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</si>
  <si>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</si>
  <si>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</si>
  <si>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</si>
  <si>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</si>
  <si>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</si>
  <si>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</si>
  <si>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</si>
  <si>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</si>
  <si>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</si>
  <si>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</si>
  <si>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</si>
  <si>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</si>
  <si>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</si>
  <si>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</si>
  <si>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</si>
  <si>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</si>
  <si>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</si>
  <si>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</si>
  <si>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</si>
  <si>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</si>
  <si>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</si>
  <si>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</si>
  <si>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</si>
  <si>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</si>
  <si>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</si>
  <si>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</si>
  <si>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</si>
  <si>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</si>
  <si>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</si>
  <si>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</si>
  <si>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</si>
  <si>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</si>
  <si>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</si>
  <si>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</si>
  <si>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</si>
  <si>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</si>
  <si>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</si>
  <si>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</si>
  <si>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</si>
  <si>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</si>
  <si>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</si>
  <si>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</si>
  <si>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</si>
  <si>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</si>
  <si>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</si>
  <si>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</si>
  <si>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</si>
  <si>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</si>
  <si>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</si>
  <si>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</si>
  <si>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</si>
  <si>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</si>
  <si>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</si>
  <si>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</si>
  <si>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</si>
  <si>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</si>
  <si>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</si>
  <si>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</si>
  <si>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</si>
  <si>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Washtenaw</t>
  </si>
  <si>
    <t>Item 3.Referral: Washtenaw County Juvenile Court</t>
  </si>
  <si>
    <t>Item 4.Diversion: Washtenaw County Juvenile Court</t>
  </si>
  <si>
    <t>Item 5.Detention: Washtenaw County Juvenile Court</t>
  </si>
  <si>
    <t>Item 6.Petitioned: Washtenaw County Juvenile Court</t>
  </si>
  <si>
    <t>Item 7.Delinquent: Washtenaw County Juvenile Court</t>
  </si>
  <si>
    <t>Item 8.Probation: Washtenaw County Juvenile Court</t>
  </si>
  <si>
    <t>Item 9.Confinement: Washtenaw County Juvenile Court</t>
  </si>
  <si>
    <t>Item 10.Transferred: Washtenaw County Juvenile Court</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</si>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</sst>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Washtenaw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N=60</c:v>
                </c:pt>
                <c:pt idx="3">
                  <c:v>Petitions, total N=137</c:v>
                </c:pt>
                <c:pt idx="4">
                  <c:v>Detentions, total N=94</c:v>
                </c:pt>
                <c:pt idx="5">
                  <c:v>Referrals, total N=407</c:v>
                </c:pt>
                <c:pt idx="6">
                  <c:v>Arrests, total N=113</c:v>
                </c:pt>
                <c:pt idx="7">
                  <c:v>Population, total N=27281</c:v>
                </c:pt>
              </c:strCache>
            </c:strRef>
          </c:cat>
          <c:val>
            <c:numRef>
              <c:f>'Stacked 100%'!$B$7:$B$14</c:f>
              <c:numCache>
                <c:formatCode>0%</c:formatCode>
                <c:ptCount val="8"/>
                <c:pt idx="0">
                  <c:v>0</c:v>
                </c:pt>
                <c:pt idx="1">
                  <c:v>0.66666666666666663</c:v>
                </c:pt>
                <c:pt idx="2">
                  <c:v>0.75</c:v>
                </c:pt>
                <c:pt idx="3">
                  <c:v>0.63503649635036497</c:v>
                </c:pt>
                <c:pt idx="4">
                  <c:v>0.72340425531914898</c:v>
                </c:pt>
                <c:pt idx="5">
                  <c:v>0.54545454545454541</c:v>
                </c:pt>
                <c:pt idx="6">
                  <c:v>0.72566371681415931</c:v>
                </c:pt>
                <c:pt idx="7">
                  <c:v>0.16964187529782632</c:v>
                </c:pt>
              </c:numCache>
            </c:numRef>
          </c:val>
          <c:extLst>
            <c:ext xmlns:c16="http://schemas.microsoft.com/office/drawing/2014/chart" uri="{C3380CC4-5D6E-409C-BE32-E72D297353CC}">
              <c16:uniqueId val="{00000000-6F78-455E-ABE3-7E65F4584BC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N=60</c:v>
                </c:pt>
                <c:pt idx="3">
                  <c:v>Petitions, total N=137</c:v>
                </c:pt>
                <c:pt idx="4">
                  <c:v>Detentions, total N=94</c:v>
                </c:pt>
                <c:pt idx="5">
                  <c:v>Referrals, total N=407</c:v>
                </c:pt>
                <c:pt idx="6">
                  <c:v>Arrests, total N=113</c:v>
                </c:pt>
                <c:pt idx="7">
                  <c:v>Population, total N=27281</c:v>
                </c:pt>
              </c:strCache>
            </c:strRef>
          </c:cat>
          <c:val>
            <c:numRef>
              <c:f>'Stacked 100%'!$C$7:$C$14</c:f>
              <c:numCache>
                <c:formatCode>0%</c:formatCode>
                <c:ptCount val="8"/>
                <c:pt idx="0">
                  <c:v>0</c:v>
                </c:pt>
                <c:pt idx="1">
                  <c:v>0</c:v>
                </c:pt>
                <c:pt idx="2">
                  <c:v>0</c:v>
                </c:pt>
                <c:pt idx="3">
                  <c:v>0</c:v>
                </c:pt>
                <c:pt idx="4">
                  <c:v>1.0638297872340425E-2</c:v>
                </c:pt>
                <c:pt idx="5">
                  <c:v>1.4742014742014743E-2</c:v>
                </c:pt>
                <c:pt idx="6">
                  <c:v>1.7699115044247787E-2</c:v>
                </c:pt>
                <c:pt idx="7">
                  <c:v>7.7416516989846418E-2</c:v>
                </c:pt>
              </c:numCache>
            </c:numRef>
          </c:val>
          <c:extLst>
            <c:ext xmlns:c16="http://schemas.microsoft.com/office/drawing/2014/chart" uri="{C3380CC4-5D6E-409C-BE32-E72D297353CC}">
              <c16:uniqueId val="{00000001-6F78-455E-ABE3-7E65F4584BC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N=3</c:v>
                </c:pt>
                <c:pt idx="2">
                  <c:v>Delinquent Findings, total N=60</c:v>
                </c:pt>
                <c:pt idx="3">
                  <c:v>Petitions, total N=137</c:v>
                </c:pt>
                <c:pt idx="4">
                  <c:v>Detentions, total N=94</c:v>
                </c:pt>
                <c:pt idx="5">
                  <c:v>Referrals, total N=407</c:v>
                </c:pt>
                <c:pt idx="6">
                  <c:v>Arrests, total N=113</c:v>
                </c:pt>
                <c:pt idx="7">
                  <c:v>Population, total N=27281</c:v>
                </c:pt>
              </c:strCache>
            </c:strRef>
          </c:cat>
          <c:val>
            <c:numRef>
              <c:f>'Stacked 100%'!$H$7:$H$14</c:f>
              <c:numCache>
                <c:formatCode>0%</c:formatCode>
                <c:ptCount val="8"/>
                <c:pt idx="0">
                  <c:v>0</c:v>
                </c:pt>
                <c:pt idx="1">
                  <c:v>0</c:v>
                </c:pt>
                <c:pt idx="2">
                  <c:v>2.7777777777777778E-4</c:v>
                </c:pt>
                <c:pt idx="3">
                  <c:v>1.5983803079546062E-4</c:v>
                </c:pt>
                <c:pt idx="4">
                  <c:v>1.1317338162064282E-4</c:v>
                </c:pt>
                <c:pt idx="5">
                  <c:v>1.0262663825317388E-4</c:v>
                </c:pt>
                <c:pt idx="6">
                  <c:v>7.8314668337379589E-5</c:v>
                </c:pt>
                <c:pt idx="7">
                  <c:v>3.7003547776278178E-6</c:v>
                </c:pt>
              </c:numCache>
            </c:numRef>
          </c:val>
          <c:extLst>
            <c:ext xmlns:c16="http://schemas.microsoft.com/office/drawing/2014/chart" uri="{C3380CC4-5D6E-409C-BE32-E72D297353CC}">
              <c16:uniqueId val="{00000002-6F78-455E-ABE3-7E65F4584BC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N=60</c:v>
                </c:pt>
                <c:pt idx="3">
                  <c:v>Petitions, total N=137</c:v>
                </c:pt>
                <c:pt idx="4">
                  <c:v>Detentions, total N=94</c:v>
                </c:pt>
                <c:pt idx="5">
                  <c:v>Referrals, total N=407</c:v>
                </c:pt>
                <c:pt idx="6">
                  <c:v>Arrests, total N=113</c:v>
                </c:pt>
                <c:pt idx="7">
                  <c:v>Population, total N=27281</c:v>
                </c:pt>
              </c:strCache>
            </c:strRef>
          </c:cat>
          <c:val>
            <c:numRef>
              <c:f>'Stacked 100%'!$I$7:$I$14</c:f>
              <c:numCache>
                <c:formatCode>0%</c:formatCode>
                <c:ptCount val="8"/>
                <c:pt idx="0">
                  <c:v>0</c:v>
                </c:pt>
                <c:pt idx="1">
                  <c:v>0.33333333333333331</c:v>
                </c:pt>
                <c:pt idx="2">
                  <c:v>0.23333333333333334</c:v>
                </c:pt>
                <c:pt idx="3">
                  <c:v>0.34306569343065696</c:v>
                </c:pt>
                <c:pt idx="4">
                  <c:v>0.25531914893617019</c:v>
                </c:pt>
                <c:pt idx="5">
                  <c:v>0.3931203931203931</c:v>
                </c:pt>
                <c:pt idx="6">
                  <c:v>0.23893805309734514</c:v>
                </c:pt>
                <c:pt idx="7">
                  <c:v>0.65199222902386278</c:v>
                </c:pt>
              </c:numCache>
            </c:numRef>
          </c:val>
          <c:extLst>
            <c:ext xmlns:c16="http://schemas.microsoft.com/office/drawing/2014/chart" uri="{C3380CC4-5D6E-409C-BE32-E72D297353CC}">
              <c16:uniqueId val="{00000003-6F78-455E-ABE3-7E65F4584BC9}"/>
            </c:ext>
          </c:extLst>
        </c:ser>
        <c:dLbls>
          <c:showLegendKey val="0"/>
          <c:showVal val="0"/>
          <c:showCatName val="0"/>
          <c:showSerName val="0"/>
          <c:showPercent val="0"/>
          <c:showBubbleSize val="0"/>
        </c:dLbls>
        <c:gapWidth val="150"/>
        <c:overlap val="100"/>
        <c:axId val="104349056"/>
        <c:axId val="10728064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N=3</c:v>
                </c:pt>
                <c:pt idx="2">
                  <c:v>Delinquent Findings, total N=60</c:v>
                </c:pt>
                <c:pt idx="3">
                  <c:v>Petitions, total N=137</c:v>
                </c:pt>
                <c:pt idx="4">
                  <c:v>Detentions, total N=94</c:v>
                </c:pt>
                <c:pt idx="5">
                  <c:v>Referrals, total N=407</c:v>
                </c:pt>
                <c:pt idx="6">
                  <c:v>Arrests, total N=113</c:v>
                </c:pt>
                <c:pt idx="7">
                  <c:v>Population, total N=27281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6F78-455E-ABE3-7E65F4584BC9}"/>
            </c:ext>
          </c:extLst>
        </c:ser>
        <c:dLbls>
          <c:showLegendKey val="0"/>
          <c:showVal val="0"/>
          <c:showCatName val="0"/>
          <c:showSerName val="0"/>
          <c:showPercent val="0"/>
          <c:showBubbleSize val="0"/>
        </c:dLbls>
        <c:gapWidth val="150"/>
        <c:overlap val="100"/>
        <c:axId val="132821760"/>
        <c:axId val="107906560"/>
      </c:barChart>
      <c:catAx>
        <c:axId val="104349056"/>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280640"/>
        <c:crosses val="autoZero"/>
        <c:auto val="1"/>
        <c:lblAlgn val="ctr"/>
        <c:lblOffset val="100"/>
        <c:noMultiLvlLbl val="0"/>
      </c:catAx>
      <c:valAx>
        <c:axId val="10728064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9056"/>
        <c:crosses val="autoZero"/>
        <c:crossBetween val="between"/>
      </c:valAx>
      <c:valAx>
        <c:axId val="107906560"/>
        <c:scaling>
          <c:orientation val="minMax"/>
        </c:scaling>
        <c:delete val="1"/>
        <c:axPos val="t"/>
        <c:numFmt formatCode="0%" sourceLinked="1"/>
        <c:majorTickMark val="out"/>
        <c:minorTickMark val="none"/>
        <c:tickLblPos val="nextTo"/>
        <c:crossAx val="132821760"/>
        <c:crosses val="max"/>
        <c:crossBetween val="between"/>
      </c:valAx>
      <c:catAx>
        <c:axId val="132821760"/>
        <c:scaling>
          <c:orientation val="minMax"/>
        </c:scaling>
        <c:delete val="1"/>
        <c:axPos val="l"/>
        <c:numFmt formatCode="General" sourceLinked="1"/>
        <c:majorTickMark val="out"/>
        <c:minorTickMark val="none"/>
        <c:tickLblPos val="nextTo"/>
        <c:crossAx val="107906560"/>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4" sqref="E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114</v>
      </c>
      <c r="B2" s="4"/>
      <c r="C2" s="4"/>
      <c r="D2" s="4"/>
      <c r="E2" s="4"/>
      <c r="F2" s="4"/>
    </row>
    <row r="3" spans="1:11" ht="15" customHeight="1" x14ac:dyDescent="0.25">
      <c r="A3" s="142" t="s">
        <v>129</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124</v>
      </c>
      <c r="E5" s="9" t="s">
        <v>4</v>
      </c>
      <c r="F5" s="9" t="s">
        <v>5</v>
      </c>
      <c r="G5" s="9" t="s">
        <v>127</v>
      </c>
      <c r="H5" s="9" t="s">
        <v>6</v>
      </c>
      <c r="I5" s="9" t="s">
        <v>116</v>
      </c>
      <c r="J5" s="9" t="s">
        <v>7</v>
      </c>
      <c r="K5" s="9" t="s">
        <v>108</v>
      </c>
    </row>
    <row r="6" spans="1:11" ht="15.75" customHeight="1" thickBot="1" x14ac:dyDescent="0.25">
      <c r="A6" s="10" t="s">
        <v>128</v>
      </c>
      <c r="B6" s="11">
        <f>SUM(C6:I6)+K6</f>
        <v>27281</v>
      </c>
      <c r="C6" s="11">
        <v>17787</v>
      </c>
      <c r="D6" s="11">
        <v>4628</v>
      </c>
      <c r="E6" s="11">
        <v>2112</v>
      </c>
      <c r="F6" s="11">
        <v>2626</v>
      </c>
      <c r="G6" s="11"/>
      <c r="H6" s="11">
        <v>128</v>
      </c>
      <c r="I6" s="11"/>
      <c r="J6" s="91">
        <f>SUM(D6:I6)</f>
        <v>9494</v>
      </c>
      <c r="K6" s="92"/>
    </row>
    <row r="7" spans="1:11" ht="15.75" customHeight="1" thickBot="1" x14ac:dyDescent="0.25">
      <c r="A7" s="10" t="s">
        <v>8</v>
      </c>
      <c r="B7" s="11">
        <f t="shared" ref="B7:B15" si="0">SUM(C7:I7)+K7</f>
        <v>113</v>
      </c>
      <c r="C7" s="11">
        <v>27</v>
      </c>
      <c r="D7" s="11">
        <v>82</v>
      </c>
      <c r="E7" s="11">
        <v>2</v>
      </c>
      <c r="F7" s="11">
        <v>1</v>
      </c>
      <c r="G7" s="11"/>
      <c r="H7" s="11"/>
      <c r="I7" s="11"/>
      <c r="J7" s="91">
        <f t="shared" ref="J7:J15" si="1">SUM(D7:I7)</f>
        <v>85</v>
      </c>
      <c r="K7" s="92">
        <v>1</v>
      </c>
    </row>
    <row r="8" spans="1:11" ht="15.75" customHeight="1" thickBot="1" x14ac:dyDescent="0.25">
      <c r="A8" s="10" t="s">
        <v>9</v>
      </c>
      <c r="B8" s="11">
        <f t="shared" si="0"/>
        <v>407</v>
      </c>
      <c r="C8" s="11">
        <v>160</v>
      </c>
      <c r="D8" s="11">
        <v>222</v>
      </c>
      <c r="E8" s="11">
        <v>6</v>
      </c>
      <c r="F8" s="11">
        <v>6</v>
      </c>
      <c r="G8" s="11"/>
      <c r="H8" s="11"/>
      <c r="I8" s="11">
        <v>11</v>
      </c>
      <c r="J8" s="91">
        <f t="shared" si="1"/>
        <v>245</v>
      </c>
      <c r="K8" s="92">
        <v>2</v>
      </c>
    </row>
    <row r="9" spans="1:11" ht="15.75" customHeight="1" thickBot="1" x14ac:dyDescent="0.25">
      <c r="A9" s="10" t="s">
        <v>10</v>
      </c>
      <c r="B9" s="11">
        <f t="shared" si="0"/>
        <v>207</v>
      </c>
      <c r="C9" s="11">
        <v>81</v>
      </c>
      <c r="D9" s="11">
        <v>107</v>
      </c>
      <c r="E9" s="11">
        <v>6</v>
      </c>
      <c r="F9" s="11">
        <v>5</v>
      </c>
      <c r="G9" s="11"/>
      <c r="H9" s="11"/>
      <c r="I9" s="11">
        <v>8</v>
      </c>
      <c r="J9" s="91">
        <f t="shared" si="1"/>
        <v>126</v>
      </c>
      <c r="K9" s="92"/>
    </row>
    <row r="10" spans="1:11" ht="15.75" customHeight="1" thickBot="1" x14ac:dyDescent="0.25">
      <c r="A10" s="10" t="s">
        <v>11</v>
      </c>
      <c r="B10" s="11">
        <f t="shared" si="0"/>
        <v>94</v>
      </c>
      <c r="C10" s="11">
        <v>24</v>
      </c>
      <c r="D10" s="11">
        <v>68</v>
      </c>
      <c r="E10" s="11">
        <v>1</v>
      </c>
      <c r="F10" s="11"/>
      <c r="G10" s="11"/>
      <c r="H10" s="11"/>
      <c r="I10" s="11">
        <v>1</v>
      </c>
      <c r="J10" s="91">
        <f t="shared" si="1"/>
        <v>70</v>
      </c>
      <c r="K10" s="92"/>
    </row>
    <row r="11" spans="1:11" ht="15.75" customHeight="1" thickBot="1" x14ac:dyDescent="0.25">
      <c r="A11" s="10" t="s">
        <v>12</v>
      </c>
      <c r="B11" s="11">
        <f t="shared" si="0"/>
        <v>137</v>
      </c>
      <c r="C11" s="11">
        <v>47</v>
      </c>
      <c r="D11" s="11">
        <v>87</v>
      </c>
      <c r="E11" s="11"/>
      <c r="F11" s="11"/>
      <c r="G11" s="11"/>
      <c r="H11" s="11"/>
      <c r="I11" s="11">
        <v>3</v>
      </c>
      <c r="J11" s="91">
        <f t="shared" si="1"/>
        <v>90</v>
      </c>
      <c r="K11" s="92"/>
    </row>
    <row r="12" spans="1:11" ht="15.75" customHeight="1" thickBot="1" x14ac:dyDescent="0.25">
      <c r="A12" s="10" t="s">
        <v>13</v>
      </c>
      <c r="B12" s="11">
        <f t="shared" si="0"/>
        <v>60</v>
      </c>
      <c r="C12" s="11">
        <v>14</v>
      </c>
      <c r="D12" s="11">
        <v>45</v>
      </c>
      <c r="E12" s="11"/>
      <c r="F12" s="11"/>
      <c r="G12" s="11"/>
      <c r="H12" s="11"/>
      <c r="I12" s="11">
        <v>1</v>
      </c>
      <c r="J12" s="91">
        <f t="shared" si="1"/>
        <v>46</v>
      </c>
      <c r="K12" s="92"/>
    </row>
    <row r="13" spans="1:11" ht="15.75" customHeight="1" thickBot="1" x14ac:dyDescent="0.25">
      <c r="A13" s="10" t="s">
        <v>125</v>
      </c>
      <c r="B13" s="11">
        <f t="shared" si="0"/>
        <v>132</v>
      </c>
      <c r="C13" s="11">
        <v>46</v>
      </c>
      <c r="D13" s="11">
        <v>85</v>
      </c>
      <c r="E13" s="11"/>
      <c r="F13" s="11"/>
      <c r="G13" s="11"/>
      <c r="H13" s="11"/>
      <c r="I13" s="11">
        <v>1</v>
      </c>
      <c r="J13" s="91">
        <f t="shared" si="1"/>
        <v>86</v>
      </c>
      <c r="K13" s="92"/>
    </row>
    <row r="14" spans="1:11" ht="26.25" customHeight="1" thickBot="1" x14ac:dyDescent="0.25">
      <c r="A14" s="10" t="s">
        <v>115</v>
      </c>
      <c r="B14" s="11">
        <f t="shared" si="0"/>
        <v>3</v>
      </c>
      <c r="C14" s="11">
        <v>1</v>
      </c>
      <c r="D14" s="11">
        <v>2</v>
      </c>
      <c r="E14" s="11"/>
      <c r="F14" s="11"/>
      <c r="G14" s="11"/>
      <c r="H14" s="11"/>
      <c r="I14" s="11"/>
      <c r="J14" s="91">
        <f t="shared" si="1"/>
        <v>2</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138</v>
      </c>
      <c r="B19" s="176"/>
      <c r="C19" s="8"/>
      <c r="D19" s="176" t="s">
        <v>139</v>
      </c>
      <c r="E19" s="176"/>
      <c r="F19" s="176"/>
      <c r="G19" s="176"/>
      <c r="H19" s="176"/>
      <c r="I19" s="176"/>
    </row>
    <row r="20" spans="1:9" ht="15" customHeight="1" x14ac:dyDescent="0.25">
      <c r="A20" s="176" t="s">
        <v>130</v>
      </c>
      <c r="B20" s="176"/>
      <c r="C20" s="8"/>
      <c r="D20" s="176" t="s">
        <v>131</v>
      </c>
      <c r="E20" s="176"/>
      <c r="F20" s="176"/>
      <c r="G20" s="176"/>
      <c r="H20" s="176"/>
      <c r="I20" s="176"/>
    </row>
    <row r="21" spans="1:9" ht="15" customHeight="1" x14ac:dyDescent="0.25">
      <c r="A21" s="176" t="s">
        <v>132</v>
      </c>
      <c r="B21" s="176"/>
      <c r="C21" s="8"/>
      <c r="D21" s="176" t="s">
        <v>133</v>
      </c>
      <c r="E21" s="176"/>
      <c r="F21" s="176"/>
      <c r="G21" s="176"/>
      <c r="H21" s="176"/>
      <c r="I21" s="176"/>
    </row>
    <row r="22" spans="1:9" ht="15" customHeight="1" x14ac:dyDescent="0.25">
      <c r="A22" s="176" t="s">
        <v>134</v>
      </c>
      <c r="B22" s="176"/>
      <c r="C22" s="8"/>
      <c r="D22" s="176" t="s">
        <v>135</v>
      </c>
      <c r="E22" s="176"/>
      <c r="F22" s="176"/>
      <c r="G22" s="176"/>
      <c r="H22" s="176"/>
      <c r="I22" s="176"/>
    </row>
    <row r="23" spans="1:9" ht="15" customHeight="1" x14ac:dyDescent="0.25">
      <c r="A23" s="176" t="s">
        <v>136</v>
      </c>
      <c r="B23" s="176"/>
      <c r="C23" s="8"/>
      <c r="D23" s="176" t="s">
        <v>137</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Washtenaw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17787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27</v>
      </c>
      <c r="D7" s="34">
        <f>IF((AND(C66&gt;0,C7&gt;0)),(C7/C66),0)</f>
        <v>1.5179625569235959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27</v>
      </c>
      <c r="Q7" s="42">
        <f>C6-C7</f>
        <v>17760</v>
      </c>
      <c r="R7" s="42">
        <f t="shared" ref="R7:R15" si="5">SUM(N7:Q7)</f>
        <v>17787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160</v>
      </c>
      <c r="D8" s="34">
        <f>IF((AND(C67&gt;0,C8&gt;0)),(C8/C67),0)</f>
        <v>592.59259259259261</v>
      </c>
      <c r="E8" s="33">
        <f>'Data Entry'!I8</f>
        <v>11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11</v>
      </c>
      <c r="O8" s="42">
        <f>((D67*L67)-E8)+0.05</f>
        <v>-10.95</v>
      </c>
      <c r="P8" s="42">
        <f t="shared" si="4"/>
        <v>160</v>
      </c>
      <c r="Q8" s="42">
        <f>(C$67*L67)-C8</f>
        <v>-133</v>
      </c>
      <c r="R8" s="42">
        <f t="shared" si="5"/>
        <v>27.050000000000011</v>
      </c>
      <c r="S8" s="30">
        <f t="shared" si="6"/>
        <v>2259243.0500000007</v>
      </c>
      <c r="T8" s="30">
        <f t="shared" si="7"/>
        <v>-33230.857500000471</v>
      </c>
      <c r="U8" s="31">
        <f t="shared" si="8"/>
        <v>-67.986300082685759</v>
      </c>
    </row>
    <row r="9" spans="2:21" ht="18" customHeight="1" x14ac:dyDescent="0.25">
      <c r="B9" s="32" t="str">
        <f>'Data Entry'!A9</f>
        <v xml:space="preserve">4. Cases Diverted </v>
      </c>
      <c r="C9" s="33">
        <f>'Data Entry'!C9</f>
        <v>81</v>
      </c>
      <c r="D9" s="34">
        <f>IF((AND(C68&gt;0,C9&gt;0)),((C9/C68)),0)</f>
        <v>50.625</v>
      </c>
      <c r="E9" s="33">
        <f>'Data Entry'!I9</f>
        <v>8</v>
      </c>
      <c r="F9" s="34">
        <f>IF((AND($E$9&gt;0,$D$68&gt;0)),(($E$9/$D$68)),0)</f>
        <v>72.727272727272734</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8</v>
      </c>
      <c r="O9" s="42">
        <f>(D$68*L68)-E9</f>
        <v>3</v>
      </c>
      <c r="P9" s="42">
        <f t="shared" si="4"/>
        <v>81</v>
      </c>
      <c r="Q9" s="42">
        <f>(C$68*L68)-C9</f>
        <v>79</v>
      </c>
      <c r="R9" s="42">
        <f t="shared" si="5"/>
        <v>171</v>
      </c>
      <c r="S9" s="30">
        <f t="shared" si="6"/>
        <v>25875891</v>
      </c>
      <c r="T9" s="30">
        <f t="shared" si="7"/>
        <v>12844480</v>
      </c>
      <c r="U9" s="31">
        <f t="shared" si="8"/>
        <v>2.0145534112708336</v>
      </c>
    </row>
    <row r="10" spans="2:21" ht="18" customHeight="1" x14ac:dyDescent="0.25">
      <c r="B10" s="32" t="str">
        <f>'Data Entry'!A10</f>
        <v>5. Cases Involving Secure Detention</v>
      </c>
      <c r="C10" s="33">
        <f>'Data Entry'!C10</f>
        <v>24</v>
      </c>
      <c r="D10" s="34">
        <f>IF(((AND(C68&gt;0,C10&gt;0))),(C10/(C68)),0)</f>
        <v>15</v>
      </c>
      <c r="E10" s="33">
        <f>'Data Entry'!I10</f>
        <v>1</v>
      </c>
      <c r="F10" s="34">
        <f>IF(((AND($E$10&gt;0,$D$68&gt;0))),($E$10/($D$68)),0)</f>
        <v>9.0909090909090917</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1</v>
      </c>
      <c r="O10" s="42">
        <f>(D$68*L68)-E10</f>
        <v>10</v>
      </c>
      <c r="P10" s="42">
        <f t="shared" si="4"/>
        <v>24</v>
      </c>
      <c r="Q10" s="42">
        <f>(C$68*L68)-C10</f>
        <v>136</v>
      </c>
      <c r="R10" s="42">
        <f t="shared" si="5"/>
        <v>171</v>
      </c>
      <c r="S10" s="30">
        <f t="shared" si="6"/>
        <v>1849536</v>
      </c>
      <c r="T10" s="30">
        <f t="shared" si="7"/>
        <v>6424000</v>
      </c>
      <c r="U10" s="31">
        <f t="shared" si="8"/>
        <v>0.28791033623910334</v>
      </c>
    </row>
    <row r="11" spans="2:21" ht="18" customHeight="1" x14ac:dyDescent="0.25">
      <c r="B11" s="32" t="str">
        <f>'Data Entry'!A11</f>
        <v>6. Cases Petitioned (Charge Filed)</v>
      </c>
      <c r="C11" s="33">
        <f>'Data Entry'!C11</f>
        <v>47</v>
      </c>
      <c r="D11" s="34">
        <f>IF(((AND(C68&gt;0,C11&gt;0))),(C11/(C68)),0)</f>
        <v>29.375</v>
      </c>
      <c r="E11" s="33">
        <f>'Data Entry'!I11</f>
        <v>3</v>
      </c>
      <c r="F11" s="34">
        <f>IF(((AND($E$11&gt;0,$D$68&gt;0))),($E$11/($D$68)),0)</f>
        <v>27.272727272727273</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3</v>
      </c>
      <c r="O11" s="42">
        <f>(D$68*L68)-E11</f>
        <v>8</v>
      </c>
      <c r="P11" s="42">
        <f t="shared" si="4"/>
        <v>47</v>
      </c>
      <c r="Q11" s="42">
        <f>(C$68*L68)-C11</f>
        <v>113</v>
      </c>
      <c r="R11" s="42">
        <f t="shared" si="5"/>
        <v>171</v>
      </c>
      <c r="S11" s="30">
        <f t="shared" si="6"/>
        <v>234099</v>
      </c>
      <c r="T11" s="30">
        <f t="shared" si="7"/>
        <v>10648000</v>
      </c>
      <c r="U11" s="31">
        <f t="shared" si="8"/>
        <v>2.1985255447032306E-2</v>
      </c>
    </row>
    <row r="12" spans="2:21" ht="18" customHeight="1" x14ac:dyDescent="0.25">
      <c r="B12" s="32" t="str">
        <f>'Data Entry'!A12</f>
        <v>7. Cases Resulting in Delinquent Findings</v>
      </c>
      <c r="C12" s="33">
        <f>'Data Entry'!C12</f>
        <v>14</v>
      </c>
      <c r="D12" s="34">
        <f>IF(((AND(C69&gt;0,C12&gt;0))),(C12/(C69)),0)</f>
        <v>29.787234042553195</v>
      </c>
      <c r="E12" s="33">
        <f>'Data Entry'!I12</f>
        <v>1</v>
      </c>
      <c r="F12" s="34">
        <f>IF(((AND($D$69&gt;0,$E$12&gt;0))),(E12/(D69)),0)</f>
        <v>33.333333333333336</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2</v>
      </c>
      <c r="P12" s="42">
        <f t="shared" si="4"/>
        <v>14</v>
      </c>
      <c r="Q12" s="42">
        <f>(C69*L69)-C12</f>
        <v>33</v>
      </c>
      <c r="R12" s="42">
        <f t="shared" si="5"/>
        <v>50</v>
      </c>
      <c r="S12" s="30">
        <f t="shared" si="6"/>
        <v>1250</v>
      </c>
      <c r="T12" s="30">
        <f t="shared" si="7"/>
        <v>74025</v>
      </c>
      <c r="U12" s="31">
        <f t="shared" si="8"/>
        <v>1.6886187098953058E-2</v>
      </c>
    </row>
    <row r="13" spans="2:21" ht="18" customHeight="1" x14ac:dyDescent="0.25">
      <c r="B13" s="32" t="str">
        <f>'Data Entry'!A13</f>
        <v>8. Cases Resulting in Probation Placement</v>
      </c>
      <c r="C13" s="33">
        <f>'Data Entry'!C13</f>
        <v>46</v>
      </c>
      <c r="D13" s="34">
        <f>IF(((AND(C70&gt;0,C13&gt;0))),(C13/(C70)),0)</f>
        <v>328.57142857142856</v>
      </c>
      <c r="E13" s="33">
        <f>'Data Entry'!I13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1</v>
      </c>
      <c r="O13" s="42">
        <f>(D70*L70)-E13</f>
        <v>0</v>
      </c>
      <c r="P13" s="42">
        <f t="shared" si="4"/>
        <v>46</v>
      </c>
      <c r="Q13" s="42">
        <f>(C70*L70)-C13</f>
        <v>-32</v>
      </c>
      <c r="R13" s="42">
        <f t="shared" si="5"/>
        <v>15</v>
      </c>
      <c r="S13" s="30">
        <f t="shared" si="6"/>
        <v>15360</v>
      </c>
      <c r="T13" s="30">
        <f t="shared" si="7"/>
        <v>-21056</v>
      </c>
      <c r="U13" s="31">
        <f t="shared" si="8"/>
        <v>-0.72948328267477203</v>
      </c>
    </row>
    <row r="14" spans="2:21" ht="30.75" customHeight="1" x14ac:dyDescent="0.25">
      <c r="B14" s="32" t="str">
        <f>'Data Entry'!A14</f>
        <v xml:space="preserve">9. Cases Resulting in Confinement in Secure Juvenile Correctional Facilities </v>
      </c>
      <c r="C14" s="33">
        <f>'Data Entry'!C14</f>
        <v>1</v>
      </c>
      <c r="D14" s="34">
        <f>IF(((AND(C70&gt;0,C14&gt;0))), ((C14/(C70))),0)</f>
        <v>7.1428571428571423</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1</v>
      </c>
      <c r="P14" s="42">
        <f t="shared" si="4"/>
        <v>1</v>
      </c>
      <c r="Q14" s="42">
        <f>(C70*L70)-C14</f>
        <v>13.000000000000002</v>
      </c>
      <c r="R14" s="42">
        <f t="shared" si="5"/>
        <v>15.000000000000002</v>
      </c>
      <c r="S14" s="30">
        <f t="shared" si="6"/>
        <v>15.000000000000002</v>
      </c>
      <c r="T14" s="30">
        <f t="shared" si="7"/>
        <v>196.00000000000006</v>
      </c>
      <c r="U14" s="31">
        <f t="shared" si="8"/>
        <v>7.6530612244897947E-2</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47</v>
      </c>
      <c r="R15" s="42">
        <f t="shared" si="5"/>
        <v>50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17.786999999999999</v>
      </c>
      <c r="D42" s="56">
        <f>E6/1000</f>
        <v>0</v>
      </c>
      <c r="E42" s="56">
        <f>MAX(C42:D42)</f>
        <v>17.786999999999999</v>
      </c>
      <c r="G42" s="1" t="str">
        <f>B42</f>
        <v>per 1000 youth</v>
      </c>
      <c r="L42" s="57">
        <v>1000</v>
      </c>
      <c r="M42" s="57"/>
      <c r="R42" s="49"/>
    </row>
    <row r="43" spans="2:18" ht="15" hidden="1" customHeight="1" x14ac:dyDescent="0.25">
      <c r="B43" s="49" t="s">
        <v>87</v>
      </c>
      <c r="C43" s="56">
        <f>C7/100</f>
        <v>0.27</v>
      </c>
      <c r="D43" s="56">
        <f>E7/100</f>
        <v>0</v>
      </c>
      <c r="E43" s="56">
        <f>MAX(C43:D43,0)</f>
        <v>0.27</v>
      </c>
      <c r="G43" s="1" t="str">
        <f>B43</f>
        <v>per 100 arrests</v>
      </c>
      <c r="L43" s="57">
        <v>100</v>
      </c>
      <c r="M43" s="57"/>
      <c r="R43" s="49"/>
    </row>
    <row r="44" spans="2:18" ht="15" hidden="1" customHeight="1" x14ac:dyDescent="0.25">
      <c r="B44" s="49" t="s">
        <v>88</v>
      </c>
      <c r="C44" s="56">
        <f>C8/100</f>
        <v>1.6</v>
      </c>
      <c r="D44" s="56">
        <f>E8/100</f>
        <v>0.11</v>
      </c>
      <c r="E44" s="56">
        <f>MAX(C44:D44,0)</f>
        <v>1.6</v>
      </c>
      <c r="G44" s="1" t="str">
        <f>B44</f>
        <v>per 100 referrals</v>
      </c>
      <c r="L44" s="57">
        <v>100</v>
      </c>
      <c r="M44" s="57"/>
      <c r="R44" s="49"/>
    </row>
    <row r="45" spans="2:18" ht="15" hidden="1" customHeight="1" x14ac:dyDescent="0.25">
      <c r="B45" s="49" t="s">
        <v>89</v>
      </c>
      <c r="C45" s="49">
        <f>C11/100</f>
        <v>0.47</v>
      </c>
      <c r="D45" s="49">
        <f>E11/100</f>
        <v>0.03</v>
      </c>
      <c r="E45" s="56">
        <f>MAX(C45:D45,0)</f>
        <v>0.47</v>
      </c>
      <c r="G45" s="1" t="str">
        <f>B45</f>
        <v>per 100 youth petitioned</v>
      </c>
      <c r="L45" s="57">
        <v>100</v>
      </c>
      <c r="M45" s="57"/>
      <c r="R45" s="49"/>
    </row>
    <row r="46" spans="2:18" ht="15" hidden="1" customHeight="1" x14ac:dyDescent="0.25">
      <c r="B46" s="49" t="s">
        <v>90</v>
      </c>
      <c r="C46" s="49">
        <f>C12/100</f>
        <v>0.14000000000000001</v>
      </c>
      <c r="D46" s="49">
        <f>E12/100</f>
        <v>0.01</v>
      </c>
      <c r="E46" s="56">
        <f>MAX(C46:D46)</f>
        <v>0.14000000000000001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17.786999999999999</v>
      </c>
      <c r="D48" s="56">
        <f>D42</f>
        <v>0</v>
      </c>
      <c r="E48" s="56">
        <f>MAX(C48:D48)</f>
        <v>17.786999999999999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0.27</v>
      </c>
      <c r="D49" s="49">
        <f t="shared" si="9"/>
        <v>0</v>
      </c>
      <c r="E49" s="49">
        <f>MAX(C49:D49)</f>
        <v>0.27</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1.6</v>
      </c>
      <c r="D50" s="49">
        <f t="shared" si="9"/>
        <v>0.11</v>
      </c>
      <c r="E50" s="49">
        <f>MAX(C50:D50)</f>
        <v>1.6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0.47</v>
      </c>
      <c r="D51" s="49">
        <f>IF(($E45&gt;0),D45,D44)</f>
        <v>0.03</v>
      </c>
      <c r="E51" s="49">
        <f>MAX(C51:D51)</f>
        <v>0.47</v>
      </c>
      <c r="G51" s="1" t="str">
        <f>G45</f>
        <v>per 100 youth petitioned</v>
      </c>
      <c r="L51" s="58">
        <f>IF(($E45&gt;0),L45,L44)</f>
        <v>100</v>
      </c>
      <c r="M51" s="58"/>
    </row>
    <row r="52" spans="2:18" ht="15" hidden="1" customHeight="1" x14ac:dyDescent="0.25">
      <c r="B52" s="49" t="str">
        <f>IF(($E46&gt;0),B46,B45)</f>
        <v>per 100 youth found delinquent</v>
      </c>
      <c r="C52" s="49">
        <f>IF(($E46&gt;0),C46,C45)</f>
        <v>0.14000000000000001</v>
      </c>
      <c r="D52" s="49">
        <f>IF(($E46&gt;0),D46,D45)</f>
        <v>0.01</v>
      </c>
      <c r="E52" s="56">
        <f>MAX(C52:D52)</f>
        <v>0.14000000000000001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17.786999999999999</v>
      </c>
      <c r="D54" s="56">
        <f>D48</f>
        <v>0</v>
      </c>
      <c r="E54" s="56">
        <f>MAX(C54:D54)</f>
        <v>17.786999999999999</v>
      </c>
      <c r="G54" s="1" t="str">
        <f>G48</f>
        <v>per 1000 youth</v>
      </c>
      <c r="L54" s="58">
        <f>L48</f>
        <v>1000</v>
      </c>
      <c r="M54" s="58"/>
    </row>
    <row r="55" spans="2:18" ht="15" hidden="1" customHeight="1" x14ac:dyDescent="0.25">
      <c r="B55" s="49" t="str">
        <f t="shared" ref="B55:D56" si="10">IF(($E49&gt;0),B49,B48)</f>
        <v>per 100 arrests</v>
      </c>
      <c r="C55" s="49">
        <f t="shared" si="10"/>
        <v>0.27</v>
      </c>
      <c r="D55" s="49">
        <f t="shared" si="10"/>
        <v>0</v>
      </c>
      <c r="E55" s="49">
        <f>MAX(C55:D55)</f>
        <v>0.27</v>
      </c>
      <c r="G55" s="1" t="str">
        <f>G49</f>
        <v>per 100 arrests</v>
      </c>
      <c r="L55" s="58">
        <f>IF(($E49&gt;0),L49,L48)</f>
        <v>100</v>
      </c>
      <c r="M55" s="58"/>
    </row>
    <row r="56" spans="2:18" ht="15" hidden="1" customHeight="1" x14ac:dyDescent="0.25">
      <c r="B56" s="49" t="str">
        <f t="shared" si="10"/>
        <v>per 100 referrals</v>
      </c>
      <c r="C56" s="49">
        <f t="shared" si="10"/>
        <v>1.6</v>
      </c>
      <c r="D56" s="49">
        <f t="shared" si="10"/>
        <v>0.11</v>
      </c>
      <c r="E56" s="49">
        <f>MAX(C56:D56)</f>
        <v>1.6</v>
      </c>
      <c r="G56" s="1" t="str">
        <f>G50</f>
        <v>per 100 referrals</v>
      </c>
      <c r="L56" s="58">
        <f>IF(($E50&gt;0),L50,L49)</f>
        <v>100</v>
      </c>
      <c r="M56" s="58"/>
    </row>
    <row r="57" spans="2:18" ht="15" hidden="1" customHeight="1" x14ac:dyDescent="0.25">
      <c r="B57" s="49" t="str">
        <f>IF(($E51&gt;0),B51,B49)</f>
        <v>per 100 youth petitioned</v>
      </c>
      <c r="C57" s="49">
        <f>IF(($E51&gt;0),C51,C50)</f>
        <v>0.47</v>
      </c>
      <c r="D57" s="49">
        <f>IF(($E51&gt;0),D51,D50)</f>
        <v>0.03</v>
      </c>
      <c r="E57" s="49">
        <f>MAX(C57:D57)</f>
        <v>0.47</v>
      </c>
      <c r="G57" s="1" t="str">
        <f>G51</f>
        <v>per 100 youth petitioned</v>
      </c>
      <c r="L57" s="58">
        <f>IF(($E51&gt;0),L51,L50)</f>
        <v>100</v>
      </c>
      <c r="M57" s="58"/>
    </row>
    <row r="58" spans="2:18" ht="15" hidden="1" customHeight="1" x14ac:dyDescent="0.25">
      <c r="B58" s="49" t="str">
        <f>IF(($E52&gt;0),B52,B51)</f>
        <v>per 100 youth found delinquent</v>
      </c>
      <c r="C58" s="49">
        <f>IF(($E52&gt;0),C52,C51)</f>
        <v>0.14000000000000001</v>
      </c>
      <c r="D58" s="49">
        <f>IF(($E52&gt;0),D52,D51)</f>
        <v>0.01</v>
      </c>
      <c r="E58" s="56">
        <f>MAX(C58:D58)</f>
        <v>0.14000000000000001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17.786999999999999</v>
      </c>
      <c r="D60" s="56">
        <f>D54</f>
        <v>0</v>
      </c>
      <c r="E60" s="56">
        <f>MAX(C60:D60)</f>
        <v>17.786999999999999</v>
      </c>
      <c r="G60" s="1" t="str">
        <f>G54</f>
        <v>per 1000 youth</v>
      </c>
      <c r="L60" s="58">
        <f>L54</f>
        <v>1000</v>
      </c>
      <c r="M60" s="58"/>
    </row>
    <row r="61" spans="2:18" ht="15" hidden="1" customHeight="1" x14ac:dyDescent="0.25">
      <c r="B61" s="49" t="str">
        <f t="shared" ref="B61:D62" si="11">IF(($E55&gt;0),B55,B54)</f>
        <v>per 100 arrests</v>
      </c>
      <c r="C61" s="49">
        <f t="shared" si="11"/>
        <v>0.27</v>
      </c>
      <c r="D61" s="49">
        <f t="shared" si="11"/>
        <v>0</v>
      </c>
      <c r="E61" s="49">
        <f>MAX(C61:D61)</f>
        <v>0.27</v>
      </c>
      <c r="G61" s="1" t="str">
        <f>G55</f>
        <v>per 100 arrests</v>
      </c>
      <c r="L61" s="58">
        <f>IF(($E55&gt;0),L55,L54)</f>
        <v>100</v>
      </c>
      <c r="M61" s="58"/>
    </row>
    <row r="62" spans="2:18" ht="15" hidden="1" customHeight="1" x14ac:dyDescent="0.25">
      <c r="B62" s="49" t="str">
        <f t="shared" si="11"/>
        <v>per 100 referrals</v>
      </c>
      <c r="C62" s="49">
        <f t="shared" si="11"/>
        <v>1.6</v>
      </c>
      <c r="D62" s="49">
        <f t="shared" si="11"/>
        <v>0.11</v>
      </c>
      <c r="E62" s="49">
        <f>MAX(C62:D62)</f>
        <v>1.6</v>
      </c>
      <c r="G62" s="1" t="str">
        <f>G56</f>
        <v>per 100 referrals</v>
      </c>
      <c r="L62" s="58">
        <f>IF(($E56&gt;0),L56,L55)</f>
        <v>100</v>
      </c>
      <c r="M62" s="58"/>
    </row>
    <row r="63" spans="2:18" ht="15" hidden="1" customHeight="1" x14ac:dyDescent="0.25">
      <c r="B63" s="49" t="str">
        <f>IF(($E57&gt;0),B57,B55)</f>
        <v>per 100 youth petitioned</v>
      </c>
      <c r="C63" s="49">
        <f>IF(($E57&gt;0),C57,C56)</f>
        <v>0.47</v>
      </c>
      <c r="D63" s="49">
        <f>IF(($E57&gt;0),D57,D56)</f>
        <v>0.03</v>
      </c>
      <c r="E63" s="49">
        <f>MAX(C63:D63)</f>
        <v>0.47</v>
      </c>
      <c r="G63" s="1" t="str">
        <f>G57</f>
        <v>per 100 youth petitioned</v>
      </c>
      <c r="L63" s="58">
        <f>IF(($E57&gt;0),L57,L56)</f>
        <v>100</v>
      </c>
      <c r="M63" s="58"/>
    </row>
    <row r="64" spans="2:18" ht="15" hidden="1" customHeight="1" x14ac:dyDescent="0.25">
      <c r="B64" s="49" t="str">
        <f>IF(($E58&gt;0),B58,B57)</f>
        <v>per 100 youth found delinquent</v>
      </c>
      <c r="C64" s="49">
        <f>IF(($E58&gt;0),C58,C57)</f>
        <v>0.14000000000000001</v>
      </c>
      <c r="D64" s="49">
        <f>IF(($E58&gt;0),D58,D57)</f>
        <v>0.01</v>
      </c>
      <c r="E64" s="56">
        <f>MAX(C64:D64)</f>
        <v>0.14000000000000001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17.786999999999999</v>
      </c>
      <c r="D66" s="56">
        <f>D60</f>
        <v>0</v>
      </c>
      <c r="E66" s="56">
        <f>MAX(C66:D66)</f>
        <v>17.786999999999999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0.27</v>
      </c>
      <c r="D67" s="49">
        <f t="shared" si="12"/>
        <v>0</v>
      </c>
      <c r="E67" s="49">
        <f>MAX(C67:D67)</f>
        <v>0.27</v>
      </c>
      <c r="G67" s="1" t="str">
        <f>G61</f>
        <v>per 100 arrests</v>
      </c>
      <c r="L67" s="58">
        <f>IF(($E61&gt;0),L61,L60)</f>
        <v>100</v>
      </c>
      <c r="M67" s="58">
        <f>IF((B67=G67),1,2)</f>
        <v>1</v>
      </c>
    </row>
    <row r="68" spans="2:13" ht="15" hidden="1" customHeight="1" x14ac:dyDescent="0.25">
      <c r="B68" s="49" t="str">
        <f t="shared" si="12"/>
        <v>per 100 referrals</v>
      </c>
      <c r="C68" s="49">
        <f t="shared" si="12"/>
        <v>1.6</v>
      </c>
      <c r="D68" s="49">
        <f t="shared" si="12"/>
        <v>0.11</v>
      </c>
      <c r="E68" s="49">
        <f>MAX(C68:D68)</f>
        <v>1.6</v>
      </c>
      <c r="G68" s="1" t="str">
        <f>G62</f>
        <v>per 100 referrals</v>
      </c>
      <c r="L68" s="58">
        <f>IF(($E62&gt;0),L62,L61)</f>
        <v>100</v>
      </c>
      <c r="M68" s="58">
        <f>IF((B68=G68),1,2)</f>
        <v>1</v>
      </c>
    </row>
    <row r="69" spans="2:13" ht="15" hidden="1" customHeight="1" x14ac:dyDescent="0.25">
      <c r="B69" s="49" t="str">
        <f>IF(($E63&gt;0),B63,B61)</f>
        <v>per 100 youth petitioned</v>
      </c>
      <c r="C69" s="49">
        <f>IF(($E63&gt;0),C63,C62)</f>
        <v>0.47</v>
      </c>
      <c r="D69" s="49">
        <f>IF(($E63&gt;0),D63,D62)</f>
        <v>0.03</v>
      </c>
      <c r="E69" s="49">
        <f>MAX(C69:D69)</f>
        <v>0.47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0.14000000000000001</v>
      </c>
      <c r="D70" s="49">
        <f>IF(($E64&gt;0),D64,D63)</f>
        <v>0.01</v>
      </c>
      <c r="E70" s="56">
        <f>MAX(C70:D70)</f>
        <v>0.14000000000000001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Washtenaw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17787</v>
      </c>
      <c r="D6" s="34"/>
      <c r="E6" s="33">
        <f>'Data Entry'!J6</f>
        <v>9494</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27</v>
      </c>
      <c r="D7" s="34">
        <f>IF((AND(C66&gt;0,C7&gt;0)),(C7/C66),0)</f>
        <v>1.5179625569235959</v>
      </c>
      <c r="E7" s="33">
        <f>'Data Entry'!J7</f>
        <v>85</v>
      </c>
      <c r="F7" s="34">
        <f>IF((AND($E$7&gt;0,$D$66&gt;0)),($E$7/$D$66),0)</f>
        <v>8.9530229618706549</v>
      </c>
      <c r="G7" s="39">
        <f t="shared" ref="G7:G15" si="0">IF(L$6=100,"*",IF(M7=FALSE,"--",IF(K7=20,"**",($F7/$D7))))</f>
        <v>5.8980525712145679</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85</v>
      </c>
      <c r="O7" s="42">
        <f>E6-E7</f>
        <v>9409</v>
      </c>
      <c r="P7" s="42">
        <f t="shared" ref="P7:P15" si="4">C7</f>
        <v>27</v>
      </c>
      <c r="Q7" s="42">
        <f>C6-C7</f>
        <v>17760</v>
      </c>
      <c r="R7" s="42">
        <f t="shared" ref="R7:R15" si="5">SUM(N7:Q7)</f>
        <v>27281</v>
      </c>
      <c r="S7" s="30">
        <f t="shared" ref="S7:S15" si="6">R7*((((N7*Q7)-(O7*P7))^2))</f>
        <v>4.3006406236572968E+16</v>
      </c>
      <c r="T7" s="30">
        <f t="shared" ref="T7:T15" si="7">(N7+O7)*(P7+Q7)*(N7+P7)*(O7+Q7)</f>
        <v>513858575829984</v>
      </c>
      <c r="U7" s="31">
        <f t="shared" ref="U7:U15" si="8">IF((S7&gt;0),S7/T7,"- -")</f>
        <v>83.693078717444877</v>
      </c>
    </row>
    <row r="8" spans="2:21" ht="18" customHeight="1" x14ac:dyDescent="0.25">
      <c r="B8" s="32" t="str">
        <f>'Data Entry'!A8</f>
        <v>3. Refer to Juvenile Court</v>
      </c>
      <c r="C8" s="33">
        <f>'Data Entry'!C8</f>
        <v>160</v>
      </c>
      <c r="D8" s="34">
        <f>IF((AND(C67&gt;0,C8&gt;0)),(C8/C67),0)</f>
        <v>592.59259259259261</v>
      </c>
      <c r="E8" s="33">
        <f>'Data Entry'!J8</f>
        <v>245</v>
      </c>
      <c r="F8" s="34">
        <f>IF((AND($E$8&gt;0,$D$67&gt;0)),($E8/$D67),0)</f>
        <v>288.23529411764707</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245</v>
      </c>
      <c r="O8" s="42">
        <f>((D67*L67)-E8)+0.05</f>
        <v>-159.94999999999999</v>
      </c>
      <c r="P8" s="42">
        <f t="shared" si="4"/>
        <v>160</v>
      </c>
      <c r="Q8" s="42">
        <f>(C$67*L67)-C8</f>
        <v>-133</v>
      </c>
      <c r="R8" s="42">
        <f t="shared" si="5"/>
        <v>112.05000000000001</v>
      </c>
      <c r="S8" s="30">
        <f t="shared" si="6"/>
        <v>5479474590.4500008</v>
      </c>
      <c r="T8" s="30">
        <f t="shared" si="7"/>
        <v>-272449871.66250002</v>
      </c>
      <c r="U8" s="31">
        <f t="shared" si="8"/>
        <v>-20.111863356785701</v>
      </c>
    </row>
    <row r="9" spans="2:21" ht="18" customHeight="1" x14ac:dyDescent="0.25">
      <c r="B9" s="32" t="str">
        <f>'Data Entry'!A9</f>
        <v xml:space="preserve">4. Cases Diverted </v>
      </c>
      <c r="C9" s="33">
        <f>'Data Entry'!C9</f>
        <v>81</v>
      </c>
      <c r="D9" s="34">
        <f>IF((AND(C68&gt;0,C9&gt;0)),((C9/C68)),0)</f>
        <v>50.625</v>
      </c>
      <c r="E9" s="33">
        <f>'Data Entry'!J9</f>
        <v>126</v>
      </c>
      <c r="F9" s="34">
        <f>IF((AND($E$9&gt;0,$D$68&gt;0)),(($E$9/$D$68)),0)</f>
        <v>51.428571428571423</v>
      </c>
      <c r="G9" s="39">
        <f t="shared" si="0"/>
        <v>1.0158730158730158</v>
      </c>
      <c r="H9" s="40"/>
      <c r="I9" s="41"/>
      <c r="J9" s="40">
        <f>IF((ABS($U9)&gt;Defaults!D$7),1,2)</f>
        <v>2</v>
      </c>
      <c r="K9" s="39">
        <f>IF((AND(N9&gt;Defaults!B$12,(N9+O9)&gt;Defaults!B$13, P9 &gt; Defaults!B$12, (P9+Q9) &gt; Defaults!B$13)),1,20)</f>
        <v>1</v>
      </c>
      <c r="L9" s="1">
        <f t="shared" si="1"/>
        <v>2</v>
      </c>
      <c r="M9" s="1" t="b">
        <f t="shared" si="2"/>
        <v>1</v>
      </c>
      <c r="N9" s="42">
        <f t="shared" si="3"/>
        <v>126</v>
      </c>
      <c r="O9" s="42">
        <f>(D$68*L68)-E9</f>
        <v>119.00000000000003</v>
      </c>
      <c r="P9" s="42">
        <f t="shared" si="4"/>
        <v>81</v>
      </c>
      <c r="Q9" s="42">
        <f>(C$68*L68)-C9</f>
        <v>79</v>
      </c>
      <c r="R9" s="42">
        <f t="shared" si="5"/>
        <v>405</v>
      </c>
      <c r="S9" s="30">
        <f t="shared" si="6"/>
        <v>40186124.999999538</v>
      </c>
      <c r="T9" s="30">
        <f t="shared" si="7"/>
        <v>1606651200.0000007</v>
      </c>
      <c r="U9" s="31">
        <f t="shared" si="8"/>
        <v>2.5012351778655829E-2</v>
      </c>
    </row>
    <row r="10" spans="2:21" ht="18" customHeight="1" x14ac:dyDescent="0.25">
      <c r="B10" s="32" t="str">
        <f>'Data Entry'!A10</f>
        <v>5. Cases Involving Secure Detention</v>
      </c>
      <c r="C10" s="33">
        <f>'Data Entry'!C10</f>
        <v>24</v>
      </c>
      <c r="D10" s="34">
        <f>IF(((AND(C68&gt;0,C10&gt;0))),(C10/(C68)),0)</f>
        <v>15</v>
      </c>
      <c r="E10" s="33">
        <f>'Data Entry'!J10</f>
        <v>70</v>
      </c>
      <c r="F10" s="34">
        <f>IF(((AND($E$10&gt;0,$D$68&gt;0))),($E$10/($D$68)),0)</f>
        <v>28.571428571428569</v>
      </c>
      <c r="G10" s="39">
        <f t="shared" si="0"/>
        <v>1.9047619047619047</v>
      </c>
      <c r="H10" s="40"/>
      <c r="I10" s="41"/>
      <c r="J10" s="40">
        <f>IF((ABS($U10)&gt;Defaults!D$7),1,2)</f>
        <v>1</v>
      </c>
      <c r="K10" s="39">
        <f>IF((AND(N10&gt;Defaults!B$12,(N10+O10)&gt;Defaults!B$13, P10 &gt; Defaults!B$12, (P10+Q10) &gt; Defaults!B$13)),1,20)</f>
        <v>1</v>
      </c>
      <c r="L10" s="1">
        <f t="shared" si="1"/>
        <v>1</v>
      </c>
      <c r="M10" s="1" t="b">
        <f t="shared" si="2"/>
        <v>1</v>
      </c>
      <c r="N10" s="42">
        <f t="shared" si="3"/>
        <v>70</v>
      </c>
      <c r="O10" s="42">
        <f>(D$68*L68)-E10</f>
        <v>175.00000000000003</v>
      </c>
      <c r="P10" s="42">
        <f t="shared" si="4"/>
        <v>24</v>
      </c>
      <c r="Q10" s="42">
        <f>(C$68*L68)-C10</f>
        <v>136</v>
      </c>
      <c r="R10" s="42">
        <f t="shared" si="5"/>
        <v>405</v>
      </c>
      <c r="S10" s="30">
        <f t="shared" si="6"/>
        <v>11462471999.999996</v>
      </c>
      <c r="T10" s="30">
        <f t="shared" si="7"/>
        <v>1145972800.0000002</v>
      </c>
      <c r="U10" s="31">
        <f t="shared" si="8"/>
        <v>10.002394472189911</v>
      </c>
    </row>
    <row r="11" spans="2:21" ht="18" customHeight="1" x14ac:dyDescent="0.25">
      <c r="B11" s="32" t="str">
        <f>'Data Entry'!A11</f>
        <v>6. Cases Petitioned (Charge Filed)</v>
      </c>
      <c r="C11" s="33">
        <f>'Data Entry'!C11</f>
        <v>47</v>
      </c>
      <c r="D11" s="34">
        <f>IF(((AND(C68&gt;0,C11&gt;0))),(C11/(C68)),0)</f>
        <v>29.375</v>
      </c>
      <c r="E11" s="33">
        <f>'Data Entry'!J11</f>
        <v>90</v>
      </c>
      <c r="F11" s="34">
        <f>IF(((AND($E$11&gt;0,$D$68&gt;0))),($E$11/($D$68)),0)</f>
        <v>36.734693877551017</v>
      </c>
      <c r="G11" s="39">
        <f t="shared" si="0"/>
        <v>1.250542770299609</v>
      </c>
      <c r="H11" s="40"/>
      <c r="I11" s="41"/>
      <c r="J11" s="40">
        <f>IF((ABS($U11)&gt;Defaults!D$7),1,2)</f>
        <v>2</v>
      </c>
      <c r="K11" s="39">
        <f>IF((AND(N11&gt;Defaults!B$12,(N11+O11)&gt;Defaults!B$13, P11 &gt; Defaults!B$12, (P11+Q11) &gt; Defaults!B$13)),1,20)</f>
        <v>1</v>
      </c>
      <c r="L11" s="1">
        <f t="shared" si="1"/>
        <v>2</v>
      </c>
      <c r="M11" s="1" t="b">
        <f t="shared" si="2"/>
        <v>1</v>
      </c>
      <c r="N11" s="42">
        <f t="shared" si="3"/>
        <v>90</v>
      </c>
      <c r="O11" s="42">
        <f>(D$68*L68)-E11</f>
        <v>155.00000000000003</v>
      </c>
      <c r="P11" s="42">
        <f t="shared" si="4"/>
        <v>47</v>
      </c>
      <c r="Q11" s="42">
        <f>(C$68*L68)-C11</f>
        <v>113</v>
      </c>
      <c r="R11" s="42">
        <f t="shared" si="5"/>
        <v>405</v>
      </c>
      <c r="S11" s="30">
        <f t="shared" si="6"/>
        <v>3370906124.9999976</v>
      </c>
      <c r="T11" s="30">
        <f t="shared" si="7"/>
        <v>1439267200.0000002</v>
      </c>
      <c r="U11" s="31">
        <f t="shared" si="8"/>
        <v>2.3420988993565595</v>
      </c>
    </row>
    <row r="12" spans="2:21" ht="18" customHeight="1" x14ac:dyDescent="0.25">
      <c r="B12" s="32" t="str">
        <f>'Data Entry'!A12</f>
        <v>7. Cases Resulting in Delinquent Findings</v>
      </c>
      <c r="C12" s="33">
        <f>'Data Entry'!C12</f>
        <v>14</v>
      </c>
      <c r="D12" s="34">
        <f>IF(((AND(C69&gt;0,C12&gt;0))),(C12/(C69)),0)</f>
        <v>29.787234042553195</v>
      </c>
      <c r="E12" s="33">
        <f>'Data Entry'!J12</f>
        <v>46</v>
      </c>
      <c r="F12" s="34">
        <f>IF(((AND($D$69&gt;0,$E$12&gt;0))),(E12/(D69)),0)</f>
        <v>51.111111111111107</v>
      </c>
      <c r="G12" s="39">
        <f t="shared" si="0"/>
        <v>1.7158730158730156</v>
      </c>
      <c r="H12" s="40"/>
      <c r="I12" s="41"/>
      <c r="J12" s="40">
        <f>IF((ABS($U12)&gt;Defaults!D$7),1,2)</f>
        <v>1</v>
      </c>
      <c r="K12" s="39">
        <f>IF((AND(N12&gt;Defaults!B$12,(N12+O12)&gt;Defaults!B$13, P12 &gt; Defaults!B$12, (P12+Q12) &gt; Defaults!B$13)),1,20)</f>
        <v>1</v>
      </c>
      <c r="L12" s="1">
        <f t="shared" si="1"/>
        <v>1</v>
      </c>
      <c r="M12" s="1" t="b">
        <f t="shared" si="2"/>
        <v>1</v>
      </c>
      <c r="N12" s="42">
        <f t="shared" si="3"/>
        <v>46</v>
      </c>
      <c r="O12" s="42">
        <f>(D69*L69)-E12</f>
        <v>44</v>
      </c>
      <c r="P12" s="42">
        <f t="shared" si="4"/>
        <v>14</v>
      </c>
      <c r="Q12" s="42">
        <f>(C69*L69)-C12</f>
        <v>33</v>
      </c>
      <c r="R12" s="42">
        <f t="shared" si="5"/>
        <v>137</v>
      </c>
      <c r="S12" s="30">
        <f t="shared" si="6"/>
        <v>111463748</v>
      </c>
      <c r="T12" s="30">
        <f t="shared" si="7"/>
        <v>19542600</v>
      </c>
      <c r="U12" s="31">
        <f t="shared" si="8"/>
        <v>5.7036294044804681</v>
      </c>
    </row>
    <row r="13" spans="2:21" ht="18" customHeight="1" x14ac:dyDescent="0.25">
      <c r="B13" s="32" t="str">
        <f>'Data Entry'!A13</f>
        <v>8. Cases Resulting in Probation Placement</v>
      </c>
      <c r="C13" s="33">
        <f>'Data Entry'!C13</f>
        <v>46</v>
      </c>
      <c r="D13" s="34">
        <f>IF(((AND(C70&gt;0,C13&gt;0))),(C13/(C70)),0)</f>
        <v>328.57142857142856</v>
      </c>
      <c r="E13" s="33">
        <f>'Data Entry'!J13</f>
        <v>86</v>
      </c>
      <c r="F13" s="34">
        <f>IF(((AND($D$70&gt;0,$E$13&gt;0))),($E$13/($D$70)),0)</f>
        <v>186.95652173913044</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86</v>
      </c>
      <c r="O13" s="42">
        <f>(D70*L70)-E13</f>
        <v>-40</v>
      </c>
      <c r="P13" s="42">
        <f t="shared" si="4"/>
        <v>46</v>
      </c>
      <c r="Q13" s="42">
        <f>(C70*L70)-C13</f>
        <v>-32</v>
      </c>
      <c r="R13" s="42">
        <f t="shared" si="5"/>
        <v>60</v>
      </c>
      <c r="S13" s="30">
        <f t="shared" si="6"/>
        <v>49904640</v>
      </c>
      <c r="T13" s="30">
        <f t="shared" si="7"/>
        <v>-6120576</v>
      </c>
      <c r="U13" s="31">
        <f t="shared" si="8"/>
        <v>-8.1535855448898928</v>
      </c>
    </row>
    <row r="14" spans="2:21" ht="30.75" customHeight="1" x14ac:dyDescent="0.25">
      <c r="B14" s="32" t="str">
        <f>'Data Entry'!A14</f>
        <v xml:space="preserve">9. Cases Resulting in Confinement in Secure Juvenile Correctional Facilities </v>
      </c>
      <c r="C14" s="33">
        <f>'Data Entry'!C14</f>
        <v>1</v>
      </c>
      <c r="D14" s="34">
        <f>IF(((AND(C70&gt;0,C14&gt;0))), ((C14/(C70))),0)</f>
        <v>7.1428571428571423</v>
      </c>
      <c r="E14" s="33">
        <f>'Data Entry'!J14</f>
        <v>2</v>
      </c>
      <c r="F14" s="34">
        <f>IF(((AND($D$70&gt;0,$E$14&gt;0))), (($E$14/($D$70))),0)</f>
        <v>4.3478260869565215</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2</v>
      </c>
      <c r="O14" s="42">
        <f>(D70*L70)-E14</f>
        <v>44</v>
      </c>
      <c r="P14" s="42">
        <f t="shared" si="4"/>
        <v>1</v>
      </c>
      <c r="Q14" s="42">
        <f>(C70*L70)-C14</f>
        <v>13.000000000000002</v>
      </c>
      <c r="R14" s="42">
        <f t="shared" si="5"/>
        <v>60</v>
      </c>
      <c r="S14" s="30">
        <f t="shared" si="6"/>
        <v>19439.999999999993</v>
      </c>
      <c r="T14" s="30">
        <f t="shared" si="7"/>
        <v>110124.00000000003</v>
      </c>
      <c r="U14" s="31">
        <f t="shared" si="8"/>
        <v>0.17652827721477596</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90</v>
      </c>
      <c r="P15" s="42">
        <f t="shared" si="4"/>
        <v>0</v>
      </c>
      <c r="Q15" s="42">
        <f>(C69*L69)-C15</f>
        <v>47</v>
      </c>
      <c r="R15" s="42">
        <f t="shared" si="5"/>
        <v>137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17.786999999999999</v>
      </c>
      <c r="D42" s="56">
        <f>E6/1000</f>
        <v>9.4939999999999998</v>
      </c>
      <c r="E42" s="56">
        <f>MAX(C42:D42)</f>
        <v>17.786999999999999</v>
      </c>
      <c r="G42" s="1" t="str">
        <f>B42</f>
        <v>per 1000 youth</v>
      </c>
      <c r="L42" s="57">
        <v>1000</v>
      </c>
      <c r="M42" s="57"/>
      <c r="R42" s="49"/>
    </row>
    <row r="43" spans="2:18" ht="15" hidden="1" customHeight="1" x14ac:dyDescent="0.25">
      <c r="B43" s="49" t="s">
        <v>87</v>
      </c>
      <c r="C43" s="56">
        <f>C7/100</f>
        <v>0.27</v>
      </c>
      <c r="D43" s="56">
        <f>E7/100</f>
        <v>0.85</v>
      </c>
      <c r="E43" s="56">
        <f>MAX(C43:D43,0)</f>
        <v>0.85</v>
      </c>
      <c r="G43" s="1" t="str">
        <f>B43</f>
        <v>per 100 arrests</v>
      </c>
      <c r="L43" s="57">
        <v>100</v>
      </c>
      <c r="M43" s="57"/>
      <c r="R43" s="49"/>
    </row>
    <row r="44" spans="2:18" ht="15" hidden="1" customHeight="1" x14ac:dyDescent="0.25">
      <c r="B44" s="49" t="s">
        <v>88</v>
      </c>
      <c r="C44" s="56">
        <f>C8/100</f>
        <v>1.6</v>
      </c>
      <c r="D44" s="56">
        <f>E8/100</f>
        <v>2.4500000000000002</v>
      </c>
      <c r="E44" s="56">
        <f>MAX(C44:D44,0)</f>
        <v>2.4500000000000002</v>
      </c>
      <c r="G44" s="1" t="str">
        <f>B44</f>
        <v>per 100 referrals</v>
      </c>
      <c r="L44" s="57">
        <v>100</v>
      </c>
      <c r="M44" s="57"/>
      <c r="R44" s="49"/>
    </row>
    <row r="45" spans="2:18" ht="15" hidden="1" customHeight="1" x14ac:dyDescent="0.25">
      <c r="B45" s="49" t="s">
        <v>89</v>
      </c>
      <c r="C45" s="49">
        <f>C11/100</f>
        <v>0.47</v>
      </c>
      <c r="D45" s="49">
        <f>E11/100</f>
        <v>0.9</v>
      </c>
      <c r="E45" s="56">
        <f>MAX(C45:D45,0)</f>
        <v>0.9</v>
      </c>
      <c r="G45" s="1" t="str">
        <f>B45</f>
        <v>per 100 youth petitioned</v>
      </c>
      <c r="L45" s="57">
        <v>100</v>
      </c>
      <c r="M45" s="57"/>
      <c r="R45" s="49"/>
    </row>
    <row r="46" spans="2:18" ht="15" hidden="1" customHeight="1" x14ac:dyDescent="0.25">
      <c r="B46" s="49" t="s">
        <v>90</v>
      </c>
      <c r="C46" s="49">
        <f>C12/100</f>
        <v>0.14000000000000001</v>
      </c>
      <c r="D46" s="49">
        <f>E12/100</f>
        <v>0.46</v>
      </c>
      <c r="E46" s="56">
        <f>MAX(C46:D46)</f>
        <v>0.46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17.786999999999999</v>
      </c>
      <c r="D48" s="56">
        <f>D42</f>
        <v>9.4939999999999998</v>
      </c>
      <c r="E48" s="56">
        <f>MAX(C48:D48)</f>
        <v>17.786999999999999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0.27</v>
      </c>
      <c r="D49" s="49">
        <f t="shared" si="9"/>
        <v>0.85</v>
      </c>
      <c r="E49" s="49">
        <f>MAX(C49:D49)</f>
        <v>0.85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1.6</v>
      </c>
      <c r="D50" s="49">
        <f t="shared" si="9"/>
        <v>2.4500000000000002</v>
      </c>
      <c r="E50" s="49">
        <f>MAX(C50:D50)</f>
        <v>2.4500000000000002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0.47</v>
      </c>
      <c r="D51" s="49">
        <f>IF(($E45&gt;0),D45,D44)</f>
        <v>0.9</v>
      </c>
      <c r="E51" s="49">
        <f>MAX(C51:D51)</f>
        <v>0.9</v>
      </c>
      <c r="G51" s="1" t="str">
        <f>G45</f>
        <v>per 100 youth petitioned</v>
      </c>
      <c r="L51" s="58">
        <f>IF(($E45&gt;0),L45,L44)</f>
        <v>100</v>
      </c>
      <c r="M51" s="58"/>
    </row>
    <row r="52" spans="2:18" ht="15" hidden="1" customHeight="1" x14ac:dyDescent="0.25">
      <c r="B52" s="49" t="str">
        <f>IF(($E46&gt;0),B46,B45)</f>
        <v>per 100 youth found delinquent</v>
      </c>
      <c r="C52" s="49">
        <f>IF(($E46&gt;0),C46,C45)</f>
        <v>0.14000000000000001</v>
      </c>
      <c r="D52" s="49">
        <f>IF(($E46&gt;0),D46,D45)</f>
        <v>0.46</v>
      </c>
      <c r="E52" s="56">
        <f>MAX(C52:D52)</f>
        <v>0.46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17.786999999999999</v>
      </c>
      <c r="D54" s="56">
        <f>D48</f>
        <v>9.4939999999999998</v>
      </c>
      <c r="E54" s="56">
        <f>MAX(C54:D54)</f>
        <v>17.786999999999999</v>
      </c>
      <c r="G54" s="1" t="str">
        <f>G48</f>
        <v>per 1000 youth</v>
      </c>
      <c r="L54" s="58">
        <f>L48</f>
        <v>1000</v>
      </c>
      <c r="M54" s="58"/>
    </row>
    <row r="55" spans="2:18" ht="15" hidden="1" customHeight="1" x14ac:dyDescent="0.25">
      <c r="B55" s="49" t="str">
        <f t="shared" ref="B55:D56" si="10">IF(($E49&gt;0),B49,B48)</f>
        <v>per 100 arrests</v>
      </c>
      <c r="C55" s="49">
        <f t="shared" si="10"/>
        <v>0.27</v>
      </c>
      <c r="D55" s="49">
        <f t="shared" si="10"/>
        <v>0.85</v>
      </c>
      <c r="E55" s="49">
        <f>MAX(C55:D55)</f>
        <v>0.85</v>
      </c>
      <c r="G55" s="1" t="str">
        <f>G49</f>
        <v>per 100 arrests</v>
      </c>
      <c r="L55" s="58">
        <f>IF(($E49&gt;0),L49,L48)</f>
        <v>100</v>
      </c>
      <c r="M55" s="58"/>
    </row>
    <row r="56" spans="2:18" ht="15" hidden="1" customHeight="1" x14ac:dyDescent="0.25">
      <c r="B56" s="49" t="str">
        <f t="shared" si="10"/>
        <v>per 100 referrals</v>
      </c>
      <c r="C56" s="49">
        <f t="shared" si="10"/>
        <v>1.6</v>
      </c>
      <c r="D56" s="49">
        <f t="shared" si="10"/>
        <v>2.4500000000000002</v>
      </c>
      <c r="E56" s="49">
        <f>MAX(C56:D56)</f>
        <v>2.4500000000000002</v>
      </c>
      <c r="G56" s="1" t="str">
        <f>G50</f>
        <v>per 100 referrals</v>
      </c>
      <c r="L56" s="58">
        <f>IF(($E50&gt;0),L50,L49)</f>
        <v>100</v>
      </c>
      <c r="M56" s="58"/>
    </row>
    <row r="57" spans="2:18" ht="15" hidden="1" customHeight="1" x14ac:dyDescent="0.25">
      <c r="B57" s="49" t="str">
        <f>IF(($E51&gt;0),B51,B49)</f>
        <v>per 100 youth petitioned</v>
      </c>
      <c r="C57" s="49">
        <f>IF(($E51&gt;0),C51,C50)</f>
        <v>0.47</v>
      </c>
      <c r="D57" s="49">
        <f>IF(($E51&gt;0),D51,D50)</f>
        <v>0.9</v>
      </c>
      <c r="E57" s="49">
        <f>MAX(C57:D57)</f>
        <v>0.9</v>
      </c>
      <c r="G57" s="1" t="str">
        <f>G51</f>
        <v>per 100 youth petitioned</v>
      </c>
      <c r="L57" s="58">
        <f>IF(($E51&gt;0),L51,L50)</f>
        <v>100</v>
      </c>
      <c r="M57" s="58"/>
    </row>
    <row r="58" spans="2:18" ht="15" hidden="1" customHeight="1" x14ac:dyDescent="0.25">
      <c r="B58" s="49" t="str">
        <f>IF(($E52&gt;0),B52,B51)</f>
        <v>per 100 youth found delinquent</v>
      </c>
      <c r="C58" s="49">
        <f>IF(($E52&gt;0),C52,C51)</f>
        <v>0.14000000000000001</v>
      </c>
      <c r="D58" s="49">
        <f>IF(($E52&gt;0),D52,D51)</f>
        <v>0.46</v>
      </c>
      <c r="E58" s="56">
        <f>MAX(C58:D58)</f>
        <v>0.46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17.786999999999999</v>
      </c>
      <c r="D60" s="56">
        <f>D54</f>
        <v>9.4939999999999998</v>
      </c>
      <c r="E60" s="56">
        <f>MAX(C60:D60)</f>
        <v>17.786999999999999</v>
      </c>
      <c r="G60" s="1" t="str">
        <f>G54</f>
        <v>per 1000 youth</v>
      </c>
      <c r="L60" s="58">
        <f>L54</f>
        <v>1000</v>
      </c>
      <c r="M60" s="58"/>
    </row>
    <row r="61" spans="2:18" ht="15" hidden="1" customHeight="1" x14ac:dyDescent="0.25">
      <c r="B61" s="49" t="str">
        <f t="shared" ref="B61:D62" si="11">IF(($E55&gt;0),B55,B54)</f>
        <v>per 100 arrests</v>
      </c>
      <c r="C61" s="49">
        <f t="shared" si="11"/>
        <v>0.27</v>
      </c>
      <c r="D61" s="49">
        <f t="shared" si="11"/>
        <v>0.85</v>
      </c>
      <c r="E61" s="49">
        <f>MAX(C61:D61)</f>
        <v>0.85</v>
      </c>
      <c r="G61" s="1" t="str">
        <f>G55</f>
        <v>per 100 arrests</v>
      </c>
      <c r="L61" s="58">
        <f>IF(($E55&gt;0),L55,L54)</f>
        <v>100</v>
      </c>
      <c r="M61" s="58"/>
    </row>
    <row r="62" spans="2:18" ht="15" hidden="1" customHeight="1" x14ac:dyDescent="0.25">
      <c r="B62" s="49" t="str">
        <f t="shared" si="11"/>
        <v>per 100 referrals</v>
      </c>
      <c r="C62" s="49">
        <f t="shared" si="11"/>
        <v>1.6</v>
      </c>
      <c r="D62" s="49">
        <f t="shared" si="11"/>
        <v>2.4500000000000002</v>
      </c>
      <c r="E62" s="49">
        <f>MAX(C62:D62)</f>
        <v>2.4500000000000002</v>
      </c>
      <c r="G62" s="1" t="str">
        <f>G56</f>
        <v>per 100 referrals</v>
      </c>
      <c r="L62" s="58">
        <f>IF(($E56&gt;0),L56,L55)</f>
        <v>100</v>
      </c>
      <c r="M62" s="58"/>
    </row>
    <row r="63" spans="2:18" ht="15" hidden="1" customHeight="1" x14ac:dyDescent="0.25">
      <c r="B63" s="49" t="str">
        <f>IF(($E57&gt;0),B57,B55)</f>
        <v>per 100 youth petitioned</v>
      </c>
      <c r="C63" s="49">
        <f>IF(($E57&gt;0),C57,C56)</f>
        <v>0.47</v>
      </c>
      <c r="D63" s="49">
        <f>IF(($E57&gt;0),D57,D56)</f>
        <v>0.9</v>
      </c>
      <c r="E63" s="49">
        <f>MAX(C63:D63)</f>
        <v>0.9</v>
      </c>
      <c r="G63" s="1" t="str">
        <f>G57</f>
        <v>per 100 youth petitioned</v>
      </c>
      <c r="L63" s="58">
        <f>IF(($E57&gt;0),L57,L56)</f>
        <v>100</v>
      </c>
      <c r="M63" s="58"/>
    </row>
    <row r="64" spans="2:18" ht="15" hidden="1" customHeight="1" x14ac:dyDescent="0.25">
      <c r="B64" s="49" t="str">
        <f>IF(($E58&gt;0),B58,B57)</f>
        <v>per 100 youth found delinquent</v>
      </c>
      <c r="C64" s="49">
        <f>IF(($E58&gt;0),C58,C57)</f>
        <v>0.14000000000000001</v>
      </c>
      <c r="D64" s="49">
        <f>IF(($E58&gt;0),D58,D57)</f>
        <v>0.46</v>
      </c>
      <c r="E64" s="56">
        <f>MAX(C64:D64)</f>
        <v>0.46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17.786999999999999</v>
      </c>
      <c r="D66" s="56">
        <f>D60</f>
        <v>9.4939999999999998</v>
      </c>
      <c r="E66" s="56">
        <f>MAX(C66:D66)</f>
        <v>17.786999999999999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0.27</v>
      </c>
      <c r="D67" s="49">
        <f t="shared" si="12"/>
        <v>0.85</v>
      </c>
      <c r="E67" s="49">
        <f>MAX(C67:D67)</f>
        <v>0.85</v>
      </c>
      <c r="G67" s="1" t="str">
        <f>G61</f>
        <v>per 100 arrests</v>
      </c>
      <c r="L67" s="58">
        <f>IF(($E61&gt;0),L61,L60)</f>
        <v>100</v>
      </c>
      <c r="M67" s="58">
        <f>IF((B67=G67),1,2)</f>
        <v>1</v>
      </c>
    </row>
    <row r="68" spans="2:13" ht="15" hidden="1" customHeight="1" x14ac:dyDescent="0.25">
      <c r="B68" s="49" t="str">
        <f t="shared" si="12"/>
        <v>per 100 referrals</v>
      </c>
      <c r="C68" s="49">
        <f t="shared" si="12"/>
        <v>1.6</v>
      </c>
      <c r="D68" s="49">
        <f t="shared" si="12"/>
        <v>2.4500000000000002</v>
      </c>
      <c r="E68" s="49">
        <f>MAX(C68:D68)</f>
        <v>2.4500000000000002</v>
      </c>
      <c r="G68" s="1" t="str">
        <f>G62</f>
        <v>per 100 referrals</v>
      </c>
      <c r="L68" s="58">
        <f>IF(($E62&gt;0),L62,L61)</f>
        <v>100</v>
      </c>
      <c r="M68" s="58">
        <f>IF((B68=G68),1,2)</f>
        <v>1</v>
      </c>
    </row>
    <row r="69" spans="2:13" ht="15" hidden="1" customHeight="1" x14ac:dyDescent="0.25">
      <c r="B69" s="49" t="str">
        <f>IF(($E63&gt;0),B63,B61)</f>
        <v>per 100 youth petitioned</v>
      </c>
      <c r="C69" s="49">
        <f>IF(($E63&gt;0),C63,C62)</f>
        <v>0.47</v>
      </c>
      <c r="D69" s="49">
        <f>IF(($E63&gt;0),D63,D62)</f>
        <v>0.9</v>
      </c>
      <c r="E69" s="49">
        <f>MAX(C69:D69)</f>
        <v>0.9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0.14000000000000001</v>
      </c>
      <c r="D70" s="49">
        <f>IF(($E64&gt;0),D64,D63)</f>
        <v>0.46</v>
      </c>
      <c r="E70" s="56">
        <f>MAX(C70:D70)</f>
        <v>0.46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Washtenaw</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11.672380677998655</v>
      </c>
      <c r="D7" s="72" t="str">
        <f>Hispanic!G7</f>
        <v>**</v>
      </c>
      <c r="E7" s="72" t="str">
        <f>Asian!G7</f>
        <v>**</v>
      </c>
      <c r="F7" s="72" t="str">
        <f>Hawaiian!G7</f>
        <v>*</v>
      </c>
      <c r="G7" s="72" t="str">
        <f>'Am Indian'!G7</f>
        <v>*</v>
      </c>
      <c r="H7" s="72" t="str">
        <f>'Other - Mixed'!G7</f>
        <v>*</v>
      </c>
      <c r="I7" s="73">
        <f>'All Minorities'!G7</f>
        <v>5.8980525712145679</v>
      </c>
      <c r="L7" s="1">
        <f>'Black or African-American'!L7</f>
        <v>1</v>
      </c>
      <c r="M7" s="1">
        <f>Hispanic!L7</f>
        <v>40</v>
      </c>
      <c r="N7" s="1">
        <f>Asian!L7</f>
        <v>40</v>
      </c>
      <c r="O7" s="1" t="e">
        <f>Hawaiian!L7</f>
        <v>#VALUE!</v>
      </c>
      <c r="P7" s="1">
        <f>'Am Indian'!L7</f>
        <v>139</v>
      </c>
      <c r="Q7" s="1" t="e">
        <f>'Other - Mixed'!L7</f>
        <v>#VALUE!</v>
      </c>
      <c r="R7" s="1">
        <f>'All Minorities'!L7</f>
        <v>1</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40</v>
      </c>
      <c r="O8" s="1">
        <f>Hawaiian!L8</f>
        <v>139</v>
      </c>
      <c r="P8" s="1">
        <f>'Am Indian'!L8</f>
        <v>139</v>
      </c>
      <c r="Q8" s="1">
        <f>'Other - Mixed'!L8</f>
        <v>119</v>
      </c>
      <c r="R8" s="1">
        <f>'All Minorities'!L8</f>
        <v>20</v>
      </c>
    </row>
    <row r="9" spans="2:18" ht="15" customHeight="1" x14ac:dyDescent="0.25">
      <c r="B9" s="71" t="s">
        <v>10</v>
      </c>
      <c r="C9" s="72">
        <f>'Black or African-American'!$G9</f>
        <v>0.95206317428539633</v>
      </c>
      <c r="D9" s="72" t="str">
        <f>Hispanic!G9</f>
        <v>**</v>
      </c>
      <c r="E9" s="72" t="str">
        <f>Asian!G9</f>
        <v>**</v>
      </c>
      <c r="F9" s="72" t="str">
        <f>Hawaiian!G9</f>
        <v>*</v>
      </c>
      <c r="G9" s="72" t="str">
        <f>'Am Indian'!G9</f>
        <v>*</v>
      </c>
      <c r="H9" s="72" t="str">
        <f>'Other - Mixed'!G9</f>
        <v>*</v>
      </c>
      <c r="I9" s="73">
        <f>'All Minorities'!G9</f>
        <v>1.0158730158730158</v>
      </c>
      <c r="L9" s="1">
        <f>'Black or African-American'!L9</f>
        <v>2</v>
      </c>
      <c r="M9" s="1">
        <f>Hispanic!L9</f>
        <v>20</v>
      </c>
      <c r="N9" s="1">
        <f>Asian!L9</f>
        <v>40</v>
      </c>
      <c r="O9" s="1" t="e">
        <f>Hawaiian!L9</f>
        <v>#VALUE!</v>
      </c>
      <c r="P9" s="1" t="e">
        <f>'Am Indian'!L9</f>
        <v>#VALUE!</v>
      </c>
      <c r="Q9" s="1">
        <f>'Other - Mixed'!L9</f>
        <v>139</v>
      </c>
      <c r="R9" s="1">
        <f>'All Minorities'!L9</f>
        <v>2</v>
      </c>
    </row>
    <row r="10" spans="2:18" ht="15" customHeight="1" x14ac:dyDescent="0.25">
      <c r="B10" s="71" t="s">
        <v>11</v>
      </c>
      <c r="C10" s="72">
        <f>'Black or African-American'!$G10</f>
        <v>2.0420420420420418</v>
      </c>
      <c r="D10" s="72" t="str">
        <f>Hispanic!G10</f>
        <v>**</v>
      </c>
      <c r="E10" s="72" t="str">
        <f>Asian!G10</f>
        <v>**</v>
      </c>
      <c r="F10" s="72" t="str">
        <f>Hawaiian!G10</f>
        <v>*</v>
      </c>
      <c r="G10" s="72" t="str">
        <f>'Am Indian'!G10</f>
        <v>*</v>
      </c>
      <c r="H10" s="72" t="str">
        <f>'Other - Mixed'!G10</f>
        <v>*</v>
      </c>
      <c r="I10" s="73">
        <f>'All Minorities'!G10</f>
        <v>1.9047619047619047</v>
      </c>
      <c r="L10" s="1">
        <f>'Black or African-American'!L10</f>
        <v>1</v>
      </c>
      <c r="M10" s="1">
        <f>Hispanic!L10</f>
        <v>40</v>
      </c>
      <c r="N10" s="1">
        <f>Asian!L10</f>
        <v>40</v>
      </c>
      <c r="O10" s="1" t="e">
        <f>Hawaiian!L10</f>
        <v>#VALUE!</v>
      </c>
      <c r="P10" s="1" t="e">
        <f>'Am Indian'!L10</f>
        <v>#VALUE!</v>
      </c>
      <c r="Q10" s="1">
        <f>'Other - Mixed'!L10</f>
        <v>139</v>
      </c>
      <c r="R10" s="1">
        <f>'All Minorities'!L10</f>
        <v>1</v>
      </c>
    </row>
    <row r="11" spans="2:18" ht="15" customHeight="1" x14ac:dyDescent="0.25">
      <c r="B11" s="71" t="s">
        <v>95</v>
      </c>
      <c r="C11" s="72">
        <f>'Black or African-American'!$G11</f>
        <v>1.3341000575043127</v>
      </c>
      <c r="D11" s="72" t="str">
        <f>Hispanic!G11</f>
        <v>**</v>
      </c>
      <c r="E11" s="72" t="str">
        <f>Asian!G11</f>
        <v>**</v>
      </c>
      <c r="F11" s="72" t="str">
        <f>Hawaiian!G11</f>
        <v>*</v>
      </c>
      <c r="G11" s="72" t="str">
        <f>'Am Indian'!G11</f>
        <v>*</v>
      </c>
      <c r="H11" s="72" t="str">
        <f>'Other - Mixed'!G11</f>
        <v>*</v>
      </c>
      <c r="I11" s="73">
        <f>'All Minorities'!G11</f>
        <v>1.250542770299609</v>
      </c>
      <c r="L11" s="1">
        <f>'Black or African-American'!L11</f>
        <v>1</v>
      </c>
      <c r="M11" s="1">
        <f>Hispanic!L11</f>
        <v>40</v>
      </c>
      <c r="N11" s="1">
        <f>Asian!L11</f>
        <v>40</v>
      </c>
      <c r="O11" s="1" t="e">
        <f>Hawaiian!L11</f>
        <v>#VALUE!</v>
      </c>
      <c r="P11" s="1" t="e">
        <f>'Am Indian'!L11</f>
        <v>#VALUE!</v>
      </c>
      <c r="Q11" s="1">
        <f>'Other - Mixed'!L11</f>
        <v>139</v>
      </c>
      <c r="R11" s="1">
        <f>'All Minorities'!L11</f>
        <v>2</v>
      </c>
    </row>
    <row r="12" spans="2:18" ht="15" customHeight="1" x14ac:dyDescent="0.25">
      <c r="B12" s="71" t="s">
        <v>13</v>
      </c>
      <c r="C12" s="72">
        <f>'Black or African-American'!$G12</f>
        <v>1.7364532019704433</v>
      </c>
      <c r="D12" s="72" t="str">
        <f>Hispanic!G12</f>
        <v>--</v>
      </c>
      <c r="E12" s="72" t="str">
        <f>Asian!G12</f>
        <v>--</v>
      </c>
      <c r="F12" s="72" t="str">
        <f>Hawaiian!G12</f>
        <v>*</v>
      </c>
      <c r="G12" s="72" t="str">
        <f>'Am Indian'!G12</f>
        <v>*</v>
      </c>
      <c r="H12" s="72" t="str">
        <f>'Other - Mixed'!G12</f>
        <v>*</v>
      </c>
      <c r="I12" s="73">
        <f>'All Minorities'!G12</f>
        <v>1.7158730158730156</v>
      </c>
      <c r="L12" s="1">
        <f>'Black or African-American'!L12</f>
        <v>1</v>
      </c>
      <c r="M12" s="1" t="e">
        <f>Hispanic!L12</f>
        <v>#VALUE!</v>
      </c>
      <c r="N12" s="1" t="e">
        <f>Asian!L12</f>
        <v>#VALUE!</v>
      </c>
      <c r="O12" s="1" t="e">
        <f>Hawaiian!L12</f>
        <v>#VALUE!</v>
      </c>
      <c r="P12" s="1" t="e">
        <f>'Am Indian'!L12</f>
        <v>#VALUE!</v>
      </c>
      <c r="Q12" s="1">
        <f>'Other - Mixed'!L12</f>
        <v>139</v>
      </c>
      <c r="R12" s="1">
        <f>'All Minorities'!L12</f>
        <v>1</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20</v>
      </c>
      <c r="M13" s="1" t="e">
        <f>Hispanic!L13</f>
        <v>#VALUE!</v>
      </c>
      <c r="N13" s="1" t="e">
        <f>Asian!L13</f>
        <v>#VALUE!</v>
      </c>
      <c r="O13" s="1" t="e">
        <f>Hawaiian!L13</f>
        <v>#VALUE!</v>
      </c>
      <c r="P13" s="1" t="e">
        <f>'Am Indian'!L13</f>
        <v>#VALUE!</v>
      </c>
      <c r="Q13" s="1">
        <f>'Other - Mixed'!L13</f>
        <v>139</v>
      </c>
      <c r="R13" s="1">
        <f>'All Minorities'!L13</f>
        <v>20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f>'Other - Mixed'!L14</f>
        <v>139</v>
      </c>
      <c r="R14" s="1">
        <f>'All Minorities'!L14</f>
        <v>40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27281</v>
      </c>
      <c r="D3" s="57">
        <f>'Data Entry'!C6</f>
        <v>17787</v>
      </c>
      <c r="E3" s="57">
        <f>'Data Entry'!D6</f>
        <v>4628</v>
      </c>
      <c r="F3" s="57">
        <f>'Data Entry'!E6</f>
        <v>2112</v>
      </c>
      <c r="G3" s="57">
        <f>'Data Entry'!F6</f>
        <v>2626</v>
      </c>
      <c r="H3" s="57">
        <f>'Data Entry'!G6</f>
        <v>0</v>
      </c>
      <c r="I3" s="57">
        <f>'Data Entry'!H6</f>
        <v>128</v>
      </c>
      <c r="J3" s="57">
        <f>'Data Entry'!I6</f>
        <v>0</v>
      </c>
      <c r="K3" s="57">
        <f>'Data Entry'!J6</f>
        <v>9494</v>
      </c>
    </row>
    <row r="4" spans="2:11" ht="15" customHeight="1" x14ac:dyDescent="0.25">
      <c r="B4" s="16" t="s">
        <v>8</v>
      </c>
      <c r="C4" s="1">
        <f>IF((C$3&gt;0),(1000*('Data Entry'!B7/'Data Entry'!B$6)), 0)</f>
        <v>4.142076903339321</v>
      </c>
      <c r="D4" s="1">
        <f>IF((D$3&gt;0),(1000*('Data Entry'!C7/'Data Entry'!C$6)), 0)</f>
        <v>1.5179625569235959</v>
      </c>
      <c r="E4" s="1">
        <f>IF((E$3&gt;0),(1000*('Data Entry'!D7/'Data Entry'!D$6)), 0)</f>
        <v>17.718236819360413</v>
      </c>
      <c r="F4" s="1">
        <f>IF((F$3&gt;0),(1000*('Data Entry'!E7/'Data Entry'!E$6)), 0)</f>
        <v>0.94696969696969702</v>
      </c>
      <c r="G4" s="1">
        <f>IF((G$3&gt;0),(1000*('Data Entry'!F7/'Data Entry'!F$6)), 0)</f>
        <v>0.38080731150038083</v>
      </c>
      <c r="H4" s="1">
        <f>IF((H$3&gt;0),(1000*('Data Entry'!G7/'Data Entry'!G$6)), 0)</f>
        <v>0</v>
      </c>
      <c r="I4" s="1">
        <f>IF((I$3&gt;0),(1000*('Data Entry'!H7/'Data Entry'!H$6)), 0)</f>
        <v>0</v>
      </c>
      <c r="J4" s="1">
        <f>IF((J$3&gt;0),(1000*('Data Entry'!I7/'Data Entry'!I$6)), 0)</f>
        <v>0</v>
      </c>
      <c r="K4" s="1">
        <f>IF((K$3&gt;0),(1000*('Data Entry'!J7/'Data Entry'!J$6)), 0)</f>
        <v>8.9530229618706549</v>
      </c>
    </row>
    <row r="5" spans="2:11" ht="15" customHeight="1" x14ac:dyDescent="0.25">
      <c r="B5" s="16" t="s">
        <v>9</v>
      </c>
      <c r="C5" s="1">
        <f>IF((C$3&gt;0),(1000*('Data Entry'!B8/'Data Entry'!B$6)), 0)</f>
        <v>14.918807961584987</v>
      </c>
      <c r="D5" s="1">
        <f>IF((D$3&gt;0),(1000*('Data Entry'!C8/'Data Entry'!C$6)), 0)</f>
        <v>8.9953336706583453</v>
      </c>
      <c r="E5" s="1">
        <f>IF((E$3&gt;0),(1000*('Data Entry'!D8/'Data Entry'!D$6)), 0)</f>
        <v>47.968885047536737</v>
      </c>
      <c r="F5" s="1">
        <f>IF((F$3&gt;0),(1000*('Data Entry'!E8/'Data Entry'!E$6)), 0)</f>
        <v>2.8409090909090908</v>
      </c>
      <c r="G5" s="1">
        <f>IF((G$3&gt;0),(1000*('Data Entry'!F8/'Data Entry'!F$6)), 0)</f>
        <v>2.2848438690022852</v>
      </c>
      <c r="H5" s="1">
        <f>IF((H$3&gt;0),(1000*('Data Entry'!G8/'Data Entry'!G$6)), 0)</f>
        <v>0</v>
      </c>
      <c r="I5" s="1">
        <f>IF((I$3&gt;0),(1000*('Data Entry'!H8/'Data Entry'!H$6)), 0)</f>
        <v>0</v>
      </c>
      <c r="J5" s="1">
        <f>IF((J$3&gt;0),(1000*('Data Entry'!I8/'Data Entry'!I$6)), 0)</f>
        <v>0</v>
      </c>
      <c r="K5" s="1">
        <f>IF((K$3&gt;0),(1000*('Data Entry'!J8/'Data Entry'!J$6)), 0)</f>
        <v>25.805772066568359</v>
      </c>
    </row>
    <row r="6" spans="2:11" ht="15" customHeight="1" x14ac:dyDescent="0.25">
      <c r="B6" s="16" t="s">
        <v>10</v>
      </c>
      <c r="C6" s="1">
        <f>IF((C$3&gt;0),(1000*('Data Entry'!B9/'Data Entry'!B$6)), 0)</f>
        <v>7.5876983981525612</v>
      </c>
      <c r="D6" s="1">
        <f>IF((D$3&gt;0),(1000*('Data Entry'!C9/'Data Entry'!C$6)), 0)</f>
        <v>4.5538876707707878</v>
      </c>
      <c r="E6" s="1">
        <f>IF((E$3&gt;0),(1000*('Data Entry'!D9/'Data Entry'!D$6)), 0)</f>
        <v>23.120138288677616</v>
      </c>
      <c r="F6" s="1">
        <f>IF((F$3&gt;0),(1000*('Data Entry'!E9/'Data Entry'!E$6)), 0)</f>
        <v>2.8409090909090908</v>
      </c>
      <c r="G6" s="1">
        <f>IF((G$3&gt;0),(1000*('Data Entry'!F9/'Data Entry'!F$6)), 0)</f>
        <v>1.904036557501904</v>
      </c>
      <c r="H6" s="1">
        <f>IF((H$3&gt;0),(1000*('Data Entry'!G9/'Data Entry'!G$6)), 0)</f>
        <v>0</v>
      </c>
      <c r="I6" s="1">
        <f>IF((I$3&gt;0),(1000*('Data Entry'!H9/'Data Entry'!H$6)), 0)</f>
        <v>0</v>
      </c>
      <c r="J6" s="1">
        <f>IF((J$3&gt;0),(1000*('Data Entry'!I9/'Data Entry'!I$6)), 0)</f>
        <v>0</v>
      </c>
      <c r="K6" s="1">
        <f>IF((K$3&gt;0),(1000*('Data Entry'!J9/'Data Entry'!J$6)), 0)</f>
        <v>13.271539919949442</v>
      </c>
    </row>
    <row r="7" spans="2:11" ht="15" customHeight="1" x14ac:dyDescent="0.25">
      <c r="B7" s="16" t="s">
        <v>11</v>
      </c>
      <c r="C7" s="1">
        <f>IF((C$3&gt;0),(1000*('Data Entry'!B10/'Data Entry'!B$6)), 0)</f>
        <v>3.4456214948132402</v>
      </c>
      <c r="D7" s="1">
        <f>IF((D$3&gt;0),(1000*('Data Entry'!C10/'Data Entry'!C$6)), 0)</f>
        <v>1.3493000505987518</v>
      </c>
      <c r="E7" s="1">
        <f>IF((E$3&gt;0),(1000*('Data Entry'!D10/'Data Entry'!D$6)), 0)</f>
        <v>14.693171996542784</v>
      </c>
      <c r="F7" s="1">
        <f>IF((F$3&gt;0),(1000*('Data Entry'!E10/'Data Entry'!E$6)), 0)</f>
        <v>0.47348484848484851</v>
      </c>
      <c r="G7" s="1">
        <f>IF((G$3&gt;0),(1000*('Data Entry'!F10/'Data Entry'!F$6)), 0)</f>
        <v>0</v>
      </c>
      <c r="H7" s="1">
        <f>IF((H$3&gt;0),(1000*('Data Entry'!G10/'Data Entry'!G$6)), 0)</f>
        <v>0</v>
      </c>
      <c r="I7" s="1">
        <f>IF((I$3&gt;0),(1000*('Data Entry'!H10/'Data Entry'!H$6)), 0)</f>
        <v>0</v>
      </c>
      <c r="J7" s="1">
        <f>IF((J$3&gt;0),(1000*('Data Entry'!I10/'Data Entry'!I$6)), 0)</f>
        <v>0</v>
      </c>
      <c r="K7" s="1">
        <f>IF((K$3&gt;0),(1000*('Data Entry'!J10/'Data Entry'!J$6)), 0)</f>
        <v>7.3730777333052453</v>
      </c>
    </row>
    <row r="8" spans="2:11" ht="15" customHeight="1" x14ac:dyDescent="0.25">
      <c r="B8" s="16" t="s">
        <v>95</v>
      </c>
      <c r="C8" s="1">
        <f>IF((C$3&gt;0),(1000*('Data Entry'!B11/'Data Entry'!B$6)), 0)</f>
        <v>5.0218100509512116</v>
      </c>
      <c r="D8" s="1">
        <f>IF((D$3&gt;0),(1000*('Data Entry'!C11/'Data Entry'!C$6)), 0)</f>
        <v>2.6423792657558893</v>
      </c>
      <c r="E8" s="1">
        <f>IF((E$3&gt;0),(1000*('Data Entry'!D11/'Data Entry'!D$6)), 0)</f>
        <v>18.798617113223855</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9.4796713713924579</v>
      </c>
    </row>
    <row r="9" spans="2:11" ht="15" customHeight="1" x14ac:dyDescent="0.25">
      <c r="B9" s="16" t="s">
        <v>13</v>
      </c>
      <c r="C9" s="1">
        <f>IF((C$3&gt;0),(1000*('Data Entry'!B12/'Data Entry'!B$6)), 0)</f>
        <v>2.1993328690297274</v>
      </c>
      <c r="D9" s="1">
        <f>IF((D$3&gt;0),(1000*('Data Entry'!C12/'Data Entry'!C$6)), 0)</f>
        <v>0.78709169618260522</v>
      </c>
      <c r="E9" s="1">
        <f>IF((E$3&gt;0),(1000*('Data Entry'!D12/'Data Entry'!D$6)), 0)</f>
        <v>9.7234226447709595</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4.8451653676005897</v>
      </c>
    </row>
    <row r="10" spans="2:11" ht="15" customHeight="1" x14ac:dyDescent="0.25">
      <c r="B10" s="16" t="s">
        <v>14</v>
      </c>
      <c r="C10" s="1">
        <f>IF((C$3&gt;0),(1000*('Data Entry'!B13/'Data Entry'!B$6)), 0)</f>
        <v>4.8385323118654009</v>
      </c>
      <c r="D10" s="1">
        <f>IF((D$3&gt;0),(1000*('Data Entry'!C13/'Data Entry'!C$6)), 0)</f>
        <v>2.5861584303142746</v>
      </c>
      <c r="E10" s="1">
        <f>IF((E$3&gt;0),(1000*('Data Entry'!D13/'Data Entry'!D$6)), 0)</f>
        <v>18.366464995678481</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9.0583526437750166</v>
      </c>
    </row>
    <row r="11" spans="2:11" ht="25.5" customHeight="1" x14ac:dyDescent="0.25">
      <c r="B11" s="16" t="s">
        <v>15</v>
      </c>
      <c r="C11" s="1">
        <f>IF((C$3&gt;0),(1000*('Data Entry'!B14/'Data Entry'!B$6)), 0)</f>
        <v>0.10996664345148638</v>
      </c>
      <c r="D11" s="1">
        <f>IF((D$3&gt;0),(1000*('Data Entry'!C14/'Data Entry'!C$6)), 0)</f>
        <v>5.6220835441614665E-2</v>
      </c>
      <c r="E11" s="1">
        <f>IF((E$3&gt;0),(1000*('Data Entry'!D14/'Data Entry'!D$6)), 0)</f>
        <v>0.43215211754537597</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0.2106593638087213</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Washtenaw</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11.672380677998655</v>
      </c>
      <c r="E19" s="72">
        <f t="shared" si="1"/>
        <v>0.62384259259259256</v>
      </c>
      <c r="F19" s="72">
        <f t="shared" si="1"/>
        <v>0.25086739443175088</v>
      </c>
      <c r="G19" s="72" t="str">
        <f t="shared" si="1"/>
        <v>--</v>
      </c>
      <c r="H19" s="72" t="str">
        <f t="shared" si="1"/>
        <v>--</v>
      </c>
      <c r="I19" s="72" t="str">
        <f t="shared" si="1"/>
        <v>--</v>
      </c>
      <c r="J19" s="73">
        <f t="shared" si="1"/>
        <v>5.8980525712145679</v>
      </c>
    </row>
    <row r="20" spans="2:10" ht="15" customHeight="1" x14ac:dyDescent="0.25">
      <c r="B20" s="71" t="s">
        <v>9</v>
      </c>
      <c r="C20" s="72">
        <f t="shared" ref="C20:J27" si="2">IF(AND(($D5&gt;0),(D5&gt;0)), (D5/$D5),"--")</f>
        <v>1</v>
      </c>
      <c r="D20" s="72">
        <f t="shared" si="2"/>
        <v>5.3326409896283504</v>
      </c>
      <c r="E20" s="72">
        <f t="shared" si="2"/>
        <v>0.31582031250000003</v>
      </c>
      <c r="F20" s="72">
        <f t="shared" si="2"/>
        <v>0.25400323686214782</v>
      </c>
      <c r="G20" s="72" t="str">
        <f t="shared" si="2"/>
        <v>--</v>
      </c>
      <c r="H20" s="72" t="str">
        <f t="shared" si="2"/>
        <v>--</v>
      </c>
      <c r="I20" s="72" t="str">
        <f t="shared" si="2"/>
        <v>--</v>
      </c>
      <c r="J20" s="73">
        <f t="shared" si="2"/>
        <v>2.8687954234253215</v>
      </c>
    </row>
    <row r="21" spans="2:10" ht="15" customHeight="1" x14ac:dyDescent="0.25">
      <c r="B21" s="71" t="s">
        <v>10</v>
      </c>
      <c r="C21" s="72">
        <f t="shared" si="2"/>
        <v>1</v>
      </c>
      <c r="D21" s="72">
        <f t="shared" si="2"/>
        <v>5.0770111079099847</v>
      </c>
      <c r="E21" s="72">
        <f t="shared" si="2"/>
        <v>0.62384259259259256</v>
      </c>
      <c r="F21" s="72">
        <f t="shared" si="2"/>
        <v>0.41811232405291809</v>
      </c>
      <c r="G21" s="72" t="str">
        <f t="shared" si="2"/>
        <v>--</v>
      </c>
      <c r="H21" s="72" t="str">
        <f t="shared" si="2"/>
        <v>--</v>
      </c>
      <c r="I21" s="72" t="str">
        <f t="shared" si="2"/>
        <v>--</v>
      </c>
      <c r="J21" s="73">
        <f t="shared" si="2"/>
        <v>2.9143318587177864</v>
      </c>
    </row>
    <row r="22" spans="2:10" ht="15" customHeight="1" x14ac:dyDescent="0.25">
      <c r="B22" s="71" t="s">
        <v>11</v>
      </c>
      <c r="C22" s="72">
        <f t="shared" si="2"/>
        <v>1</v>
      </c>
      <c r="D22" s="72">
        <f t="shared" si="2"/>
        <v>10.889477095937771</v>
      </c>
      <c r="E22" s="72">
        <f t="shared" si="2"/>
        <v>0.35091145833333337</v>
      </c>
      <c r="F22" s="72" t="str">
        <f t="shared" si="2"/>
        <v>--</v>
      </c>
      <c r="G22" s="72" t="str">
        <f t="shared" si="2"/>
        <v>--</v>
      </c>
      <c r="H22" s="72" t="str">
        <f t="shared" si="2"/>
        <v>--</v>
      </c>
      <c r="I22" s="72" t="str">
        <f t="shared" si="2"/>
        <v>--</v>
      </c>
      <c r="J22" s="73">
        <f t="shared" si="2"/>
        <v>5.4643722350958503</v>
      </c>
    </row>
    <row r="23" spans="2:10" ht="15" customHeight="1" x14ac:dyDescent="0.25">
      <c r="B23" s="71" t="s">
        <v>95</v>
      </c>
      <c r="C23" s="72">
        <f t="shared" si="2"/>
        <v>1</v>
      </c>
      <c r="D23" s="72">
        <f t="shared" si="2"/>
        <v>7.1142766509130357</v>
      </c>
      <c r="E23" s="72" t="str">
        <f t="shared" si="2"/>
        <v>--</v>
      </c>
      <c r="F23" s="72" t="str">
        <f t="shared" si="2"/>
        <v>--</v>
      </c>
      <c r="G23" s="72" t="str">
        <f t="shared" si="2"/>
        <v>--</v>
      </c>
      <c r="H23" s="72" t="str">
        <f t="shared" si="2"/>
        <v>--</v>
      </c>
      <c r="I23" s="72" t="str">
        <f t="shared" si="2"/>
        <v>--</v>
      </c>
      <c r="J23" s="73">
        <f t="shared" si="2"/>
        <v>3.587551376233141</v>
      </c>
    </row>
    <row r="24" spans="2:10" ht="15" customHeight="1" x14ac:dyDescent="0.25">
      <c r="B24" s="71" t="s">
        <v>13</v>
      </c>
      <c r="C24" s="72">
        <f t="shared" si="2"/>
        <v>1</v>
      </c>
      <c r="D24" s="72">
        <f t="shared" si="2"/>
        <v>12.353608470181506</v>
      </c>
      <c r="E24" s="72" t="str">
        <f t="shared" si="2"/>
        <v>--</v>
      </c>
      <c r="F24" s="72" t="str">
        <f t="shared" si="2"/>
        <v>--</v>
      </c>
      <c r="G24" s="72" t="str">
        <f t="shared" si="2"/>
        <v>--</v>
      </c>
      <c r="H24" s="72" t="str">
        <f t="shared" si="2"/>
        <v>--</v>
      </c>
      <c r="I24" s="72" t="str">
        <f t="shared" si="2"/>
        <v>--</v>
      </c>
      <c r="J24" s="73">
        <f t="shared" si="2"/>
        <v>6.1557825995365496</v>
      </c>
    </row>
    <row r="25" spans="2:10" ht="15" customHeight="1" x14ac:dyDescent="0.25">
      <c r="B25" s="71" t="s">
        <v>14</v>
      </c>
      <c r="C25" s="72">
        <f t="shared" si="2"/>
        <v>1</v>
      </c>
      <c r="D25" s="72">
        <f t="shared" si="2"/>
        <v>7.1018328886550677</v>
      </c>
      <c r="E25" s="72" t="str">
        <f t="shared" si="2"/>
        <v>--</v>
      </c>
      <c r="F25" s="72" t="str">
        <f t="shared" si="2"/>
        <v>--</v>
      </c>
      <c r="G25" s="72" t="str">
        <f t="shared" si="2"/>
        <v>--</v>
      </c>
      <c r="H25" s="72" t="str">
        <f t="shared" si="2"/>
        <v>--</v>
      </c>
      <c r="I25" s="72" t="str">
        <f t="shared" si="2"/>
        <v>--</v>
      </c>
      <c r="J25" s="73">
        <f t="shared" si="2"/>
        <v>3.502628662496222</v>
      </c>
    </row>
    <row r="26" spans="2:10" ht="25.5" customHeight="1" x14ac:dyDescent="0.25">
      <c r="B26" s="71" t="s">
        <v>15</v>
      </c>
      <c r="C26" s="72">
        <f t="shared" si="2"/>
        <v>1</v>
      </c>
      <c r="D26" s="72">
        <f t="shared" si="2"/>
        <v>7.6866897147796021</v>
      </c>
      <c r="E26" s="72" t="str">
        <f t="shared" si="2"/>
        <v>--</v>
      </c>
      <c r="F26" s="72" t="str">
        <f t="shared" si="2"/>
        <v>--</v>
      </c>
      <c r="G26" s="72" t="str">
        <f t="shared" si="2"/>
        <v>--</v>
      </c>
      <c r="H26" s="72" t="str">
        <f t="shared" si="2"/>
        <v>--</v>
      </c>
      <c r="I26" s="72" t="str">
        <f t="shared" si="2"/>
        <v>--</v>
      </c>
      <c r="J26" s="73">
        <f t="shared" si="2"/>
        <v>3.7469981040657254</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113</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Washtenaw</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111</v>
      </c>
      <c r="C6" s="153" t="s">
        <v>109</v>
      </c>
      <c r="D6" s="154" t="s">
        <v>109</v>
      </c>
      <c r="E6" s="155" t="s">
        <v>110</v>
      </c>
      <c r="F6" s="154" t="s">
        <v>109</v>
      </c>
      <c r="G6" s="155" t="s">
        <v>110</v>
      </c>
      <c r="H6" s="154" t="s">
        <v>109</v>
      </c>
      <c r="I6" s="155" t="s">
        <v>110</v>
      </c>
      <c r="J6" s="154" t="s">
        <v>109</v>
      </c>
      <c r="K6" s="155" t="s">
        <v>110</v>
      </c>
      <c r="L6" s="154" t="s">
        <v>109</v>
      </c>
      <c r="M6" s="155" t="s">
        <v>110</v>
      </c>
      <c r="N6" s="154" t="s">
        <v>109</v>
      </c>
      <c r="O6" s="155" t="s">
        <v>110</v>
      </c>
      <c r="P6" s="154" t="s">
        <v>109</v>
      </c>
      <c r="Q6" s="156" t="s">
        <v>110</v>
      </c>
    </row>
    <row r="7" spans="2:26" s="135" customFormat="1" ht="18" customHeight="1" x14ac:dyDescent="0.3">
      <c r="B7" s="150" t="str">
        <f>'Data Entry'!A6</f>
        <v xml:space="preserve">1. Population at Risk (age 10 through 16) </v>
      </c>
      <c r="C7" s="104">
        <f>'Data Entry'!C6</f>
        <v>17787</v>
      </c>
      <c r="D7" s="105">
        <f>'Data Entry'!D6</f>
        <v>4628</v>
      </c>
      <c r="E7" s="106"/>
      <c r="F7" s="107">
        <f>'Data Entry'!E6</f>
        <v>2112</v>
      </c>
      <c r="G7" s="106"/>
      <c r="H7" s="107">
        <f>'Data Entry'!F6</f>
        <v>2626</v>
      </c>
      <c r="I7" s="106"/>
      <c r="J7" s="107">
        <f>'Data Entry'!G6</f>
        <v>0</v>
      </c>
      <c r="K7" s="106"/>
      <c r="L7" s="107">
        <f>'Data Entry'!H6</f>
        <v>128</v>
      </c>
      <c r="M7" s="106"/>
      <c r="N7" s="107">
        <f>'Data Entry'!I6</f>
        <v>0</v>
      </c>
      <c r="O7" s="106"/>
      <c r="P7" s="107">
        <f>'Data Entry'!J6</f>
        <v>9494</v>
      </c>
      <c r="Q7" s="108"/>
    </row>
    <row r="8" spans="2:26" s="1" customFormat="1" ht="15" customHeight="1" x14ac:dyDescent="0.3">
      <c r="B8" s="149" t="s">
        <v>8</v>
      </c>
      <c r="C8" s="104">
        <f>'Data Entry'!C7</f>
        <v>27</v>
      </c>
      <c r="D8" s="105">
        <f>'Data Entry'!D7</f>
        <v>82</v>
      </c>
      <c r="E8" s="106">
        <f>'Black or African-American'!$G7</f>
        <v>11.672380677998655</v>
      </c>
      <c r="F8" s="107">
        <f>'Data Entry'!E7</f>
        <v>2</v>
      </c>
      <c r="G8" s="106" t="str">
        <f>Hispanic!G7</f>
        <v>**</v>
      </c>
      <c r="H8" s="107">
        <f>'Data Entry'!F7</f>
        <v>1</v>
      </c>
      <c r="I8" s="106" t="str">
        <f>Asian!G7</f>
        <v>**</v>
      </c>
      <c r="J8" s="107">
        <f>'Data Entry'!G7</f>
        <v>0</v>
      </c>
      <c r="K8" s="106" t="str">
        <f>Hawaiian!G7</f>
        <v>*</v>
      </c>
      <c r="L8" s="107">
        <f>'Data Entry'!H7</f>
        <v>0</v>
      </c>
      <c r="M8" s="106" t="str">
        <f>'Am Indian'!G7</f>
        <v>*</v>
      </c>
      <c r="N8" s="107">
        <f>'Data Entry'!I7</f>
        <v>0</v>
      </c>
      <c r="O8" s="106" t="str">
        <f>'Other - Mixed'!G7</f>
        <v>*</v>
      </c>
      <c r="P8" s="107">
        <f>'Data Entry'!J7</f>
        <v>85</v>
      </c>
      <c r="Q8" s="108">
        <f>'All Minorities'!G7</f>
        <v>5.8980525712145679</v>
      </c>
      <c r="R8"/>
      <c r="T8" s="1">
        <f>'Black or African-American'!L7</f>
        <v>1</v>
      </c>
      <c r="U8" s="1">
        <f>Hispanic!L7</f>
        <v>40</v>
      </c>
      <c r="V8" s="1">
        <f>Asian!L7</f>
        <v>40</v>
      </c>
      <c r="W8" s="1" t="e">
        <f>Hawaiian!L7</f>
        <v>#VALUE!</v>
      </c>
      <c r="X8" s="1">
        <f>'Am Indian'!L7</f>
        <v>139</v>
      </c>
      <c r="Y8" s="1" t="e">
        <f>'Other - Mixed'!L7</f>
        <v>#VALUE!</v>
      </c>
      <c r="Z8" s="1">
        <f>'All Minorities'!L7</f>
        <v>1</v>
      </c>
    </row>
    <row r="9" spans="2:26" s="1" customFormat="1" ht="15" customHeight="1" x14ac:dyDescent="0.3">
      <c r="B9" s="149" t="s">
        <v>126</v>
      </c>
      <c r="C9" s="104">
        <f>'Data Entry'!C8</f>
        <v>160</v>
      </c>
      <c r="D9" s="109">
        <f>'Data Entry'!D8</f>
        <v>222</v>
      </c>
      <c r="E9" s="110" t="str">
        <f>'Black or African-American'!$G8</f>
        <v>**</v>
      </c>
      <c r="F9" s="111">
        <f>'Data Entry'!E8</f>
        <v>6</v>
      </c>
      <c r="G9" s="110" t="str">
        <f>Hispanic!G8</f>
        <v>**</v>
      </c>
      <c r="H9" s="111">
        <f>'Data Entry'!F8</f>
        <v>6</v>
      </c>
      <c r="I9" s="110" t="str">
        <f>Asian!G8</f>
        <v>**</v>
      </c>
      <c r="J9" s="111">
        <f>'Data Entry'!G8</f>
        <v>0</v>
      </c>
      <c r="K9" s="110" t="str">
        <f>Hawaiian!G8</f>
        <v>*</v>
      </c>
      <c r="L9" s="111">
        <f>'Data Entry'!H8</f>
        <v>0</v>
      </c>
      <c r="M9" s="110" t="str">
        <f>'Am Indian'!G8</f>
        <v>*</v>
      </c>
      <c r="N9" s="111">
        <f>'Data Entry'!I8</f>
        <v>11</v>
      </c>
      <c r="O9" s="110" t="str">
        <f>'Other - Mixed'!G8</f>
        <v>*</v>
      </c>
      <c r="P9" s="111">
        <f>'Data Entry'!J8</f>
        <v>245</v>
      </c>
      <c r="Q9" s="112" t="str">
        <f>'All Minorities'!G8</f>
        <v>**</v>
      </c>
      <c r="R9"/>
      <c r="T9" s="1">
        <f>'Black or African-American'!L8</f>
        <v>20</v>
      </c>
      <c r="U9" s="1">
        <f>Hispanic!L8</f>
        <v>40</v>
      </c>
      <c r="V9" s="1">
        <f>Asian!L8</f>
        <v>40</v>
      </c>
      <c r="W9" s="1">
        <f>Hawaiian!L8</f>
        <v>139</v>
      </c>
      <c r="X9" s="1">
        <f>'Am Indian'!L8</f>
        <v>139</v>
      </c>
      <c r="Y9" s="1">
        <f>'Other - Mixed'!L8</f>
        <v>119</v>
      </c>
      <c r="Z9" s="1">
        <f>'All Minorities'!L8</f>
        <v>20</v>
      </c>
    </row>
    <row r="10" spans="2:26" s="1" customFormat="1" ht="15" customHeight="1" x14ac:dyDescent="0.3">
      <c r="B10" s="149" t="s">
        <v>10</v>
      </c>
      <c r="C10" s="104">
        <f>'Data Entry'!C9</f>
        <v>81</v>
      </c>
      <c r="D10" s="113">
        <f>'Data Entry'!D9</f>
        <v>107</v>
      </c>
      <c r="E10" s="114">
        <f>'Black or African-American'!$G9</f>
        <v>0.95206317428539633</v>
      </c>
      <c r="F10" s="115">
        <f>'Data Entry'!E9</f>
        <v>6</v>
      </c>
      <c r="G10" s="114" t="str">
        <f>Hispanic!G9</f>
        <v>**</v>
      </c>
      <c r="H10" s="115">
        <f>'Data Entry'!F9</f>
        <v>5</v>
      </c>
      <c r="I10" s="114" t="str">
        <f>Asian!G9</f>
        <v>**</v>
      </c>
      <c r="J10" s="115">
        <f>'Data Entry'!G9</f>
        <v>0</v>
      </c>
      <c r="K10" s="114" t="str">
        <f>Hawaiian!G9</f>
        <v>*</v>
      </c>
      <c r="L10" s="115">
        <f>'Data Entry'!H9</f>
        <v>0</v>
      </c>
      <c r="M10" s="114" t="str">
        <f>'Am Indian'!G9</f>
        <v>*</v>
      </c>
      <c r="N10" s="115">
        <f>'Data Entry'!I9</f>
        <v>8</v>
      </c>
      <c r="O10" s="114" t="str">
        <f>'Other - Mixed'!G9</f>
        <v>*</v>
      </c>
      <c r="P10" s="115">
        <f>'Data Entry'!J9</f>
        <v>126</v>
      </c>
      <c r="Q10" s="116">
        <f>'All Minorities'!G9</f>
        <v>1.0158730158730158</v>
      </c>
      <c r="R10"/>
      <c r="T10" s="1">
        <f>'Black or African-American'!L9</f>
        <v>2</v>
      </c>
      <c r="U10" s="1">
        <f>Hispanic!L9</f>
        <v>20</v>
      </c>
      <c r="V10" s="1">
        <f>Asian!L9</f>
        <v>40</v>
      </c>
      <c r="W10" s="1" t="e">
        <f>Hawaiian!L9</f>
        <v>#VALUE!</v>
      </c>
      <c r="X10" s="1" t="e">
        <f>'Am Indian'!L9</f>
        <v>#VALUE!</v>
      </c>
      <c r="Y10" s="1">
        <f>'Other - Mixed'!L9</f>
        <v>139</v>
      </c>
      <c r="Z10" s="1">
        <f>'All Minorities'!L9</f>
        <v>2</v>
      </c>
    </row>
    <row r="11" spans="2:26" s="1" customFormat="1" ht="15" customHeight="1" x14ac:dyDescent="0.3">
      <c r="B11" s="149" t="s">
        <v>11</v>
      </c>
      <c r="C11" s="104">
        <f>'Data Entry'!C10</f>
        <v>24</v>
      </c>
      <c r="D11" s="109">
        <f>'Data Entry'!D10</f>
        <v>68</v>
      </c>
      <c r="E11" s="110">
        <f>'Black or African-American'!$G10</f>
        <v>2.0420420420420418</v>
      </c>
      <c r="F11" s="111">
        <f>'Data Entry'!E10</f>
        <v>1</v>
      </c>
      <c r="G11" s="110" t="str">
        <f>Hispanic!G10</f>
        <v>**</v>
      </c>
      <c r="H11" s="111">
        <f>'Data Entry'!F10</f>
        <v>0</v>
      </c>
      <c r="I11" s="110" t="str">
        <f>Asian!G10</f>
        <v>**</v>
      </c>
      <c r="J11" s="111">
        <f>'Data Entry'!G10</f>
        <v>0</v>
      </c>
      <c r="K11" s="110" t="str">
        <f>Hawaiian!G10</f>
        <v>*</v>
      </c>
      <c r="L11" s="111">
        <f>'Data Entry'!H10</f>
        <v>0</v>
      </c>
      <c r="M11" s="110" t="str">
        <f>'Am Indian'!G10</f>
        <v>*</v>
      </c>
      <c r="N11" s="111">
        <f>'Data Entry'!I10</f>
        <v>1</v>
      </c>
      <c r="O11" s="110" t="str">
        <f>'Other - Mixed'!G10</f>
        <v>*</v>
      </c>
      <c r="P11" s="111">
        <f>'Data Entry'!J10</f>
        <v>70</v>
      </c>
      <c r="Q11" s="112">
        <f>'All Minorities'!G10</f>
        <v>1.9047619047619047</v>
      </c>
      <c r="R11"/>
      <c r="T11" s="1">
        <f>'Black or African-American'!L10</f>
        <v>1</v>
      </c>
      <c r="U11" s="1">
        <f>Hispanic!L10</f>
        <v>40</v>
      </c>
      <c r="V11" s="1">
        <f>Asian!L10</f>
        <v>40</v>
      </c>
      <c r="W11" s="1" t="e">
        <f>Hawaiian!L10</f>
        <v>#VALUE!</v>
      </c>
      <c r="X11" s="1" t="e">
        <f>'Am Indian'!L10</f>
        <v>#VALUE!</v>
      </c>
      <c r="Y11" s="1">
        <f>'Other - Mixed'!L10</f>
        <v>139</v>
      </c>
      <c r="Z11" s="1">
        <f>'All Minorities'!L10</f>
        <v>1</v>
      </c>
    </row>
    <row r="12" spans="2:26" s="1" customFormat="1" ht="15" customHeight="1" x14ac:dyDescent="0.3">
      <c r="B12" s="149" t="s">
        <v>95</v>
      </c>
      <c r="C12" s="104">
        <f>'Data Entry'!C11</f>
        <v>47</v>
      </c>
      <c r="D12" s="113">
        <f>'Data Entry'!D11</f>
        <v>87</v>
      </c>
      <c r="E12" s="114">
        <f>'Black or African-American'!$G11</f>
        <v>1.3341000575043127</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3</v>
      </c>
      <c r="O12" s="114" t="str">
        <f>'Other - Mixed'!G11</f>
        <v>*</v>
      </c>
      <c r="P12" s="115">
        <f>'Data Entry'!J11</f>
        <v>90</v>
      </c>
      <c r="Q12" s="116">
        <f>'All Minorities'!G11</f>
        <v>1.250542770299609</v>
      </c>
      <c r="R12"/>
      <c r="T12" s="1">
        <f>'Black or African-American'!L11</f>
        <v>1</v>
      </c>
      <c r="U12" s="1">
        <f>Hispanic!L11</f>
        <v>40</v>
      </c>
      <c r="V12" s="1">
        <f>Asian!L11</f>
        <v>40</v>
      </c>
      <c r="W12" s="1" t="e">
        <f>Hawaiian!L11</f>
        <v>#VALUE!</v>
      </c>
      <c r="X12" s="1" t="e">
        <f>'Am Indian'!L11</f>
        <v>#VALUE!</v>
      </c>
      <c r="Y12" s="1">
        <f>'Other - Mixed'!L11</f>
        <v>139</v>
      </c>
      <c r="Z12" s="1">
        <f>'All Minorities'!L11</f>
        <v>2</v>
      </c>
    </row>
    <row r="13" spans="2:26" s="1" customFormat="1" ht="15" customHeight="1" x14ac:dyDescent="0.3">
      <c r="B13" s="149" t="s">
        <v>13</v>
      </c>
      <c r="C13" s="104">
        <f>'Data Entry'!C12</f>
        <v>14</v>
      </c>
      <c r="D13" s="109">
        <f>'Data Entry'!D12</f>
        <v>45</v>
      </c>
      <c r="E13" s="110">
        <f>'Black or African-American'!$G12</f>
        <v>1.7364532019704433</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1</v>
      </c>
      <c r="O13" s="110" t="str">
        <f>'Other - Mixed'!G12</f>
        <v>*</v>
      </c>
      <c r="P13" s="111">
        <f>'Data Entry'!J12</f>
        <v>46</v>
      </c>
      <c r="Q13" s="112">
        <f>'All Minorities'!G12</f>
        <v>1.7158730158730156</v>
      </c>
      <c r="R13"/>
      <c r="T13" s="1">
        <f>'Black or African-American'!L12</f>
        <v>1</v>
      </c>
      <c r="U13" s="1" t="e">
        <f>Hispanic!L12</f>
        <v>#VALUE!</v>
      </c>
      <c r="V13" s="1" t="e">
        <f>Asian!L12</f>
        <v>#VALUE!</v>
      </c>
      <c r="W13" s="1" t="e">
        <f>Hawaiian!L12</f>
        <v>#VALUE!</v>
      </c>
      <c r="X13" s="1" t="e">
        <f>'Am Indian'!L12</f>
        <v>#VALUE!</v>
      </c>
      <c r="Y13" s="1">
        <f>'Other - Mixed'!L12</f>
        <v>139</v>
      </c>
      <c r="Z13" s="1">
        <f>'All Minorities'!L12</f>
        <v>1</v>
      </c>
    </row>
    <row r="14" spans="2:26" s="1" customFormat="1" ht="15" customHeight="1" x14ac:dyDescent="0.3">
      <c r="B14" s="149" t="s">
        <v>125</v>
      </c>
      <c r="C14" s="104">
        <f>'Data Entry'!C13</f>
        <v>46</v>
      </c>
      <c r="D14" s="113">
        <f>'Data Entry'!D13</f>
        <v>85</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1</v>
      </c>
      <c r="O14" s="114" t="str">
        <f>'Other - Mixed'!G13</f>
        <v>*</v>
      </c>
      <c r="P14" s="115">
        <f>'Data Entry'!J13</f>
        <v>86</v>
      </c>
      <c r="Q14" s="116" t="str">
        <f>'All Minorities'!G13</f>
        <v>**</v>
      </c>
      <c r="R14"/>
      <c r="T14" s="1">
        <f>'Black or African-American'!L13</f>
        <v>20</v>
      </c>
      <c r="U14" s="1" t="e">
        <f>Hispanic!L13</f>
        <v>#VALUE!</v>
      </c>
      <c r="V14" s="1" t="e">
        <f>Asian!L13</f>
        <v>#VALUE!</v>
      </c>
      <c r="W14" s="1" t="e">
        <f>Hawaiian!L13</f>
        <v>#VALUE!</v>
      </c>
      <c r="X14" s="1" t="e">
        <f>'Am Indian'!L13</f>
        <v>#VALUE!</v>
      </c>
      <c r="Y14" s="1">
        <f>'Other - Mixed'!L13</f>
        <v>139</v>
      </c>
      <c r="Z14" s="1">
        <f>'All Minorities'!L13</f>
        <v>20</v>
      </c>
    </row>
    <row r="15" spans="2:26" s="1" customFormat="1" ht="33" x14ac:dyDescent="0.3">
      <c r="B15" s="151" t="s">
        <v>115</v>
      </c>
      <c r="C15" s="104">
        <f>'Data Entry'!C14</f>
        <v>1</v>
      </c>
      <c r="D15" s="109">
        <f>'Data Entry'!D14</f>
        <v>2</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2</v>
      </c>
      <c r="Q15" s="112" t="str">
        <f>'All Minorities'!G14</f>
        <v>**</v>
      </c>
      <c r="R15"/>
      <c r="T15" s="1">
        <f>'Black or African-American'!L14</f>
        <v>40</v>
      </c>
      <c r="U15" s="1" t="e">
        <f>Hispanic!L14</f>
        <v>#VALUE!</v>
      </c>
      <c r="V15" s="1" t="e">
        <f>Asian!L14</f>
        <v>#VALUE!</v>
      </c>
      <c r="W15" s="1" t="e">
        <f>Hawaiian!L14</f>
        <v>#VALUE!</v>
      </c>
      <c r="X15" s="1" t="e">
        <f>'Am Indian'!L14</f>
        <v>#VALUE!</v>
      </c>
      <c r="Y15" s="1">
        <f>'Other - Mixed'!L14</f>
        <v>139</v>
      </c>
      <c r="Z15" s="1">
        <f>'All Minorities'!L14</f>
        <v>40</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120</v>
      </c>
      <c r="I19" s="139" t="s">
        <v>51</v>
      </c>
      <c r="J19" s="136"/>
      <c r="K19" s="136"/>
      <c r="L19" s="136"/>
      <c r="M19" s="136"/>
      <c r="N19" s="136"/>
      <c r="O19" s="137"/>
      <c r="P19" s="94"/>
      <c r="Q19" s="94"/>
    </row>
    <row r="20" spans="2:18" ht="16.5" x14ac:dyDescent="0.3">
      <c r="B20" s="94"/>
      <c r="C20" s="160" t="s">
        <v>117</v>
      </c>
      <c r="D20" s="166"/>
      <c r="E20" s="167"/>
      <c r="F20" s="168"/>
      <c r="G20" s="169" t="s">
        <v>53</v>
      </c>
      <c r="H20" s="166"/>
      <c r="I20" s="160" t="s">
        <v>56</v>
      </c>
      <c r="J20" s="166"/>
      <c r="K20" s="166"/>
      <c r="L20" s="166"/>
      <c r="M20" s="166"/>
      <c r="N20" s="166"/>
      <c r="O20" s="161" t="s">
        <v>57</v>
      </c>
      <c r="Q20" s="94"/>
    </row>
    <row r="21" spans="2:18" ht="15" customHeight="1" x14ac:dyDescent="0.3">
      <c r="B21" s="94"/>
      <c r="C21" s="162" t="s">
        <v>119</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Washtenaw County Juvenile Court</v>
      </c>
      <c r="E27" s="1" t="str">
        <f>'Data Entry'!D20</f>
        <v>Item 4.Diversion: Washtenaw County Juvenile Court</v>
      </c>
      <c r="I27" s="97"/>
      <c r="J27" s="97"/>
    </row>
    <row r="28" spans="2:18" ht="12.75" customHeight="1" x14ac:dyDescent="0.25">
      <c r="B28" s="1" t="str">
        <f>'Data Entry'!A21</f>
        <v>Item 5.Detention: Washtenaw County Juvenile Court</v>
      </c>
      <c r="E28" s="1" t="str">
        <f>'Data Entry'!D21</f>
        <v>Item 6.Petitioned: Washtenaw County Juvenile Court</v>
      </c>
      <c r="I28" s="97"/>
      <c r="J28" s="97"/>
    </row>
    <row r="29" spans="2:18" ht="12.75" customHeight="1" x14ac:dyDescent="0.25">
      <c r="B29" s="1" t="str">
        <f>'Data Entry'!A22</f>
        <v>Item 7.Delinquent: Washtenaw County Juvenile Court</v>
      </c>
      <c r="E29" s="1" t="str">
        <f>'Data Entry'!D22</f>
        <v>Item 8.Probation: Washtenaw County Juvenile Court</v>
      </c>
      <c r="I29" s="97"/>
      <c r="J29" s="97"/>
    </row>
    <row r="30" spans="2:18" ht="12.75" customHeight="1" x14ac:dyDescent="0.25">
      <c r="B30" s="1" t="str">
        <f>'Data Entry'!A23</f>
        <v>Item 9.Confinement: Washtenaw County Juvenile Court</v>
      </c>
      <c r="E30" s="1" t="str">
        <f>'Data Entry'!D23</f>
        <v>Item 10.Transferred: Washtenaw County Juvenile Court</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Washtenaw</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Washtenaw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122</v>
      </c>
      <c r="I6" s="97" t="str">
        <f>'Data Entry'!C5</f>
        <v>White</v>
      </c>
      <c r="K6" s="143" t="s">
        <v>123</v>
      </c>
      <c r="L6" s="143" t="s">
        <v>121</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1.8734990520328627</v>
      </c>
    </row>
    <row r="8" spans="1:12" ht="25.5" customHeight="1" x14ac:dyDescent="0.2">
      <c r="A8" s="158" t="str">
        <f>CONCATENATE("Confinement, total N=", 'Data Entry'!B14)</f>
        <v>Confinement, total N=3</v>
      </c>
      <c r="B8" s="157">
        <f>'Data Entry'!D14/'Data Entry'!B14</f>
        <v>0.66666666666666663</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0.33333333333333331</v>
      </c>
      <c r="K8" s="97" t="str">
        <f>A8</f>
        <v>Confinement, total N=3</v>
      </c>
      <c r="L8">
        <f>I14/(SUM(B14:G14))</f>
        <v>1.8734990520328627</v>
      </c>
    </row>
    <row r="9" spans="1:12" x14ac:dyDescent="0.2">
      <c r="A9" s="132" t="str">
        <f>CONCATENATE("Delinquent Findings, total N=", 'Data Entry'!B12)</f>
        <v>Delinquent Findings, total N=60</v>
      </c>
      <c r="B9" s="157">
        <f>'Data Entry'!D12/'Data Entry'!B12</f>
        <v>0.75</v>
      </c>
      <c r="C9" s="157">
        <f>'Data Entry'!E12/'Data Entry'!B12</f>
        <v>0</v>
      </c>
      <c r="D9" s="157">
        <f>'Data Entry'!F12/'Data Entry'!B12</f>
        <v>0</v>
      </c>
      <c r="E9" s="157">
        <f>'Data Entry'!G12/'Data Entry'!B12</f>
        <v>0</v>
      </c>
      <c r="F9" s="157">
        <f>'Data Entry'!H12/'Data Entry'!B12</f>
        <v>0</v>
      </c>
      <c r="G9" s="157">
        <f>'Data Entry'!I12/'Data Entry'!B12</f>
        <v>1.6666666666666666E-2</v>
      </c>
      <c r="H9" s="157">
        <f>SUM(D9:G9)/'Data Entry'!B12</f>
        <v>2.7777777777777778E-4</v>
      </c>
      <c r="I9" s="157">
        <f>'Data Entry'!C12/'Data Entry'!B12</f>
        <v>0.23333333333333334</v>
      </c>
      <c r="K9" s="97" t="str">
        <f t="shared" si="0"/>
        <v>Delinquent Findings, total N=60</v>
      </c>
      <c r="L9">
        <f>I14/(SUM(B14:G14))</f>
        <v>1.8734990520328627</v>
      </c>
    </row>
    <row r="10" spans="1:12" x14ac:dyDescent="0.2">
      <c r="A10" s="132" t="str">
        <f>CONCATENATE("Petitions, total N=", 'Data Entry'!B11)</f>
        <v>Petitions, total N=137</v>
      </c>
      <c r="B10" s="157">
        <f>'Data Entry'!D11/'Data Entry'!B11</f>
        <v>0.63503649635036497</v>
      </c>
      <c r="C10" s="157">
        <f>'Data Entry'!E11/'Data Entry'!B11</f>
        <v>0</v>
      </c>
      <c r="D10" s="157">
        <f>'Data Entry'!F11/'Data Entry'!B11</f>
        <v>0</v>
      </c>
      <c r="E10" s="157">
        <f>'Data Entry'!G11/'Data Entry'!B11</f>
        <v>0</v>
      </c>
      <c r="F10" s="157">
        <f>'Data Entry'!H11/'Data Entry'!B11</f>
        <v>0</v>
      </c>
      <c r="G10" s="157">
        <f>'Data Entry'!I11/'Data Entry'!B11</f>
        <v>2.1897810218978103E-2</v>
      </c>
      <c r="H10" s="157">
        <f>SUM(D10:G10)/'Data Entry'!B11</f>
        <v>1.5983803079546062E-4</v>
      </c>
      <c r="I10" s="157">
        <f>'Data Entry'!C11/'Data Entry'!B11</f>
        <v>0.34306569343065696</v>
      </c>
      <c r="K10" s="97" t="str">
        <f t="shared" si="0"/>
        <v>Petitions, total N=137</v>
      </c>
      <c r="L10">
        <f>I14/(SUM(B14:G14))</f>
        <v>1.8734990520328627</v>
      </c>
    </row>
    <row r="11" spans="1:12" x14ac:dyDescent="0.2">
      <c r="A11" s="132" t="str">
        <f>CONCATENATE("Detentions, total N=", 'Data Entry'!B10)</f>
        <v>Detentions, total N=94</v>
      </c>
      <c r="B11" s="157">
        <f>'Data Entry'!D10/'Data Entry'!B10</f>
        <v>0.72340425531914898</v>
      </c>
      <c r="C11" s="157">
        <f>'Data Entry'!E10/'Data Entry'!B10</f>
        <v>1.0638297872340425E-2</v>
      </c>
      <c r="D11" s="157">
        <f>'Data Entry'!F10/'Data Entry'!B10</f>
        <v>0</v>
      </c>
      <c r="E11" s="157">
        <f>'Data Entry'!G10/'Data Entry'!B10</f>
        <v>0</v>
      </c>
      <c r="F11" s="157">
        <f>'Data Entry'!H10/'Data Entry'!B10</f>
        <v>0</v>
      </c>
      <c r="G11" s="157">
        <f>'Data Entry'!I10/'Data Entry'!B10</f>
        <v>1.0638297872340425E-2</v>
      </c>
      <c r="H11" s="157">
        <f>SUM(D11:G11)/'Data Entry'!B10</f>
        <v>1.1317338162064282E-4</v>
      </c>
      <c r="I11" s="157">
        <f>'Data Entry'!C10/'Data Entry'!B10</f>
        <v>0.25531914893617019</v>
      </c>
      <c r="K11" s="97" t="str">
        <f t="shared" si="0"/>
        <v>Detentions, total N=94</v>
      </c>
      <c r="L11">
        <f>I14/(SUM(B14:G14))</f>
        <v>1.8734990520328627</v>
      </c>
    </row>
    <row r="12" spans="1:12" x14ac:dyDescent="0.2">
      <c r="A12" s="132" t="str">
        <f>CONCATENATE("Referrals, total N=", 'Data Entry'!B8)</f>
        <v>Referrals, total N=407</v>
      </c>
      <c r="B12" s="157">
        <f>'Data Entry'!D8/'Data Entry'!B8</f>
        <v>0.54545454545454541</v>
      </c>
      <c r="C12" s="157">
        <f>'Data Entry'!E8/'Data Entry'!B8</f>
        <v>1.4742014742014743E-2</v>
      </c>
      <c r="D12" s="157">
        <f>'Data Entry'!F8/'Data Entry'!B8</f>
        <v>1.4742014742014743E-2</v>
      </c>
      <c r="E12" s="157">
        <f>'Data Entry'!G8/'Data Entry'!B8</f>
        <v>0</v>
      </c>
      <c r="F12" s="157">
        <f>'Data Entry'!H8/'Data Entry'!B8</f>
        <v>0</v>
      </c>
      <c r="G12" s="157">
        <f>'Data Entry'!I8/'Data Entry'!B8</f>
        <v>2.7027027027027029E-2</v>
      </c>
      <c r="H12" s="157">
        <f>SUM(D12:G12)/'Data Entry'!B8</f>
        <v>1.0262663825317388E-4</v>
      </c>
      <c r="I12" s="157">
        <f>'Data Entry'!C8/'Data Entry'!B8</f>
        <v>0.3931203931203931</v>
      </c>
      <c r="K12" s="97" t="str">
        <f t="shared" si="0"/>
        <v>Referrals, total N=407</v>
      </c>
      <c r="L12">
        <f>I14/(SUM(B14:G14))</f>
        <v>1.8734990520328627</v>
      </c>
    </row>
    <row r="13" spans="1:12" x14ac:dyDescent="0.2">
      <c r="A13" s="132" t="str">
        <f>CONCATENATE("Arrests, total N=", 'Data Entry'!B7)</f>
        <v>Arrests, total N=113</v>
      </c>
      <c r="B13" s="157">
        <f>'Data Entry'!D7/'Data Entry'!B7</f>
        <v>0.72566371681415931</v>
      </c>
      <c r="C13" s="157">
        <f>'Data Entry'!E7/'Data Entry'!B7</f>
        <v>1.7699115044247787E-2</v>
      </c>
      <c r="D13" s="157">
        <f>'Data Entry'!F7/'Data Entry'!B7</f>
        <v>8.8495575221238937E-3</v>
      </c>
      <c r="E13" s="157">
        <f>'Data Entry'!G7/'Data Entry'!B7</f>
        <v>0</v>
      </c>
      <c r="F13" s="157">
        <f>'Data Entry'!H7/'Data Entry'!B7</f>
        <v>0</v>
      </c>
      <c r="G13" s="157">
        <f>'Data Entry'!I7/'Data Entry'!B7</f>
        <v>0</v>
      </c>
      <c r="H13" s="157">
        <f>SUM(D13:G13)/'Data Entry'!B7</f>
        <v>7.8314668337379589E-5</v>
      </c>
      <c r="I13" s="157">
        <f>'Data Entry'!C7/'Data Entry'!B7</f>
        <v>0.23893805309734514</v>
      </c>
      <c r="K13" s="97" t="str">
        <f t="shared" si="0"/>
        <v>Arrests, total N=113</v>
      </c>
      <c r="L13">
        <f>I14/(SUM(B14:G14))</f>
        <v>1.8734990520328627</v>
      </c>
    </row>
    <row r="14" spans="1:12" x14ac:dyDescent="0.2">
      <c r="A14" s="132" t="str">
        <f>CONCATENATE("Population, total N=", 'Data Entry'!B6)</f>
        <v>Population, total N=27281</v>
      </c>
      <c r="B14" s="157">
        <f>'Data Entry'!D6/'Data Entry'!B6</f>
        <v>0.16964187529782632</v>
      </c>
      <c r="C14" s="157">
        <f>'Data Entry'!E6/'Data Entry'!B6</f>
        <v>7.7416516989846418E-2</v>
      </c>
      <c r="D14" s="157">
        <f>'Data Entry'!F6/'Data Entry'!B6</f>
        <v>9.6257468567867752E-2</v>
      </c>
      <c r="E14" s="157">
        <f>'Data Entry'!G6/'Data Entry'!B6</f>
        <v>0</v>
      </c>
      <c r="F14" s="157">
        <f>'Data Entry'!H6/'Data Entry'!B6</f>
        <v>4.6919101205967527E-3</v>
      </c>
      <c r="G14" s="157">
        <f>'Data Entry'!I6/'Data Entry'!B6</f>
        <v>0</v>
      </c>
      <c r="H14" s="157">
        <f>SUM(D14:G14)/'Data Entry'!B6</f>
        <v>3.7003547776278178E-6</v>
      </c>
      <c r="I14" s="157">
        <f>'Data Entry'!C6/'Data Entry'!B6</f>
        <v>0.65199222902386278</v>
      </c>
      <c r="K14" s="97" t="str">
        <f t="shared" si="0"/>
        <v>Population, total N=27281</v>
      </c>
      <c r="L14">
        <f>I14/(SUM(B14:G14))</f>
        <v>1.8734990520328627</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113</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Washtenaw</v>
      </c>
      <c r="C4" s="121"/>
      <c r="D4" s="121"/>
      <c r="E4" s="124"/>
      <c r="F4" s="124"/>
      <c r="G4" s="124"/>
      <c r="H4" s="184" t="str">
        <f>'Data Entry'!C4</f>
        <v>10/1/20 through 9/30/21</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111</v>
      </c>
      <c r="C6" s="126" t="s">
        <v>109</v>
      </c>
      <c r="D6" s="127" t="s">
        <v>109</v>
      </c>
      <c r="E6" s="128" t="s">
        <v>110</v>
      </c>
      <c r="F6" s="127" t="s">
        <v>109</v>
      </c>
      <c r="G6" s="128" t="s">
        <v>110</v>
      </c>
      <c r="H6" s="127" t="s">
        <v>109</v>
      </c>
      <c r="I6" s="128" t="s">
        <v>110</v>
      </c>
      <c r="J6" s="127" t="s">
        <v>109</v>
      </c>
      <c r="K6" s="129" t="s">
        <v>110</v>
      </c>
    </row>
    <row r="7" spans="2:30" s="135" customFormat="1" ht="18" customHeight="1" x14ac:dyDescent="0.3">
      <c r="B7" s="148" t="str">
        <f>'Data Entry'!A6</f>
        <v xml:space="preserve">1. Population at Risk (age 10 through 16) </v>
      </c>
      <c r="C7" s="104">
        <f>'Data Entry'!C6</f>
        <v>17787</v>
      </c>
      <c r="D7" s="105">
        <f>'Data Entry'!D6</f>
        <v>4628</v>
      </c>
      <c r="E7" s="106"/>
      <c r="F7" s="107">
        <f>'Data Entry'!E6</f>
        <v>2112</v>
      </c>
      <c r="G7" s="106"/>
      <c r="H7" s="107">
        <f>'Data Entry'!F6</f>
        <v>2626</v>
      </c>
      <c r="I7" s="106"/>
      <c r="J7" s="107">
        <f>'Data Entry'!J6</f>
        <v>9494</v>
      </c>
      <c r="K7" s="108"/>
    </row>
    <row r="8" spans="2:30" s="1" customFormat="1" ht="15" customHeight="1" x14ac:dyDescent="0.3">
      <c r="B8" s="125" t="s">
        <v>8</v>
      </c>
      <c r="C8" s="104">
        <f>'Data Entry'!C7</f>
        <v>27</v>
      </c>
      <c r="D8" s="105">
        <f>'Data Entry'!D7</f>
        <v>82</v>
      </c>
      <c r="E8" s="106">
        <f>'Black or African-American'!$G7</f>
        <v>11.672380677998655</v>
      </c>
      <c r="F8" s="107">
        <f>'Data Entry'!E7</f>
        <v>2</v>
      </c>
      <c r="G8" s="106" t="str">
        <f>Hispanic!G7</f>
        <v>**</v>
      </c>
      <c r="H8" s="107">
        <f>'Data Entry'!F7</f>
        <v>1</v>
      </c>
      <c r="I8" s="106" t="str">
        <f>Asian!G7</f>
        <v>**</v>
      </c>
      <c r="J8" s="107">
        <f>'Data Entry'!J7</f>
        <v>85</v>
      </c>
      <c r="K8" s="108">
        <f>'All Minorities'!G7</f>
        <v>5.8980525712145679</v>
      </c>
      <c r="L8"/>
      <c r="N8" s="1">
        <f>'Black or African-American'!L7</f>
        <v>1</v>
      </c>
      <c r="O8" s="1">
        <f>Hispanic!L7</f>
        <v>40</v>
      </c>
      <c r="P8" s="1">
        <f>Asian!L7</f>
        <v>40</v>
      </c>
      <c r="Q8" s="1" t="e">
        <f>Hawaiian!L7</f>
        <v>#VALUE!</v>
      </c>
      <c r="R8" s="1">
        <f>'Am Indian'!L7</f>
        <v>139</v>
      </c>
      <c r="S8" s="1" t="e">
        <f>'Other - Mixed'!L7</f>
        <v>#VALUE!</v>
      </c>
      <c r="T8" s="1">
        <f>'All Minorities'!L7</f>
        <v>1</v>
      </c>
    </row>
    <row r="9" spans="2:30" s="1" customFormat="1" ht="15" customHeight="1" x14ac:dyDescent="0.3">
      <c r="B9" s="125" t="s">
        <v>126</v>
      </c>
      <c r="C9" s="104">
        <f>'Data Entry'!C8</f>
        <v>160</v>
      </c>
      <c r="D9" s="109">
        <f>'Data Entry'!D8</f>
        <v>222</v>
      </c>
      <c r="E9" s="110" t="str">
        <f>'Black or African-American'!$G8</f>
        <v>**</v>
      </c>
      <c r="F9" s="111">
        <f>'Data Entry'!E8</f>
        <v>6</v>
      </c>
      <c r="G9" s="110" t="str">
        <f>Hispanic!G8</f>
        <v>**</v>
      </c>
      <c r="H9" s="111">
        <f>'Data Entry'!F8</f>
        <v>6</v>
      </c>
      <c r="I9" s="110" t="str">
        <f>Asian!G8</f>
        <v>**</v>
      </c>
      <c r="J9" s="111">
        <f>'Data Entry'!J8</f>
        <v>245</v>
      </c>
      <c r="K9" s="112" t="str">
        <f>'All Minorities'!G8</f>
        <v>**</v>
      </c>
      <c r="L9"/>
      <c r="N9" s="1">
        <f>'Black or African-American'!L8</f>
        <v>20</v>
      </c>
      <c r="O9" s="1">
        <f>Hispanic!L8</f>
        <v>40</v>
      </c>
      <c r="P9" s="1">
        <f>Asian!L8</f>
        <v>40</v>
      </c>
      <c r="Q9" s="1">
        <f>Hawaiian!L8</f>
        <v>139</v>
      </c>
      <c r="R9" s="1">
        <f>'Am Indian'!L8</f>
        <v>139</v>
      </c>
      <c r="S9" s="1">
        <f>'Other - Mixed'!L8</f>
        <v>119</v>
      </c>
      <c r="T9" s="1">
        <f>'All Minorities'!L8</f>
        <v>20</v>
      </c>
    </row>
    <row r="10" spans="2:30" s="1" customFormat="1" ht="15" customHeight="1" x14ac:dyDescent="0.3">
      <c r="B10" s="125" t="s">
        <v>10</v>
      </c>
      <c r="C10" s="104">
        <f>'Data Entry'!C9</f>
        <v>81</v>
      </c>
      <c r="D10" s="113">
        <f>'Data Entry'!D9</f>
        <v>107</v>
      </c>
      <c r="E10" s="114">
        <f>'Black or African-American'!$G9</f>
        <v>0.95206317428539633</v>
      </c>
      <c r="F10" s="115">
        <f>'Data Entry'!E9</f>
        <v>6</v>
      </c>
      <c r="G10" s="114" t="str">
        <f>Hispanic!G9</f>
        <v>**</v>
      </c>
      <c r="H10" s="115">
        <f>'Data Entry'!F9</f>
        <v>5</v>
      </c>
      <c r="I10" s="114" t="str">
        <f>Asian!G9</f>
        <v>**</v>
      </c>
      <c r="J10" s="115">
        <f>'Data Entry'!J9</f>
        <v>126</v>
      </c>
      <c r="K10" s="116">
        <f>'All Minorities'!G9</f>
        <v>1.0158730158730158</v>
      </c>
      <c r="L10"/>
      <c r="N10" s="1">
        <f>'Black or African-American'!L9</f>
        <v>2</v>
      </c>
      <c r="O10" s="1">
        <f>Hispanic!L9</f>
        <v>20</v>
      </c>
      <c r="P10" s="1">
        <f>Asian!L9</f>
        <v>40</v>
      </c>
      <c r="Q10" s="1" t="e">
        <f>Hawaiian!L9</f>
        <v>#VALUE!</v>
      </c>
      <c r="R10" s="1" t="e">
        <f>'Am Indian'!L9</f>
        <v>#VALUE!</v>
      </c>
      <c r="S10" s="1">
        <f>'Other - Mixed'!L9</f>
        <v>139</v>
      </c>
      <c r="T10" s="1">
        <f>'All Minorities'!L9</f>
        <v>2</v>
      </c>
    </row>
    <row r="11" spans="2:30" s="1" customFormat="1" ht="15" customHeight="1" x14ac:dyDescent="0.3">
      <c r="B11" s="125" t="s">
        <v>11</v>
      </c>
      <c r="C11" s="104">
        <f>'Data Entry'!C10</f>
        <v>24</v>
      </c>
      <c r="D11" s="109">
        <f>'Data Entry'!D10</f>
        <v>68</v>
      </c>
      <c r="E11" s="110">
        <f>'Black or African-American'!$G10</f>
        <v>2.0420420420420418</v>
      </c>
      <c r="F11" s="111">
        <f>'Data Entry'!E10</f>
        <v>1</v>
      </c>
      <c r="G11" s="110" t="str">
        <f>Hispanic!G10</f>
        <v>**</v>
      </c>
      <c r="H11" s="111">
        <f>'Data Entry'!F10</f>
        <v>0</v>
      </c>
      <c r="I11" s="110" t="str">
        <f>Asian!G10</f>
        <v>**</v>
      </c>
      <c r="J11" s="111">
        <f>'Data Entry'!J10</f>
        <v>70</v>
      </c>
      <c r="K11" s="112">
        <f>'All Minorities'!G10</f>
        <v>1.9047619047619047</v>
      </c>
      <c r="L11"/>
      <c r="N11" s="1">
        <f>'Black or African-American'!L10</f>
        <v>1</v>
      </c>
      <c r="O11" s="1">
        <f>Hispanic!L10</f>
        <v>40</v>
      </c>
      <c r="P11" s="1">
        <f>Asian!L10</f>
        <v>40</v>
      </c>
      <c r="Q11" s="1" t="e">
        <f>Hawaiian!L10</f>
        <v>#VALUE!</v>
      </c>
      <c r="R11" s="1" t="e">
        <f>'Am Indian'!L10</f>
        <v>#VALUE!</v>
      </c>
      <c r="S11" s="1">
        <f>'Other - Mixed'!L10</f>
        <v>139</v>
      </c>
      <c r="T11" s="1">
        <f>'All Minorities'!L10</f>
        <v>1</v>
      </c>
    </row>
    <row r="12" spans="2:30" s="1" customFormat="1" ht="15" customHeight="1" x14ac:dyDescent="0.3">
      <c r="B12" s="125" t="s">
        <v>95</v>
      </c>
      <c r="C12" s="104">
        <f>'Data Entry'!C11</f>
        <v>47</v>
      </c>
      <c r="D12" s="113">
        <f>'Data Entry'!D11</f>
        <v>87</v>
      </c>
      <c r="E12" s="114">
        <f>'Black or African-American'!$G11</f>
        <v>1.3341000575043127</v>
      </c>
      <c r="F12" s="115">
        <f>'Data Entry'!E11</f>
        <v>0</v>
      </c>
      <c r="G12" s="114" t="str">
        <f>Hispanic!G11</f>
        <v>**</v>
      </c>
      <c r="H12" s="115">
        <f>'Data Entry'!F11</f>
        <v>0</v>
      </c>
      <c r="I12" s="114" t="str">
        <f>Asian!G11</f>
        <v>**</v>
      </c>
      <c r="J12" s="115">
        <f>'Data Entry'!J11</f>
        <v>90</v>
      </c>
      <c r="K12" s="116">
        <f>'All Minorities'!G11</f>
        <v>1.250542770299609</v>
      </c>
      <c r="L12"/>
      <c r="N12" s="1">
        <f>'Black or African-American'!L11</f>
        <v>1</v>
      </c>
      <c r="O12" s="1">
        <f>Hispanic!L11</f>
        <v>40</v>
      </c>
      <c r="P12" s="1">
        <f>Asian!L11</f>
        <v>40</v>
      </c>
      <c r="Q12" s="1" t="e">
        <f>Hawaiian!L11</f>
        <v>#VALUE!</v>
      </c>
      <c r="R12" s="1" t="e">
        <f>'Am Indian'!L11</f>
        <v>#VALUE!</v>
      </c>
      <c r="S12" s="1">
        <f>'Other - Mixed'!L11</f>
        <v>139</v>
      </c>
      <c r="T12" s="1">
        <f>'All Minorities'!L11</f>
        <v>2</v>
      </c>
    </row>
    <row r="13" spans="2:30" s="1" customFormat="1" ht="15" customHeight="1" x14ac:dyDescent="0.3">
      <c r="B13" s="125" t="s">
        <v>13</v>
      </c>
      <c r="C13" s="104">
        <f>'Data Entry'!C12</f>
        <v>14</v>
      </c>
      <c r="D13" s="109">
        <f>'Data Entry'!D12</f>
        <v>45</v>
      </c>
      <c r="E13" s="110">
        <f>'Black or African-American'!$G12</f>
        <v>1.7364532019704433</v>
      </c>
      <c r="F13" s="111">
        <f>'Data Entry'!E12</f>
        <v>0</v>
      </c>
      <c r="G13" s="110" t="str">
        <f>Hispanic!G12</f>
        <v>--</v>
      </c>
      <c r="H13" s="111">
        <f>'Data Entry'!F12</f>
        <v>0</v>
      </c>
      <c r="I13" s="110" t="str">
        <f>Asian!G12</f>
        <v>--</v>
      </c>
      <c r="J13" s="111">
        <f>'Data Entry'!J12</f>
        <v>46</v>
      </c>
      <c r="K13" s="112">
        <f>'All Minorities'!G12</f>
        <v>1.7158730158730156</v>
      </c>
      <c r="L13"/>
      <c r="N13" s="1">
        <f>'Black or African-American'!L12</f>
        <v>1</v>
      </c>
      <c r="O13" s="1" t="e">
        <f>Hispanic!L12</f>
        <v>#VALUE!</v>
      </c>
      <c r="P13" s="1" t="e">
        <f>Asian!L12</f>
        <v>#VALUE!</v>
      </c>
      <c r="Q13" s="1" t="e">
        <f>Hawaiian!L12</f>
        <v>#VALUE!</v>
      </c>
      <c r="R13" s="1" t="e">
        <f>'Am Indian'!L12</f>
        <v>#VALUE!</v>
      </c>
      <c r="S13" s="1">
        <f>'Other - Mixed'!L12</f>
        <v>139</v>
      </c>
      <c r="T13" s="1">
        <f>'All Minorities'!L12</f>
        <v>1</v>
      </c>
      <c r="W13" s="135"/>
      <c r="X13" s="135"/>
      <c r="Y13" s="135"/>
      <c r="Z13" s="135"/>
      <c r="AA13" s="135"/>
      <c r="AB13" s="135"/>
      <c r="AC13" s="135"/>
      <c r="AD13" s="135"/>
    </row>
    <row r="14" spans="2:30" s="1" customFormat="1" ht="15" customHeight="1" x14ac:dyDescent="0.3">
      <c r="B14" s="125" t="s">
        <v>14</v>
      </c>
      <c r="C14" s="104">
        <f>'Data Entry'!C13</f>
        <v>46</v>
      </c>
      <c r="D14" s="113">
        <f>'Data Entry'!D13</f>
        <v>85</v>
      </c>
      <c r="E14" s="114" t="str">
        <f>'Black or African-American'!$G13</f>
        <v>**</v>
      </c>
      <c r="F14" s="115">
        <f>'Data Entry'!E13</f>
        <v>0</v>
      </c>
      <c r="G14" s="114" t="str">
        <f>Hispanic!G13</f>
        <v>--</v>
      </c>
      <c r="H14" s="115">
        <f>'Data Entry'!F13</f>
        <v>0</v>
      </c>
      <c r="I14" s="114" t="str">
        <f>Asian!G13</f>
        <v>--</v>
      </c>
      <c r="J14" s="115">
        <f>'Data Entry'!J13</f>
        <v>86</v>
      </c>
      <c r="K14" s="116" t="str">
        <f>'All Minorities'!G13</f>
        <v>**</v>
      </c>
      <c r="L14"/>
      <c r="N14" s="1">
        <f>'Black or African-American'!L13</f>
        <v>20</v>
      </c>
      <c r="O14" s="1" t="e">
        <f>Hispanic!L13</f>
        <v>#VALUE!</v>
      </c>
      <c r="P14" s="1" t="e">
        <f>Asian!L13</f>
        <v>#VALUE!</v>
      </c>
      <c r="Q14" s="1" t="e">
        <f>Hawaiian!L13</f>
        <v>#VALUE!</v>
      </c>
      <c r="R14" s="1" t="e">
        <f>'Am Indian'!L13</f>
        <v>#VALUE!</v>
      </c>
      <c r="S14" s="1">
        <f>'Other - Mixed'!L13</f>
        <v>139</v>
      </c>
      <c r="T14" s="1">
        <f>'All Minorities'!L13</f>
        <v>20</v>
      </c>
      <c r="W14" s="135"/>
      <c r="X14" s="135"/>
      <c r="Y14" s="135"/>
      <c r="Z14" s="135"/>
      <c r="AA14" s="135"/>
      <c r="AB14" s="135"/>
      <c r="AC14" s="135"/>
      <c r="AD14" s="135"/>
    </row>
    <row r="15" spans="2:30" s="1" customFormat="1" ht="33" x14ac:dyDescent="0.3">
      <c r="B15" s="130" t="s">
        <v>115</v>
      </c>
      <c r="C15" s="104">
        <f>'Data Entry'!C14</f>
        <v>1</v>
      </c>
      <c r="D15" s="109">
        <f>'Data Entry'!D14</f>
        <v>2</v>
      </c>
      <c r="E15" s="110" t="str">
        <f>'Black or African-American'!$G14</f>
        <v>**</v>
      </c>
      <c r="F15" s="111">
        <f>'Data Entry'!E14</f>
        <v>0</v>
      </c>
      <c r="G15" s="110" t="str">
        <f>Hispanic!G14</f>
        <v>--</v>
      </c>
      <c r="H15" s="111">
        <f>'Data Entry'!F14</f>
        <v>0</v>
      </c>
      <c r="I15" s="110" t="str">
        <f>Asian!G14</f>
        <v>--</v>
      </c>
      <c r="J15" s="111">
        <f>'Data Entry'!J14</f>
        <v>2</v>
      </c>
      <c r="K15" s="112" t="str">
        <f>'All Minorities'!G14</f>
        <v>**</v>
      </c>
      <c r="L15"/>
      <c r="N15" s="1">
        <f>'Black or African-American'!L14</f>
        <v>40</v>
      </c>
      <c r="O15" s="1" t="e">
        <f>Hispanic!L14</f>
        <v>#VALUE!</v>
      </c>
      <c r="P15" s="1" t="e">
        <f>Asian!L14</f>
        <v>#VALUE!</v>
      </c>
      <c r="Q15" s="1" t="e">
        <f>Hawaiian!L14</f>
        <v>#VALUE!</v>
      </c>
      <c r="R15" s="1" t="e">
        <f>'Am Indian'!L14</f>
        <v>#VALUE!</v>
      </c>
      <c r="S15" s="1">
        <f>'Other - Mixed'!L14</f>
        <v>139</v>
      </c>
      <c r="T15" s="1">
        <f>'All Minorities'!L14</f>
        <v>40</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112</v>
      </c>
      <c r="C19" s="200"/>
      <c r="D19" s="200"/>
      <c r="E19" s="200"/>
      <c r="F19" s="200"/>
      <c r="G19" s="200"/>
      <c r="H19" s="200"/>
      <c r="I19" s="201"/>
      <c r="J19" s="202"/>
      <c r="K19" s="203"/>
    </row>
    <row r="20" spans="2:30" ht="15.75" x14ac:dyDescent="0.3">
      <c r="B20" s="160" t="s">
        <v>117</v>
      </c>
      <c r="C20" s="207" t="s">
        <v>53</v>
      </c>
      <c r="D20" s="208"/>
      <c r="E20" s="191" t="s">
        <v>56</v>
      </c>
      <c r="F20" s="192"/>
      <c r="G20" s="192"/>
      <c r="H20" s="192"/>
      <c r="I20" s="192"/>
      <c r="J20" s="192"/>
      <c r="K20" s="161" t="s">
        <v>57</v>
      </c>
    </row>
    <row r="21" spans="2:30" ht="15" customHeight="1" x14ac:dyDescent="0.3">
      <c r="B21" s="162" t="s">
        <v>118</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Washtenaw County Juvenile Court</v>
      </c>
      <c r="E27" s="1" t="str">
        <f>'Data Entry'!D20</f>
        <v>Item 4.Diversion: Washtenaw County Juvenile Court</v>
      </c>
      <c r="I27" s="97"/>
    </row>
    <row r="28" spans="2:30" ht="12.75" customHeight="1" x14ac:dyDescent="0.25">
      <c r="B28" s="1" t="str">
        <f>'Data Entry'!A21</f>
        <v>Item 5.Detention: Washtenaw County Juvenile Court</v>
      </c>
      <c r="E28" s="1" t="str">
        <f>'Data Entry'!D21</f>
        <v>Item 6.Petitioned: Washtenaw County Juvenile Court</v>
      </c>
      <c r="I28" s="97"/>
    </row>
    <row r="29" spans="2:30" ht="12.75" customHeight="1" x14ac:dyDescent="0.25">
      <c r="B29" s="1" t="str">
        <f>'Data Entry'!A22</f>
        <v>Item 7.Delinquent: Washtenaw County Juvenile Court</v>
      </c>
      <c r="E29" s="1" t="str">
        <f>'Data Entry'!D22</f>
        <v>Item 8.Probation: Washtenaw County Juvenile Court</v>
      </c>
      <c r="I29" s="97"/>
    </row>
    <row r="30" spans="2:30" ht="12.75" customHeight="1" x14ac:dyDescent="0.25">
      <c r="B30" s="1" t="str">
        <f>'Data Entry'!A23</f>
        <v>Item 9.Confinement: Washtenaw County Juvenile Court</v>
      </c>
      <c r="E30" s="1" t="str">
        <f>'Data Entry'!D23</f>
        <v>Item 10.Transferred: Washtenaw County Juvenile Court</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Washtenaw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17787</v>
      </c>
      <c r="D6" s="34"/>
      <c r="E6" s="33">
        <f>'Data Entry'!D6</f>
        <v>4628</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27</v>
      </c>
      <c r="D7" s="34">
        <f>IF((AND(C66&gt;0,C7&gt;0)),(C7/C66),0)</f>
        <v>1.5179625569235959</v>
      </c>
      <c r="E7" s="33">
        <f>'Data Entry'!D7</f>
        <v>82</v>
      </c>
      <c r="F7" s="34">
        <f>IF((AND($E$7&gt;0,$D$66&gt;0)),($E$7/$D$66),0)</f>
        <v>17.718236819360413</v>
      </c>
      <c r="G7" s="39">
        <f>IF(L$6=100,"*",IF(M7=FALSE,"--",IF(K7=20,"**",($F7/$D7))))</f>
        <v>11.672380677998655</v>
      </c>
      <c r="H7" s="40"/>
      <c r="I7" s="41"/>
      <c r="J7" s="40">
        <f>IF((ABS($U7)&gt;Defaults!D$7),1,2)</f>
        <v>1</v>
      </c>
      <c r="K7" s="39">
        <f>IF((AND(N7&gt;Defaults!B$12,(N7+O7)&gt;Defaults!B$13, P7 &gt; Defaults!B$12, (P7+Q7) &gt; Defaults!B$13)),1,20)</f>
        <v>1</v>
      </c>
      <c r="L7" s="1">
        <f>(J7*K7+L$6)-1</f>
        <v>1</v>
      </c>
      <c r="M7" s="1" t="b">
        <f t="shared" ref="M7:M15" si="0">(ISNUMBER(J7))</f>
        <v>1</v>
      </c>
      <c r="N7" s="42">
        <f t="shared" ref="N7:N15" si="1">E7</f>
        <v>82</v>
      </c>
      <c r="O7" s="42">
        <f>E6-E7</f>
        <v>4546</v>
      </c>
      <c r="P7" s="42">
        <f t="shared" ref="P7:P15" si="2">C7</f>
        <v>27</v>
      </c>
      <c r="Q7" s="42">
        <f>C6-C7</f>
        <v>17760</v>
      </c>
      <c r="R7" s="42">
        <f t="shared" ref="R7:R15" si="3">SUM(N7:Q7)</f>
        <v>22415</v>
      </c>
      <c r="S7" s="30">
        <f t="shared" ref="S7:S15" si="4">R7*((((N7*Q7)-(O7*P7))^2))</f>
        <v>3.9863514772912864E+16</v>
      </c>
      <c r="T7" s="30">
        <f t="shared" ref="T7:T15" si="5">(N7+O7)*(P7+Q7)*(N7+P7)*(O7+Q7)</f>
        <v>200144772371544</v>
      </c>
      <c r="U7" s="31">
        <f t="shared" ref="U7:U15" si="6">IF((S7&gt;0),S7/T7,"- -")</f>
        <v>199.17339983734965</v>
      </c>
    </row>
    <row r="8" spans="2:21" ht="18" customHeight="1" x14ac:dyDescent="0.25">
      <c r="B8" s="32" t="str">
        <f>'Data Entry'!A8</f>
        <v>3. Refer to Juvenile Court</v>
      </c>
      <c r="C8" s="33">
        <f>'Data Entry'!C8</f>
        <v>160</v>
      </c>
      <c r="D8" s="34">
        <f>IF((AND(C67&gt;0,C8&gt;0)),(C8/C67),0)</f>
        <v>592.59259259259261</v>
      </c>
      <c r="E8" s="33">
        <f>'Data Entry'!D8</f>
        <v>222</v>
      </c>
      <c r="F8" s="34">
        <f>IF((AND($E$8&gt;0,$D$67&gt;0)),($E8/$D67),0)</f>
        <v>270.73170731707319</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222</v>
      </c>
      <c r="O8" s="42">
        <f>((D67*L67)-E8)+0.05</f>
        <v>-139.94999999999999</v>
      </c>
      <c r="P8" s="42">
        <f t="shared" si="2"/>
        <v>160</v>
      </c>
      <c r="Q8" s="42">
        <f>(C$67*L67)-C8</f>
        <v>-133</v>
      </c>
      <c r="R8" s="42">
        <f t="shared" si="3"/>
        <v>109.05000000000001</v>
      </c>
      <c r="S8" s="30">
        <f t="shared" si="4"/>
        <v>5549985901.8000002</v>
      </c>
      <c r="T8" s="30">
        <f t="shared" si="5"/>
        <v>-230987676.91500005</v>
      </c>
      <c r="U8" s="31">
        <f t="shared" si="6"/>
        <v>-24.027194766075379</v>
      </c>
    </row>
    <row r="9" spans="2:21" ht="18" customHeight="1" x14ac:dyDescent="0.25">
      <c r="B9" s="32" t="str">
        <f>'Data Entry'!A9</f>
        <v xml:space="preserve">4. Cases Diverted </v>
      </c>
      <c r="C9" s="33">
        <f>'Data Entry'!C9</f>
        <v>81</v>
      </c>
      <c r="D9" s="34">
        <f>IF((AND(C68&gt;0,C9&gt;0)),((C9/C68)),0)</f>
        <v>50.625</v>
      </c>
      <c r="E9" s="33">
        <f>'Data Entry'!D9</f>
        <v>107</v>
      </c>
      <c r="F9" s="34">
        <f>IF((AND($E$9&gt;0,$D$68&gt;0)),(($E$9/$D$68)),0)</f>
        <v>48.198198198198192</v>
      </c>
      <c r="G9" s="39">
        <f t="shared" si="7"/>
        <v>0.95206317428539633</v>
      </c>
      <c r="H9" s="40"/>
      <c r="I9" s="41"/>
      <c r="J9" s="40">
        <f>IF((ABS($U9)&gt;Defaults!D$7),1,2)</f>
        <v>2</v>
      </c>
      <c r="K9" s="39">
        <f>IF((AND(N9&gt;Defaults!B$12,(N9+O9)&gt;Defaults!B$13, P9 &gt; Defaults!B$12, (P9+Q9) &gt; Defaults!B$13)),1,20)</f>
        <v>1</v>
      </c>
      <c r="L9" s="1">
        <f t="shared" si="8"/>
        <v>2</v>
      </c>
      <c r="M9" s="1" t="b">
        <f t="shared" si="0"/>
        <v>1</v>
      </c>
      <c r="N9" s="42">
        <f t="shared" si="1"/>
        <v>107</v>
      </c>
      <c r="O9" s="42">
        <f>(D$68*L68)-E9</f>
        <v>115.00000000000003</v>
      </c>
      <c r="P9" s="42">
        <f t="shared" si="2"/>
        <v>81</v>
      </c>
      <c r="Q9" s="42">
        <f>(C$68*L68)-C9</f>
        <v>79</v>
      </c>
      <c r="R9" s="42">
        <f t="shared" si="3"/>
        <v>382</v>
      </c>
      <c r="S9" s="30">
        <f t="shared" si="4"/>
        <v>283842808.00000119</v>
      </c>
      <c r="T9" s="30">
        <f t="shared" si="5"/>
        <v>1295485440.0000005</v>
      </c>
      <c r="U9" s="31">
        <f t="shared" si="6"/>
        <v>0.21910150375754212</v>
      </c>
    </row>
    <row r="10" spans="2:21" ht="18" customHeight="1" x14ac:dyDescent="0.25">
      <c r="B10" s="32" t="str">
        <f>'Data Entry'!A10</f>
        <v>5. Cases Involving Secure Detention</v>
      </c>
      <c r="C10" s="33">
        <f>'Data Entry'!C10</f>
        <v>24</v>
      </c>
      <c r="D10" s="34">
        <f>IF(((AND(C68&gt;0,C10&gt;0))),(C10/(C68)),0)</f>
        <v>15</v>
      </c>
      <c r="E10" s="33">
        <f>'Data Entry'!D10</f>
        <v>68</v>
      </c>
      <c r="F10" s="34">
        <f>IF(((AND($E$10&gt;0,$D$68&gt;0))),($E$10/($D$68)),0)</f>
        <v>30.630630630630627</v>
      </c>
      <c r="G10" s="39">
        <f t="shared" si="7"/>
        <v>2.0420420420420418</v>
      </c>
      <c r="H10" s="40"/>
      <c r="I10" s="41"/>
      <c r="J10" s="40">
        <f>IF((ABS($U10)&gt;Defaults!D$7),1,2)</f>
        <v>1</v>
      </c>
      <c r="K10" s="39">
        <f>IF((AND(N10&gt;Defaults!B$12,(N10+O10)&gt;Defaults!B$13, P10 &gt; Defaults!B$12, (P10+Q10) &gt; Defaults!B$13)),1,20)</f>
        <v>1</v>
      </c>
      <c r="L10" s="1">
        <f t="shared" si="8"/>
        <v>1</v>
      </c>
      <c r="M10" s="1" t="b">
        <f t="shared" si="0"/>
        <v>1</v>
      </c>
      <c r="N10" s="42">
        <f t="shared" si="1"/>
        <v>68</v>
      </c>
      <c r="O10" s="42">
        <f>(D$68*L68)-E10</f>
        <v>154.00000000000003</v>
      </c>
      <c r="P10" s="42">
        <f t="shared" si="2"/>
        <v>24</v>
      </c>
      <c r="Q10" s="42">
        <f>(C$68*L68)-C10</f>
        <v>136</v>
      </c>
      <c r="R10" s="42">
        <f t="shared" si="3"/>
        <v>382</v>
      </c>
      <c r="S10" s="30">
        <f t="shared" si="4"/>
        <v>11775036927.999996</v>
      </c>
      <c r="T10" s="30">
        <f t="shared" si="5"/>
        <v>947673600.00000012</v>
      </c>
      <c r="U10" s="31">
        <f t="shared" si="6"/>
        <v>12.425203074138601</v>
      </c>
    </row>
    <row r="11" spans="2:21" ht="18" customHeight="1" x14ac:dyDescent="0.25">
      <c r="B11" s="32" t="str">
        <f>'Data Entry'!A11</f>
        <v>6. Cases Petitioned (Charge Filed)</v>
      </c>
      <c r="C11" s="33">
        <f>'Data Entry'!C11</f>
        <v>47</v>
      </c>
      <c r="D11" s="34">
        <f>IF(((AND(C68&gt;0,C11&gt;0))),(C11/(C68)),0)</f>
        <v>29.375</v>
      </c>
      <c r="E11" s="33">
        <f>'Data Entry'!D11</f>
        <v>87</v>
      </c>
      <c r="F11" s="34">
        <f>IF(((AND($E$11&gt;0,$D$68&gt;0))),($E$11/($D$68)),0)</f>
        <v>39.189189189189186</v>
      </c>
      <c r="G11" s="39">
        <f t="shared" si="7"/>
        <v>1.3341000575043127</v>
      </c>
      <c r="H11" s="40"/>
      <c r="I11" s="41"/>
      <c r="J11" s="40">
        <f>IF((ABS($U11)&gt;Defaults!D$7),1,2)</f>
        <v>1</v>
      </c>
      <c r="K11" s="39">
        <f>IF((AND(N11&gt;Defaults!B$12,(N11+O11)&gt;Defaults!B$13, P11 &gt; Defaults!B$12, (P11+Q11) &gt; Defaults!B$13)),1,20)</f>
        <v>1</v>
      </c>
      <c r="L11" s="1">
        <f t="shared" si="8"/>
        <v>1</v>
      </c>
      <c r="M11" s="1" t="b">
        <f t="shared" si="0"/>
        <v>1</v>
      </c>
      <c r="N11" s="42">
        <f t="shared" si="1"/>
        <v>87</v>
      </c>
      <c r="O11" s="42">
        <f>(D$68*L68)-E11</f>
        <v>135.00000000000003</v>
      </c>
      <c r="P11" s="42">
        <f t="shared" si="2"/>
        <v>47</v>
      </c>
      <c r="Q11" s="42">
        <f>(C$68*L68)-C11</f>
        <v>113</v>
      </c>
      <c r="R11" s="42">
        <f t="shared" si="3"/>
        <v>382</v>
      </c>
      <c r="S11" s="30">
        <f t="shared" si="4"/>
        <v>4642138871.9999981</v>
      </c>
      <c r="T11" s="30">
        <f t="shared" si="5"/>
        <v>1180400640.0000005</v>
      </c>
      <c r="U11" s="31">
        <f t="shared" si="6"/>
        <v>3.9326807481229391</v>
      </c>
    </row>
    <row r="12" spans="2:21" ht="18" customHeight="1" x14ac:dyDescent="0.25">
      <c r="B12" s="32" t="str">
        <f>'Data Entry'!A12</f>
        <v>7. Cases Resulting in Delinquent Findings</v>
      </c>
      <c r="C12" s="33">
        <f>'Data Entry'!C12</f>
        <v>14</v>
      </c>
      <c r="D12" s="34">
        <f>IF(((AND(C69&gt;0,C12&gt;0))),(C12/(C69)),0)</f>
        <v>29.787234042553195</v>
      </c>
      <c r="E12" s="33">
        <f>'Data Entry'!D12</f>
        <v>45</v>
      </c>
      <c r="F12" s="34">
        <f>IF(((AND($D$69&gt;0,$E$12&gt;0))),(E12/(D69)),0)</f>
        <v>51.724137931034484</v>
      </c>
      <c r="G12" s="39">
        <f t="shared" si="7"/>
        <v>1.7364532019704433</v>
      </c>
      <c r="H12" s="40"/>
      <c r="I12" s="41"/>
      <c r="J12" s="40">
        <f>IF((ABS($U12)&gt;Defaults!D$7),1,2)</f>
        <v>1</v>
      </c>
      <c r="K12" s="39">
        <f>IF((AND(N12&gt;Defaults!B$12,(N12+O12)&gt;Defaults!B$13, P12 &gt; Defaults!B$12, (P12+Q12) &gt; Defaults!B$13)),1,20)</f>
        <v>1</v>
      </c>
      <c r="L12" s="1">
        <f t="shared" si="8"/>
        <v>1</v>
      </c>
      <c r="M12" s="1" t="b">
        <f t="shared" si="0"/>
        <v>1</v>
      </c>
      <c r="N12" s="42">
        <f t="shared" si="1"/>
        <v>45</v>
      </c>
      <c r="O12" s="42">
        <f>(D69*L69)-E12</f>
        <v>42</v>
      </c>
      <c r="P12" s="42">
        <f t="shared" si="2"/>
        <v>14</v>
      </c>
      <c r="Q12" s="42">
        <f>(C69*L69)-C12</f>
        <v>33</v>
      </c>
      <c r="R12" s="42">
        <f t="shared" si="3"/>
        <v>134</v>
      </c>
      <c r="S12" s="30">
        <f t="shared" si="4"/>
        <v>107817606</v>
      </c>
      <c r="T12" s="30">
        <f t="shared" si="5"/>
        <v>18093825</v>
      </c>
      <c r="U12" s="31">
        <f t="shared" si="6"/>
        <v>5.9588067199721451</v>
      </c>
    </row>
    <row r="13" spans="2:21" ht="18" customHeight="1" x14ac:dyDescent="0.25">
      <c r="B13" s="32" t="str">
        <f>'Data Entry'!A13</f>
        <v>8. Cases Resulting in Probation Placement</v>
      </c>
      <c r="C13" s="33">
        <f>'Data Entry'!C13</f>
        <v>46</v>
      </c>
      <c r="D13" s="34">
        <f>IF(((AND(C70&gt;0,C13&gt;0))),(C13/(C70)),0)</f>
        <v>328.57142857142856</v>
      </c>
      <c r="E13" s="33">
        <f>'Data Entry'!D13</f>
        <v>85</v>
      </c>
      <c r="F13" s="34">
        <f>IF(((AND($D$70&gt;0,$E$13&gt;0))),($E$13/($D$70)),0)</f>
        <v>188.88888888888889</v>
      </c>
      <c r="G13" s="39" t="str">
        <f t="shared" si="7"/>
        <v>**</v>
      </c>
      <c r="H13" s="40"/>
      <c r="I13" s="41"/>
      <c r="J13" s="40">
        <f>IF((ABS($U13)&gt;Defaults!D$7),1,2)</f>
        <v>1</v>
      </c>
      <c r="K13" s="39">
        <f>IF((AND(N13&gt;Defaults!B$12,(N13+O13)&gt;Defaults!B$13, P13 &gt; Defaults!B$12, (P13+Q13) &gt; Defaults!B$13)),1,20)</f>
        <v>20</v>
      </c>
      <c r="L13" s="1">
        <f t="shared" si="8"/>
        <v>20</v>
      </c>
      <c r="M13" s="1" t="b">
        <f t="shared" si="0"/>
        <v>1</v>
      </c>
      <c r="N13" s="42">
        <f t="shared" si="1"/>
        <v>85</v>
      </c>
      <c r="O13" s="42">
        <f>(D70*L70)-E13</f>
        <v>-40</v>
      </c>
      <c r="P13" s="42">
        <f t="shared" si="2"/>
        <v>46</v>
      </c>
      <c r="Q13" s="42">
        <f>(C70*L70)-C13</f>
        <v>-32</v>
      </c>
      <c r="R13" s="42">
        <f t="shared" si="3"/>
        <v>59</v>
      </c>
      <c r="S13" s="30">
        <f t="shared" si="4"/>
        <v>45689600</v>
      </c>
      <c r="T13" s="30">
        <f t="shared" si="5"/>
        <v>-5942160</v>
      </c>
      <c r="U13" s="31">
        <f t="shared" si="6"/>
        <v>-7.6890558315494699</v>
      </c>
    </row>
    <row r="14" spans="2:21" ht="30.75" customHeight="1" x14ac:dyDescent="0.25">
      <c r="B14" s="32" t="str">
        <f>'Data Entry'!A14</f>
        <v xml:space="preserve">9. Cases Resulting in Confinement in Secure Juvenile Correctional Facilities </v>
      </c>
      <c r="C14" s="33">
        <f>'Data Entry'!C14</f>
        <v>1</v>
      </c>
      <c r="D14" s="34">
        <f>IF(((AND(C70&gt;0,C14&gt;0))), ((C14/(C70))),0)</f>
        <v>7.1428571428571423</v>
      </c>
      <c r="E14" s="33">
        <f>'Data Entry'!D14</f>
        <v>2</v>
      </c>
      <c r="F14" s="34">
        <f>IF(((AND($D$70&gt;0,$E$14&gt;0))), (($E$14/($D$70))),0)</f>
        <v>4.4444444444444446</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2</v>
      </c>
      <c r="O14" s="42">
        <f>(D70*L70)-E14</f>
        <v>43</v>
      </c>
      <c r="P14" s="42">
        <f t="shared" si="2"/>
        <v>1</v>
      </c>
      <c r="Q14" s="42">
        <f>(C70*L70)-C14</f>
        <v>13.000000000000002</v>
      </c>
      <c r="R14" s="42">
        <f t="shared" si="3"/>
        <v>59</v>
      </c>
      <c r="S14" s="30">
        <f t="shared" si="4"/>
        <v>17050.999999999993</v>
      </c>
      <c r="T14" s="30">
        <f t="shared" si="5"/>
        <v>105840.00000000003</v>
      </c>
      <c r="U14" s="31">
        <f t="shared" si="6"/>
        <v>0.16110166288737707</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87</v>
      </c>
      <c r="P15" s="42">
        <f t="shared" si="2"/>
        <v>0</v>
      </c>
      <c r="Q15" s="42">
        <f>(C69*L69)-C15</f>
        <v>47</v>
      </c>
      <c r="R15" s="42">
        <f t="shared" si="3"/>
        <v>134</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17.786999999999999</v>
      </c>
      <c r="D42" s="56">
        <f>E6/1000</f>
        <v>4.6280000000000001</v>
      </c>
      <c r="E42" s="56">
        <f>MAX(C42:D42)</f>
        <v>17.786999999999999</v>
      </c>
      <c r="G42" s="1" t="str">
        <f>B42</f>
        <v>per 1000 youth</v>
      </c>
      <c r="L42" s="57">
        <v>1000</v>
      </c>
      <c r="M42" s="57"/>
      <c r="R42" s="49"/>
    </row>
    <row r="43" spans="2:18" ht="15" hidden="1" customHeight="1" x14ac:dyDescent="0.25">
      <c r="B43" s="49" t="s">
        <v>87</v>
      </c>
      <c r="C43" s="56">
        <f>C7/100</f>
        <v>0.27</v>
      </c>
      <c r="D43" s="56">
        <f>E7/100</f>
        <v>0.82</v>
      </c>
      <c r="E43" s="56">
        <f>MAX(C43:D43,0)</f>
        <v>0.82</v>
      </c>
      <c r="G43" s="1" t="str">
        <f>B43</f>
        <v>per 100 arrests</v>
      </c>
      <c r="L43" s="57">
        <v>100</v>
      </c>
      <c r="M43" s="57"/>
      <c r="R43" s="49"/>
    </row>
    <row r="44" spans="2:18" ht="15" hidden="1" customHeight="1" x14ac:dyDescent="0.25">
      <c r="B44" s="49" t="s">
        <v>88</v>
      </c>
      <c r="C44" s="56">
        <f>C8/100</f>
        <v>1.6</v>
      </c>
      <c r="D44" s="56">
        <f>E8/100</f>
        <v>2.2200000000000002</v>
      </c>
      <c r="E44" s="56">
        <f>MAX(C44:D44,0)</f>
        <v>2.2200000000000002</v>
      </c>
      <c r="G44" s="1" t="str">
        <f>B44</f>
        <v>per 100 referrals</v>
      </c>
      <c r="L44" s="57">
        <v>100</v>
      </c>
      <c r="M44" s="57"/>
      <c r="R44" s="49"/>
    </row>
    <row r="45" spans="2:18" ht="15" hidden="1" customHeight="1" x14ac:dyDescent="0.25">
      <c r="B45" s="49" t="s">
        <v>89</v>
      </c>
      <c r="C45" s="49">
        <f>C11/100</f>
        <v>0.47</v>
      </c>
      <c r="D45" s="49">
        <f>E11/100</f>
        <v>0.87</v>
      </c>
      <c r="E45" s="56">
        <f>MAX(C45:D45,0)</f>
        <v>0.87</v>
      </c>
      <c r="G45" s="1" t="str">
        <f>B45</f>
        <v>per 100 youth petitioned</v>
      </c>
      <c r="L45" s="57">
        <v>100</v>
      </c>
      <c r="M45" s="57"/>
      <c r="R45" s="49"/>
    </row>
    <row r="46" spans="2:18" ht="15" hidden="1" customHeight="1" x14ac:dyDescent="0.25">
      <c r="B46" s="49" t="s">
        <v>90</v>
      </c>
      <c r="C46" s="49">
        <f>C12/100</f>
        <v>0.14000000000000001</v>
      </c>
      <c r="D46" s="49">
        <f>E12/100</f>
        <v>0.45</v>
      </c>
      <c r="E46" s="56">
        <f>MAX(C46:D46)</f>
        <v>0.45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17.786999999999999</v>
      </c>
      <c r="D48" s="56">
        <f>D42</f>
        <v>4.6280000000000001</v>
      </c>
      <c r="E48" s="56">
        <f>MAX(C48:D48)</f>
        <v>17.786999999999999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0.27</v>
      </c>
      <c r="D49" s="49">
        <f t="shared" si="9"/>
        <v>0.82</v>
      </c>
      <c r="E49" s="49">
        <f>MAX(C49:D49)</f>
        <v>0.82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1.6</v>
      </c>
      <c r="D50" s="49">
        <f t="shared" si="9"/>
        <v>2.2200000000000002</v>
      </c>
      <c r="E50" s="49">
        <f>MAX(C50:D50)</f>
        <v>2.2200000000000002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0.47</v>
      </c>
      <c r="D51" s="49">
        <f>IF(($E45&gt;0),D45,D44)</f>
        <v>0.87</v>
      </c>
      <c r="E51" s="49">
        <f>MAX(C51:D51)</f>
        <v>0.87</v>
      </c>
      <c r="G51" s="1" t="str">
        <f>G45</f>
        <v>per 100 youth petitioned</v>
      </c>
      <c r="L51" s="58">
        <f>IF(($E45&gt;0),L45,L44)</f>
        <v>100</v>
      </c>
      <c r="M51" s="58"/>
    </row>
    <row r="52" spans="2:18" ht="15" hidden="1" customHeight="1" x14ac:dyDescent="0.25">
      <c r="B52" s="49" t="str">
        <f>IF(($E46&gt;0),B46,B45)</f>
        <v>per 100 youth found delinquent</v>
      </c>
      <c r="C52" s="49">
        <f>IF(($E46&gt;0),C46,C45)</f>
        <v>0.14000000000000001</v>
      </c>
      <c r="D52" s="49">
        <f>IF(($E46&gt;0),D46,D45)</f>
        <v>0.45</v>
      </c>
      <c r="E52" s="56">
        <f>MAX(C52:D52)</f>
        <v>0.45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17.786999999999999</v>
      </c>
      <c r="D54" s="56">
        <f>D48</f>
        <v>4.6280000000000001</v>
      </c>
      <c r="E54" s="56">
        <f>MAX(C54:D54)</f>
        <v>17.786999999999999</v>
      </c>
      <c r="G54" s="1" t="str">
        <f>G48</f>
        <v>per 1000 youth</v>
      </c>
      <c r="L54" s="58">
        <f>L48</f>
        <v>1000</v>
      </c>
      <c r="M54" s="58"/>
    </row>
    <row r="55" spans="2:18" ht="15" hidden="1" customHeight="1" x14ac:dyDescent="0.25">
      <c r="B55" s="49" t="str">
        <f t="shared" ref="B55:D56" si="10">IF(($E49&gt;0),B49,B48)</f>
        <v>per 100 arrests</v>
      </c>
      <c r="C55" s="49">
        <f t="shared" si="10"/>
        <v>0.27</v>
      </c>
      <c r="D55" s="49">
        <f t="shared" si="10"/>
        <v>0.82</v>
      </c>
      <c r="E55" s="49">
        <f>MAX(C55:D55)</f>
        <v>0.82</v>
      </c>
      <c r="G55" s="1" t="str">
        <f>G49</f>
        <v>per 100 arrests</v>
      </c>
      <c r="L55" s="58">
        <f>IF(($E49&gt;0),L49,L48)</f>
        <v>100</v>
      </c>
      <c r="M55" s="58"/>
    </row>
    <row r="56" spans="2:18" ht="15" hidden="1" customHeight="1" x14ac:dyDescent="0.25">
      <c r="B56" s="49" t="str">
        <f t="shared" si="10"/>
        <v>per 100 referrals</v>
      </c>
      <c r="C56" s="49">
        <f t="shared" si="10"/>
        <v>1.6</v>
      </c>
      <c r="D56" s="49">
        <f t="shared" si="10"/>
        <v>2.2200000000000002</v>
      </c>
      <c r="E56" s="49">
        <f>MAX(C56:D56)</f>
        <v>2.2200000000000002</v>
      </c>
      <c r="G56" s="1" t="str">
        <f>G50</f>
        <v>per 100 referrals</v>
      </c>
      <c r="L56" s="58">
        <f>IF(($E50&gt;0),L50,L49)</f>
        <v>100</v>
      </c>
      <c r="M56" s="58"/>
    </row>
    <row r="57" spans="2:18" ht="15" hidden="1" customHeight="1" x14ac:dyDescent="0.25">
      <c r="B57" s="49" t="str">
        <f>IF(($E51&gt;0),B51,B49)</f>
        <v>per 100 youth petitioned</v>
      </c>
      <c r="C57" s="49">
        <f>IF(($E51&gt;0),C51,C50)</f>
        <v>0.47</v>
      </c>
      <c r="D57" s="49">
        <f>IF(($E51&gt;0),D51,D50)</f>
        <v>0.87</v>
      </c>
      <c r="E57" s="49">
        <f>MAX(C57:D57)</f>
        <v>0.87</v>
      </c>
      <c r="G57" s="1" t="str">
        <f>G51</f>
        <v>per 100 youth petitioned</v>
      </c>
      <c r="L57" s="58">
        <f>IF(($E51&gt;0),L51,L50)</f>
        <v>100</v>
      </c>
      <c r="M57" s="58"/>
    </row>
    <row r="58" spans="2:18" ht="15" hidden="1" customHeight="1" x14ac:dyDescent="0.25">
      <c r="B58" s="49" t="str">
        <f>IF(($E52&gt;0),B52,B51)</f>
        <v>per 100 youth found delinquent</v>
      </c>
      <c r="C58" s="49">
        <f>IF(($E52&gt;0),C52,C51)</f>
        <v>0.14000000000000001</v>
      </c>
      <c r="D58" s="49">
        <f>IF(($E52&gt;0),D52,D51)</f>
        <v>0.45</v>
      </c>
      <c r="E58" s="56">
        <f>MAX(C58:D58)</f>
        <v>0.45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17.786999999999999</v>
      </c>
      <c r="D60" s="56">
        <f>D54</f>
        <v>4.6280000000000001</v>
      </c>
      <c r="E60" s="56">
        <f>MAX(C60:D60)</f>
        <v>17.786999999999999</v>
      </c>
      <c r="G60" s="1" t="str">
        <f>G54</f>
        <v>per 1000 youth</v>
      </c>
      <c r="L60" s="58">
        <f>L54</f>
        <v>1000</v>
      </c>
      <c r="M60" s="58"/>
    </row>
    <row r="61" spans="2:18" ht="15" hidden="1" customHeight="1" x14ac:dyDescent="0.25">
      <c r="B61" s="49" t="str">
        <f t="shared" ref="B61:D62" si="11">IF(($E55&gt;0),B55,B54)</f>
        <v>per 100 arrests</v>
      </c>
      <c r="C61" s="49">
        <f t="shared" si="11"/>
        <v>0.27</v>
      </c>
      <c r="D61" s="49">
        <f t="shared" si="11"/>
        <v>0.82</v>
      </c>
      <c r="E61" s="49">
        <f>MAX(C61:D61)</f>
        <v>0.82</v>
      </c>
      <c r="G61" s="1" t="str">
        <f>G55</f>
        <v>per 100 arrests</v>
      </c>
      <c r="L61" s="58">
        <f>IF(($E55&gt;0),L55,L54)</f>
        <v>100</v>
      </c>
      <c r="M61" s="58"/>
    </row>
    <row r="62" spans="2:18" ht="15" hidden="1" customHeight="1" x14ac:dyDescent="0.25">
      <c r="B62" s="49" t="str">
        <f t="shared" si="11"/>
        <v>per 100 referrals</v>
      </c>
      <c r="C62" s="49">
        <f t="shared" si="11"/>
        <v>1.6</v>
      </c>
      <c r="D62" s="49">
        <f t="shared" si="11"/>
        <v>2.2200000000000002</v>
      </c>
      <c r="E62" s="49">
        <f>MAX(C62:D62)</f>
        <v>2.2200000000000002</v>
      </c>
      <c r="G62" s="1" t="str">
        <f>G56</f>
        <v>per 100 referrals</v>
      </c>
      <c r="L62" s="58">
        <f>IF(($E56&gt;0),L56,L55)</f>
        <v>100</v>
      </c>
      <c r="M62" s="58"/>
    </row>
    <row r="63" spans="2:18" ht="15" hidden="1" customHeight="1" x14ac:dyDescent="0.25">
      <c r="B63" s="49" t="str">
        <f>IF(($E57&gt;0),B57,B55)</f>
        <v>per 100 youth petitioned</v>
      </c>
      <c r="C63" s="49">
        <f>IF(($E57&gt;0),C57,C56)</f>
        <v>0.47</v>
      </c>
      <c r="D63" s="49">
        <f>IF(($E57&gt;0),D57,D56)</f>
        <v>0.87</v>
      </c>
      <c r="E63" s="49">
        <f>MAX(C63:D63)</f>
        <v>0.87</v>
      </c>
      <c r="G63" s="1" t="str">
        <f>G57</f>
        <v>per 100 youth petitioned</v>
      </c>
      <c r="L63" s="58">
        <f>IF(($E57&gt;0),L57,L56)</f>
        <v>100</v>
      </c>
      <c r="M63" s="58"/>
    </row>
    <row r="64" spans="2:18" ht="15" hidden="1" customHeight="1" x14ac:dyDescent="0.25">
      <c r="B64" s="49" t="str">
        <f>IF(($E58&gt;0),B58,B57)</f>
        <v>per 100 youth found delinquent</v>
      </c>
      <c r="C64" s="49">
        <f>IF(($E58&gt;0),C58,C57)</f>
        <v>0.14000000000000001</v>
      </c>
      <c r="D64" s="49">
        <f>IF(($E58&gt;0),D58,D57)</f>
        <v>0.45</v>
      </c>
      <c r="E64" s="56">
        <f>MAX(C64:D64)</f>
        <v>0.45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17.786999999999999</v>
      </c>
      <c r="D66" s="56">
        <f>D60</f>
        <v>4.6280000000000001</v>
      </c>
      <c r="E66" s="56">
        <f>MAX(C66:D66)</f>
        <v>17.786999999999999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0.27</v>
      </c>
      <c r="D67" s="49">
        <f t="shared" si="12"/>
        <v>0.82</v>
      </c>
      <c r="E67" s="49">
        <f>MAX(C67:D67)</f>
        <v>0.82</v>
      </c>
      <c r="G67" s="1" t="str">
        <f>G61</f>
        <v>per 100 arrests</v>
      </c>
      <c r="L67" s="58">
        <f>IF(($E61&gt;0),L61,L60)</f>
        <v>100</v>
      </c>
      <c r="M67" s="58">
        <f>IF((B67=G67),1,2)</f>
        <v>1</v>
      </c>
    </row>
    <row r="68" spans="2:13" ht="15" hidden="1" customHeight="1" x14ac:dyDescent="0.25">
      <c r="B68" s="49" t="str">
        <f t="shared" si="12"/>
        <v>per 100 referrals</v>
      </c>
      <c r="C68" s="49">
        <f t="shared" si="12"/>
        <v>1.6</v>
      </c>
      <c r="D68" s="49">
        <f t="shared" si="12"/>
        <v>2.2200000000000002</v>
      </c>
      <c r="E68" s="49">
        <f>MAX(C68:D68)</f>
        <v>2.2200000000000002</v>
      </c>
      <c r="G68" s="1" t="str">
        <f>G62</f>
        <v>per 100 referrals</v>
      </c>
      <c r="L68" s="58">
        <f>IF(($E62&gt;0),L62,L61)</f>
        <v>100</v>
      </c>
      <c r="M68" s="58">
        <f>IF((B68=G68),1,2)</f>
        <v>1</v>
      </c>
    </row>
    <row r="69" spans="2:13" ht="15" hidden="1" customHeight="1" x14ac:dyDescent="0.25">
      <c r="B69" s="49" t="str">
        <f>IF(($E63&gt;0),B63,B61)</f>
        <v>per 100 youth petitioned</v>
      </c>
      <c r="C69" s="49">
        <f>IF(($E63&gt;0),C63,C62)</f>
        <v>0.47</v>
      </c>
      <c r="D69" s="49">
        <f>IF(($E63&gt;0),D63,D62)</f>
        <v>0.87</v>
      </c>
      <c r="E69" s="49">
        <f>MAX(C69:D69)</f>
        <v>0.87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0.14000000000000001</v>
      </c>
      <c r="D70" s="49">
        <f>IF(($E64&gt;0),D64,D63)</f>
        <v>0.45</v>
      </c>
      <c r="E70" s="56">
        <f>MAX(C70:D70)</f>
        <v>0.45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Washtenaw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17787</v>
      </c>
      <c r="D6" s="34"/>
      <c r="E6" s="33">
        <f>'Data Entry'!F6</f>
        <v>2626</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27</v>
      </c>
      <c r="D7" s="34">
        <f>IF((AND(C66&gt;0,C7&gt;0)),(C7/C66),0)</f>
        <v>1.5179625569235959</v>
      </c>
      <c r="E7" s="33">
        <f>'Data Entry'!F7</f>
        <v>1</v>
      </c>
      <c r="F7" s="34">
        <f>IF((AND($E$7&gt;0,$D$66&gt;0)),($E$7/$D$66),0)</f>
        <v>0.38080731150038083</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2625</v>
      </c>
      <c r="P7" s="42">
        <f t="shared" ref="P7:P15" si="4">C7</f>
        <v>27</v>
      </c>
      <c r="Q7" s="42">
        <f>C6-C7</f>
        <v>17760</v>
      </c>
      <c r="R7" s="42">
        <f t="shared" ref="R7:R15" si="5">SUM(N7:Q7)</f>
        <v>20413</v>
      </c>
      <c r="S7" s="30">
        <f t="shared" ref="S7:S15" si="6">R7*((((N7*Q7)-(O7*P7))^2))</f>
        <v>57589221431925</v>
      </c>
      <c r="T7" s="30">
        <f t="shared" ref="T7:T15" si="7">(N7+O7)*(P7+Q7)*(N7+P7)*(O7+Q7)</f>
        <v>26660370096360</v>
      </c>
      <c r="U7" s="31">
        <f t="shared" ref="U7:U15" si="8">IF((S7&gt;0),S7/T7,"- -")</f>
        <v>2.1601058508856852</v>
      </c>
    </row>
    <row r="8" spans="2:21" ht="18" customHeight="1" x14ac:dyDescent="0.25">
      <c r="B8" s="32" t="str">
        <f>'Data Entry'!A8</f>
        <v>3. Refer to Juvenile Court</v>
      </c>
      <c r="C8" s="33">
        <f>'Data Entry'!C8</f>
        <v>160</v>
      </c>
      <c r="D8" s="34">
        <f>IF((AND(C67&gt;0,C8&gt;0)),(C8/C67),0)</f>
        <v>592.59259259259261</v>
      </c>
      <c r="E8" s="33">
        <f>'Data Entry'!F8</f>
        <v>6</v>
      </c>
      <c r="F8" s="34">
        <f>IF((AND($E$8&gt;0,$D$67&gt;0)),($E8/$D67),0)</f>
        <v>600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6</v>
      </c>
      <c r="O8" s="42">
        <f>((D67*L67)-E8)+0.05</f>
        <v>-4.95</v>
      </c>
      <c r="P8" s="42">
        <f t="shared" si="4"/>
        <v>160</v>
      </c>
      <c r="Q8" s="42">
        <f>(C$67*L67)-C8</f>
        <v>-133</v>
      </c>
      <c r="R8" s="42">
        <f t="shared" si="5"/>
        <v>28.050000000000011</v>
      </c>
      <c r="S8" s="30">
        <f t="shared" si="6"/>
        <v>1009.8000000000004</v>
      </c>
      <c r="T8" s="30">
        <f t="shared" si="7"/>
        <v>-649206.49499999988</v>
      </c>
      <c r="U8" s="31">
        <f t="shared" si="8"/>
        <v>-1.5554373035038731E-3</v>
      </c>
    </row>
    <row r="9" spans="2:21" ht="18" customHeight="1" x14ac:dyDescent="0.25">
      <c r="B9" s="32" t="str">
        <f>'Data Entry'!A9</f>
        <v xml:space="preserve">4. Cases Diverted </v>
      </c>
      <c r="C9" s="33">
        <f>'Data Entry'!C9</f>
        <v>81</v>
      </c>
      <c r="D9" s="34">
        <f>IF((AND(C68&gt;0,C9&gt;0)),((C9/C68)),0)</f>
        <v>50.625</v>
      </c>
      <c r="E9" s="33">
        <f>'Data Entry'!F9</f>
        <v>5</v>
      </c>
      <c r="F9" s="34">
        <f>IF((AND($E$9&gt;0,$D$68&gt;0)),(($E$9/$D$68)),0)</f>
        <v>83.333333333333343</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5</v>
      </c>
      <c r="O9" s="42">
        <f>(D$68*L68)-E9</f>
        <v>1</v>
      </c>
      <c r="P9" s="42">
        <f t="shared" si="4"/>
        <v>81</v>
      </c>
      <c r="Q9" s="42">
        <f>(C$68*L68)-C9</f>
        <v>79</v>
      </c>
      <c r="R9" s="42">
        <f t="shared" si="5"/>
        <v>166</v>
      </c>
      <c r="S9" s="30">
        <f t="shared" si="6"/>
        <v>16366936</v>
      </c>
      <c r="T9" s="30">
        <f t="shared" si="7"/>
        <v>6604800</v>
      </c>
      <c r="U9" s="31">
        <f t="shared" si="8"/>
        <v>2.4780365794573642</v>
      </c>
    </row>
    <row r="10" spans="2:21" ht="18" customHeight="1" x14ac:dyDescent="0.25">
      <c r="B10" s="32" t="str">
        <f>'Data Entry'!A10</f>
        <v>5. Cases Involving Secure Detention</v>
      </c>
      <c r="C10" s="33">
        <f>'Data Entry'!C10</f>
        <v>24</v>
      </c>
      <c r="D10" s="34">
        <f>IF(((AND(C68&gt;0,C10&gt;0))),(C10/(C68)),0)</f>
        <v>15</v>
      </c>
      <c r="E10" s="33">
        <f>'Data Entry'!F10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6</v>
      </c>
      <c r="P10" s="42">
        <f t="shared" si="4"/>
        <v>24</v>
      </c>
      <c r="Q10" s="42">
        <f>(C$68*L68)-C10</f>
        <v>136</v>
      </c>
      <c r="R10" s="42">
        <f t="shared" si="5"/>
        <v>166</v>
      </c>
      <c r="S10" s="30">
        <f t="shared" si="6"/>
        <v>3442176</v>
      </c>
      <c r="T10" s="30">
        <f t="shared" si="7"/>
        <v>3271680</v>
      </c>
      <c r="U10" s="31">
        <f t="shared" si="8"/>
        <v>1.052112676056338</v>
      </c>
    </row>
    <row r="11" spans="2:21" ht="18" customHeight="1" x14ac:dyDescent="0.25">
      <c r="B11" s="32" t="str">
        <f>'Data Entry'!A11</f>
        <v>6. Cases Petitioned (Charge Filed)</v>
      </c>
      <c r="C11" s="33">
        <f>'Data Entry'!C11</f>
        <v>47</v>
      </c>
      <c r="D11" s="34">
        <f>IF(((AND(C68&gt;0,C11&gt;0))),(C11/(C68)),0)</f>
        <v>29.375</v>
      </c>
      <c r="E11" s="33">
        <f>'Data Entry'!F11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6</v>
      </c>
      <c r="P11" s="42">
        <f t="shared" si="4"/>
        <v>47</v>
      </c>
      <c r="Q11" s="42">
        <f>(C$68*L68)-C11</f>
        <v>113</v>
      </c>
      <c r="R11" s="42">
        <f t="shared" si="5"/>
        <v>166</v>
      </c>
      <c r="S11" s="30">
        <f t="shared" si="6"/>
        <v>13200984</v>
      </c>
      <c r="T11" s="30">
        <f t="shared" si="7"/>
        <v>5369280</v>
      </c>
      <c r="U11" s="31">
        <f t="shared" si="8"/>
        <v>2.4586134453781514</v>
      </c>
    </row>
    <row r="12" spans="2:21" ht="18" customHeight="1" x14ac:dyDescent="0.25">
      <c r="B12" s="32" t="str">
        <f>'Data Entry'!A12</f>
        <v>7. Cases Resulting in Delinquent Findings</v>
      </c>
      <c r="C12" s="33">
        <f>'Data Entry'!C12</f>
        <v>14</v>
      </c>
      <c r="D12" s="34">
        <f>IF(((AND(C69&gt;0,C12&gt;0))),(C12/(C69)),0)</f>
        <v>29.787234042553195</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v>
      </c>
      <c r="Q12" s="42">
        <f>(C69*L69)-C12</f>
        <v>33</v>
      </c>
      <c r="R12" s="42">
        <f t="shared" si="5"/>
        <v>47</v>
      </c>
      <c r="S12" s="30">
        <f t="shared" si="6"/>
        <v>0</v>
      </c>
      <c r="T12" s="30">
        <f t="shared" si="7"/>
        <v>0</v>
      </c>
      <c r="U12" s="31" t="str">
        <f t="shared" si="8"/>
        <v>- -</v>
      </c>
    </row>
    <row r="13" spans="2:21" ht="18" customHeight="1" x14ac:dyDescent="0.25">
      <c r="B13" s="32" t="str">
        <f>'Data Entry'!A13</f>
        <v>8. Cases Resulting in Probation Placement</v>
      </c>
      <c r="C13" s="33">
        <f>'Data Entry'!C13</f>
        <v>46</v>
      </c>
      <c r="D13" s="34">
        <f>IF(((AND(C70&gt;0,C13&gt;0))),(C13/(C70)),0)</f>
        <v>328.57142857142856</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46</v>
      </c>
      <c r="Q13" s="42">
        <f>(C70*L70)-C13</f>
        <v>-32</v>
      </c>
      <c r="R13" s="42">
        <f t="shared" si="5"/>
        <v>14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v>
      </c>
      <c r="D14" s="34">
        <f>IF(((AND(C70&gt;0,C14&gt;0))), ((C14/(C70))),0)</f>
        <v>7.1428571428571423</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13.000000000000002</v>
      </c>
      <c r="R14" s="42">
        <f t="shared" si="5"/>
        <v>14.000000000000002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47</v>
      </c>
      <c r="R15" s="42">
        <f t="shared" si="5"/>
        <v>47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17.786999999999999</v>
      </c>
      <c r="D42" s="56">
        <f>E6/1000</f>
        <v>2.6259999999999999</v>
      </c>
      <c r="E42" s="56">
        <f>MAX(C42:D42)</f>
        <v>17.786999999999999</v>
      </c>
      <c r="G42" s="1" t="str">
        <f>B42</f>
        <v>per 1000 youth</v>
      </c>
      <c r="L42" s="57">
        <v>1000</v>
      </c>
      <c r="M42" s="57"/>
      <c r="R42" s="49"/>
    </row>
    <row r="43" spans="2:18" ht="15" hidden="1" customHeight="1" x14ac:dyDescent="0.25">
      <c r="B43" s="49" t="s">
        <v>87</v>
      </c>
      <c r="C43" s="56">
        <f>C7/100</f>
        <v>0.27</v>
      </c>
      <c r="D43" s="56">
        <f>E7/100</f>
        <v>0.01</v>
      </c>
      <c r="E43" s="56">
        <f>MAX(C43:D43,0)</f>
        <v>0.27</v>
      </c>
      <c r="G43" s="1" t="str">
        <f>B43</f>
        <v>per 100 arrests</v>
      </c>
      <c r="L43" s="57">
        <v>100</v>
      </c>
      <c r="M43" s="57"/>
      <c r="R43" s="49"/>
    </row>
    <row r="44" spans="2:18" ht="15" hidden="1" customHeight="1" x14ac:dyDescent="0.25">
      <c r="B44" s="49" t="s">
        <v>88</v>
      </c>
      <c r="C44" s="56">
        <f>C8/100</f>
        <v>1.6</v>
      </c>
      <c r="D44" s="56">
        <f>E8/100</f>
        <v>0.06</v>
      </c>
      <c r="E44" s="56">
        <f>MAX(C44:D44,0)</f>
        <v>1.6</v>
      </c>
      <c r="G44" s="1" t="str">
        <f>B44</f>
        <v>per 100 referrals</v>
      </c>
      <c r="L44" s="57">
        <v>100</v>
      </c>
      <c r="M44" s="57"/>
      <c r="R44" s="49"/>
    </row>
    <row r="45" spans="2:18" ht="15" hidden="1" customHeight="1" x14ac:dyDescent="0.25">
      <c r="B45" s="49" t="s">
        <v>89</v>
      </c>
      <c r="C45" s="49">
        <f>C11/100</f>
        <v>0.47</v>
      </c>
      <c r="D45" s="49">
        <f>E11/100</f>
        <v>0</v>
      </c>
      <c r="E45" s="56">
        <f>MAX(C45:D45,0)</f>
        <v>0.47</v>
      </c>
      <c r="G45" s="1" t="str">
        <f>B45</f>
        <v>per 100 youth petitioned</v>
      </c>
      <c r="L45" s="57">
        <v>100</v>
      </c>
      <c r="M45" s="57"/>
      <c r="R45" s="49"/>
    </row>
    <row r="46" spans="2:18" ht="15" hidden="1" customHeight="1" x14ac:dyDescent="0.25">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17.786999999999999</v>
      </c>
      <c r="D48" s="56">
        <f>D42</f>
        <v>2.6259999999999999</v>
      </c>
      <c r="E48" s="56">
        <f>MAX(C48:D48)</f>
        <v>17.786999999999999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0.27</v>
      </c>
      <c r="D49" s="49">
        <f t="shared" si="9"/>
        <v>0.01</v>
      </c>
      <c r="E49" s="49">
        <f>MAX(C49:D49)</f>
        <v>0.27</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1.6</v>
      </c>
      <c r="D50" s="49">
        <f t="shared" si="9"/>
        <v>0.06</v>
      </c>
      <c r="E50" s="49">
        <f>MAX(C50:D50)</f>
        <v>1.6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0.47</v>
      </c>
      <c r="D51" s="49">
        <f>IF(($E45&gt;0),D45,D44)</f>
        <v>0</v>
      </c>
      <c r="E51" s="49">
        <f>MAX(C51:D51)</f>
        <v>0.47</v>
      </c>
      <c r="G51" s="1" t="str">
        <f>G45</f>
        <v>per 100 youth petitioned</v>
      </c>
      <c r="L51" s="58">
        <f>IF(($E45&gt;0),L45,L44)</f>
        <v>100</v>
      </c>
      <c r="M51" s="58"/>
    </row>
    <row r="52" spans="2:18" ht="15" hidden="1" customHeight="1" x14ac:dyDescent="0.25">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17.786999999999999</v>
      </c>
      <c r="D54" s="56">
        <f>D48</f>
        <v>2.6259999999999999</v>
      </c>
      <c r="E54" s="56">
        <f>MAX(C54:D54)</f>
        <v>17.786999999999999</v>
      </c>
      <c r="G54" s="1" t="str">
        <f>G48</f>
        <v>per 1000 youth</v>
      </c>
      <c r="L54" s="58">
        <f>L48</f>
        <v>1000</v>
      </c>
      <c r="M54" s="58"/>
    </row>
    <row r="55" spans="2:18" ht="15" hidden="1" customHeight="1" x14ac:dyDescent="0.25">
      <c r="B55" s="49" t="str">
        <f t="shared" ref="B55:D56" si="10">IF(($E49&gt;0),B49,B48)</f>
        <v>per 100 arrests</v>
      </c>
      <c r="C55" s="49">
        <f t="shared" si="10"/>
        <v>0.27</v>
      </c>
      <c r="D55" s="49">
        <f t="shared" si="10"/>
        <v>0.01</v>
      </c>
      <c r="E55" s="49">
        <f>MAX(C55:D55)</f>
        <v>0.27</v>
      </c>
      <c r="G55" s="1" t="str">
        <f>G49</f>
        <v>per 100 arrests</v>
      </c>
      <c r="L55" s="58">
        <f>IF(($E49&gt;0),L49,L48)</f>
        <v>100</v>
      </c>
      <c r="M55" s="58"/>
    </row>
    <row r="56" spans="2:18" ht="15" hidden="1" customHeight="1" x14ac:dyDescent="0.25">
      <c r="B56" s="49" t="str">
        <f t="shared" si="10"/>
        <v>per 100 referrals</v>
      </c>
      <c r="C56" s="49">
        <f t="shared" si="10"/>
        <v>1.6</v>
      </c>
      <c r="D56" s="49">
        <f t="shared" si="10"/>
        <v>0.06</v>
      </c>
      <c r="E56" s="49">
        <f>MAX(C56:D56)</f>
        <v>1.6</v>
      </c>
      <c r="G56" s="1" t="str">
        <f>G50</f>
        <v>per 100 referrals</v>
      </c>
      <c r="L56" s="58">
        <f>IF(($E50&gt;0),L50,L49)</f>
        <v>100</v>
      </c>
      <c r="M56" s="58"/>
    </row>
    <row r="57" spans="2:18" ht="15" hidden="1" customHeight="1" x14ac:dyDescent="0.25">
      <c r="B57" s="49" t="str">
        <f>IF(($E51&gt;0),B51,B49)</f>
        <v>per 100 youth petitioned</v>
      </c>
      <c r="C57" s="49">
        <f>IF(($E51&gt;0),C51,C50)</f>
        <v>0.47</v>
      </c>
      <c r="D57" s="49">
        <f>IF(($E51&gt;0),D51,D50)</f>
        <v>0</v>
      </c>
      <c r="E57" s="49">
        <f>MAX(C57:D57)</f>
        <v>0.47</v>
      </c>
      <c r="G57" s="1" t="str">
        <f>G51</f>
        <v>per 100 youth petitioned</v>
      </c>
      <c r="L57" s="58">
        <f>IF(($E51&gt;0),L51,L50)</f>
        <v>100</v>
      </c>
      <c r="M57" s="58"/>
    </row>
    <row r="58" spans="2:18" ht="15" hidden="1" customHeight="1" x14ac:dyDescent="0.25">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17.786999999999999</v>
      </c>
      <c r="D60" s="56">
        <f>D54</f>
        <v>2.6259999999999999</v>
      </c>
      <c r="E60" s="56">
        <f>MAX(C60:D60)</f>
        <v>17.786999999999999</v>
      </c>
      <c r="G60" s="1" t="str">
        <f>G54</f>
        <v>per 1000 youth</v>
      </c>
      <c r="L60" s="58">
        <f>L54</f>
        <v>1000</v>
      </c>
      <c r="M60" s="58"/>
    </row>
    <row r="61" spans="2:18" ht="15" hidden="1" customHeight="1" x14ac:dyDescent="0.25">
      <c r="B61" s="49" t="str">
        <f t="shared" ref="B61:D62" si="11">IF(($E55&gt;0),B55,B54)</f>
        <v>per 100 arrests</v>
      </c>
      <c r="C61" s="49">
        <f t="shared" si="11"/>
        <v>0.27</v>
      </c>
      <c r="D61" s="49">
        <f t="shared" si="11"/>
        <v>0.01</v>
      </c>
      <c r="E61" s="49">
        <f>MAX(C61:D61)</f>
        <v>0.27</v>
      </c>
      <c r="G61" s="1" t="str">
        <f>G55</f>
        <v>per 100 arrests</v>
      </c>
      <c r="L61" s="58">
        <f>IF(($E55&gt;0),L55,L54)</f>
        <v>100</v>
      </c>
      <c r="M61" s="58"/>
    </row>
    <row r="62" spans="2:18" ht="15" hidden="1" customHeight="1" x14ac:dyDescent="0.25">
      <c r="B62" s="49" t="str">
        <f t="shared" si="11"/>
        <v>per 100 referrals</v>
      </c>
      <c r="C62" s="49">
        <f t="shared" si="11"/>
        <v>1.6</v>
      </c>
      <c r="D62" s="49">
        <f t="shared" si="11"/>
        <v>0.06</v>
      </c>
      <c r="E62" s="49">
        <f>MAX(C62:D62)</f>
        <v>1.6</v>
      </c>
      <c r="G62" s="1" t="str">
        <f>G56</f>
        <v>per 100 referrals</v>
      </c>
      <c r="L62" s="58">
        <f>IF(($E56&gt;0),L56,L55)</f>
        <v>100</v>
      </c>
      <c r="M62" s="58"/>
    </row>
    <row r="63" spans="2:18" ht="15" hidden="1" customHeight="1" x14ac:dyDescent="0.25">
      <c r="B63" s="49" t="str">
        <f>IF(($E57&gt;0),B57,B55)</f>
        <v>per 100 youth petitioned</v>
      </c>
      <c r="C63" s="49">
        <f>IF(($E57&gt;0),C57,C56)</f>
        <v>0.47</v>
      </c>
      <c r="D63" s="49">
        <f>IF(($E57&gt;0),D57,D56)</f>
        <v>0</v>
      </c>
      <c r="E63" s="49">
        <f>MAX(C63:D63)</f>
        <v>0.47</v>
      </c>
      <c r="G63" s="1" t="str">
        <f>G57</f>
        <v>per 100 youth petitioned</v>
      </c>
      <c r="L63" s="58">
        <f>IF(($E57&gt;0),L57,L56)</f>
        <v>100</v>
      </c>
      <c r="M63" s="58"/>
    </row>
    <row r="64" spans="2:18" ht="15" hidden="1" customHeight="1" x14ac:dyDescent="0.25">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17.786999999999999</v>
      </c>
      <c r="D66" s="56">
        <f>D60</f>
        <v>2.6259999999999999</v>
      </c>
      <c r="E66" s="56">
        <f>MAX(C66:D66)</f>
        <v>17.786999999999999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0.27</v>
      </c>
      <c r="D67" s="49">
        <f t="shared" si="12"/>
        <v>0.01</v>
      </c>
      <c r="E67" s="49">
        <f>MAX(C67:D67)</f>
        <v>0.27</v>
      </c>
      <c r="G67" s="1" t="str">
        <f>G61</f>
        <v>per 100 arrests</v>
      </c>
      <c r="L67" s="58">
        <f>IF(($E61&gt;0),L61,L60)</f>
        <v>100</v>
      </c>
      <c r="M67" s="58">
        <f>IF((B67=G67),1,2)</f>
        <v>1</v>
      </c>
    </row>
    <row r="68" spans="2:13" ht="15" hidden="1" customHeight="1" x14ac:dyDescent="0.25">
      <c r="B68" s="49" t="str">
        <f t="shared" si="12"/>
        <v>per 100 referrals</v>
      </c>
      <c r="C68" s="49">
        <f t="shared" si="12"/>
        <v>1.6</v>
      </c>
      <c r="D68" s="49">
        <f t="shared" si="12"/>
        <v>0.06</v>
      </c>
      <c r="E68" s="49">
        <f>MAX(C68:D68)</f>
        <v>1.6</v>
      </c>
      <c r="G68" s="1" t="str">
        <f>G62</f>
        <v>per 100 referrals</v>
      </c>
      <c r="L68" s="58">
        <f>IF(($E62&gt;0),L62,L61)</f>
        <v>100</v>
      </c>
      <c r="M68" s="58">
        <f>IF((B68=G68),1,2)</f>
        <v>1</v>
      </c>
    </row>
    <row r="69" spans="2:13" ht="15" hidden="1" customHeight="1" x14ac:dyDescent="0.25">
      <c r="B69" s="49" t="str">
        <f>IF(($E63&gt;0),B63,B61)</f>
        <v>per 100 youth petitioned</v>
      </c>
      <c r="C69" s="49">
        <f>IF(($E63&gt;0),C63,C62)</f>
        <v>0.47</v>
      </c>
      <c r="D69" s="49">
        <f>IF(($E63&gt;0),D63,D62)</f>
        <v>0</v>
      </c>
      <c r="E69" s="49">
        <f>MAX(C69:D69)</f>
        <v>0.47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Washtenaw</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17787</v>
      </c>
      <c r="D6" s="34"/>
      <c r="E6" s="33">
        <f>'Data Entry'!E6</f>
        <v>2112</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27</v>
      </c>
      <c r="D7" s="34">
        <f>IF((AND(C66&gt;0,C7&gt;0)),(C7/C66),0)</f>
        <v>1.5179625569235959</v>
      </c>
      <c r="E7" s="33">
        <f>'Data Entry'!E7</f>
        <v>2</v>
      </c>
      <c r="F7" s="34">
        <f>IF((AND($E$7&gt;0,$D$66&gt;0)),($E$7/$D$66),0)</f>
        <v>0.94696969696969691</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2</v>
      </c>
      <c r="O7" s="42">
        <f>E6-E7</f>
        <v>2110</v>
      </c>
      <c r="P7" s="42">
        <f t="shared" ref="P7:P15" si="4">C7</f>
        <v>27</v>
      </c>
      <c r="Q7" s="42">
        <f>C6-C7</f>
        <v>17760</v>
      </c>
      <c r="R7" s="42">
        <f t="shared" ref="R7:R15" si="5">SUM(N7:Q7)</f>
        <v>19899</v>
      </c>
      <c r="S7" s="30">
        <f t="shared" ref="S7:S15" si="6">R7*((((N7*Q7)-(O7*P7))^2))</f>
        <v>9155579647500</v>
      </c>
      <c r="T7" s="30">
        <f t="shared" ref="T7:T15" si="7">(N7+O7)*(P7+Q7)*(N7+P7)*(O7+Q7)</f>
        <v>21646739157120</v>
      </c>
      <c r="U7" s="31">
        <f t="shared" ref="U7:U15" si="8">IF((S7&gt;0),S7/T7,"- -")</f>
        <v>0.42295421869527011</v>
      </c>
    </row>
    <row r="8" spans="2:21" ht="18" customHeight="1" x14ac:dyDescent="0.25">
      <c r="B8" s="32" t="str">
        <f>'Data Entry'!A8</f>
        <v>3. Refer to Juvenile Court</v>
      </c>
      <c r="C8" s="33">
        <f>'Data Entry'!C8</f>
        <v>160</v>
      </c>
      <c r="D8" s="34">
        <f>IF((AND(C67&gt;0,C8&gt;0)),(C8/C67),0)</f>
        <v>592.59259259259261</v>
      </c>
      <c r="E8" s="33">
        <f>'Data Entry'!E8</f>
        <v>6</v>
      </c>
      <c r="F8" s="34">
        <f>IF((AND($E$8&gt;0,$D$67&gt;0)),($E8/$D67),0)</f>
        <v>300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6</v>
      </c>
      <c r="O8" s="42">
        <f>((D67*L67)-E8)+0.05</f>
        <v>-3.95</v>
      </c>
      <c r="P8" s="42">
        <f t="shared" si="4"/>
        <v>160</v>
      </c>
      <c r="Q8" s="42">
        <f>(C$67*L67)-C8</f>
        <v>-133</v>
      </c>
      <c r="R8" s="42">
        <f t="shared" si="5"/>
        <v>29.050000000000011</v>
      </c>
      <c r="S8" s="30">
        <f t="shared" si="6"/>
        <v>800501.80000000028</v>
      </c>
      <c r="T8" s="30">
        <f t="shared" si="7"/>
        <v>-1258310.2949999997</v>
      </c>
      <c r="U8" s="31">
        <f t="shared" si="8"/>
        <v>-0.6361720182858398</v>
      </c>
    </row>
    <row r="9" spans="2:21" ht="18" customHeight="1" x14ac:dyDescent="0.25">
      <c r="B9" s="32" t="str">
        <f>'Data Entry'!A9</f>
        <v xml:space="preserve">4. Cases Diverted </v>
      </c>
      <c r="C9" s="33">
        <f>'Data Entry'!C9</f>
        <v>81</v>
      </c>
      <c r="D9" s="34">
        <f>IF((AND(C68&gt;0,C9&gt;0)),((C9/C68)),0)</f>
        <v>50.625</v>
      </c>
      <c r="E9" s="33">
        <f>'Data Entry'!E9</f>
        <v>6</v>
      </c>
      <c r="F9" s="34">
        <f>IF((AND($E$9&gt;0,$D$68&gt;0)),(($E$9/$D$68)),0)</f>
        <v>100</v>
      </c>
      <c r="G9" s="39" t="str">
        <f t="shared" si="0"/>
        <v>**</v>
      </c>
      <c r="H9" s="40"/>
      <c r="I9" s="41"/>
      <c r="J9" s="40">
        <f>IF((ABS($U9)&gt;Defaults!D$7),1,2)</f>
        <v>1</v>
      </c>
      <c r="K9" s="39">
        <f>IF((AND(N9&gt;Defaults!B$12,(N9+O9)&gt;Defaults!B$13, P9 &gt; Defaults!B$12, (P9+Q9) &gt; Defaults!B$13)),1,20)</f>
        <v>20</v>
      </c>
      <c r="L9" s="1">
        <f t="shared" si="1"/>
        <v>20</v>
      </c>
      <c r="M9" s="1" t="b">
        <f t="shared" si="2"/>
        <v>1</v>
      </c>
      <c r="N9" s="42">
        <f t="shared" si="3"/>
        <v>6</v>
      </c>
      <c r="O9" s="42">
        <f>(D$68*L68)-E9</f>
        <v>0</v>
      </c>
      <c r="P9" s="42">
        <f t="shared" si="4"/>
        <v>81</v>
      </c>
      <c r="Q9" s="42">
        <f>(C$68*L68)-C9</f>
        <v>79</v>
      </c>
      <c r="R9" s="42">
        <f t="shared" si="5"/>
        <v>166</v>
      </c>
      <c r="S9" s="30">
        <f t="shared" si="6"/>
        <v>37296216</v>
      </c>
      <c r="T9" s="30">
        <f t="shared" si="7"/>
        <v>6598080</v>
      </c>
      <c r="U9" s="31">
        <f t="shared" si="8"/>
        <v>5.6525862068965518</v>
      </c>
    </row>
    <row r="10" spans="2:21" ht="18" customHeight="1" x14ac:dyDescent="0.25">
      <c r="B10" s="32" t="str">
        <f>'Data Entry'!A10</f>
        <v>5. Cases Involving Secure Detention</v>
      </c>
      <c r="C10" s="33">
        <f>'Data Entry'!C10</f>
        <v>24</v>
      </c>
      <c r="D10" s="34">
        <f>IF(((AND(C68&gt;0,C10&gt;0))),(C10/(C68)),0)</f>
        <v>15</v>
      </c>
      <c r="E10" s="33">
        <f>'Data Entry'!E10</f>
        <v>1</v>
      </c>
      <c r="F10" s="34">
        <f>IF(((AND($E$10&gt;0,$D$68&gt;0))),($E$10/($D$68)),0)</f>
        <v>16.666666666666668</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5</v>
      </c>
      <c r="P10" s="42">
        <f t="shared" si="4"/>
        <v>24</v>
      </c>
      <c r="Q10" s="42">
        <f>(C$68*L68)-C10</f>
        <v>136</v>
      </c>
      <c r="R10" s="42">
        <f t="shared" si="5"/>
        <v>166</v>
      </c>
      <c r="S10" s="30">
        <f t="shared" si="6"/>
        <v>42496</v>
      </c>
      <c r="T10" s="30">
        <f t="shared" si="7"/>
        <v>3384000</v>
      </c>
      <c r="U10" s="31">
        <f t="shared" si="8"/>
        <v>1.255791962174941E-2</v>
      </c>
    </row>
    <row r="11" spans="2:21" ht="18" customHeight="1" x14ac:dyDescent="0.25">
      <c r="B11" s="32" t="str">
        <f>'Data Entry'!A11</f>
        <v>6. Cases Petitioned (Charge Filed)</v>
      </c>
      <c r="C11" s="33">
        <f>'Data Entry'!C11</f>
        <v>47</v>
      </c>
      <c r="D11" s="34">
        <f>IF(((AND(C68&gt;0,C11&gt;0))),(C11/(C68)),0)</f>
        <v>29.375</v>
      </c>
      <c r="E11" s="33">
        <f>'Data Entry'!E11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6</v>
      </c>
      <c r="P11" s="42">
        <f t="shared" si="4"/>
        <v>47</v>
      </c>
      <c r="Q11" s="42">
        <f>(C$68*L68)-C11</f>
        <v>113</v>
      </c>
      <c r="R11" s="42">
        <f t="shared" si="5"/>
        <v>166</v>
      </c>
      <c r="S11" s="30">
        <f t="shared" si="6"/>
        <v>13200984</v>
      </c>
      <c r="T11" s="30">
        <f t="shared" si="7"/>
        <v>5369280</v>
      </c>
      <c r="U11" s="31">
        <f t="shared" si="8"/>
        <v>2.4586134453781514</v>
      </c>
    </row>
    <row r="12" spans="2:21" ht="18" customHeight="1" x14ac:dyDescent="0.25">
      <c r="B12" s="32" t="str">
        <f>'Data Entry'!A12</f>
        <v>7. Cases Resulting in Delinquent Findings</v>
      </c>
      <c r="C12" s="33">
        <f>'Data Entry'!C12</f>
        <v>14</v>
      </c>
      <c r="D12" s="34">
        <f>IF(((AND(C69&gt;0,C12&gt;0))),(C12/(C69)),0)</f>
        <v>29.787234042553195</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v>
      </c>
      <c r="Q12" s="42">
        <f>(C69*L69)-C12</f>
        <v>33</v>
      </c>
      <c r="R12" s="42">
        <f t="shared" si="5"/>
        <v>47</v>
      </c>
      <c r="S12" s="30">
        <f t="shared" si="6"/>
        <v>0</v>
      </c>
      <c r="T12" s="30">
        <f t="shared" si="7"/>
        <v>0</v>
      </c>
      <c r="U12" s="31" t="str">
        <f t="shared" si="8"/>
        <v>- -</v>
      </c>
    </row>
    <row r="13" spans="2:21" ht="18" customHeight="1" x14ac:dyDescent="0.25">
      <c r="B13" s="32" t="str">
        <f>'Data Entry'!A13</f>
        <v>8. Cases Resulting in Probation Placement</v>
      </c>
      <c r="C13" s="33">
        <f>'Data Entry'!C13</f>
        <v>46</v>
      </c>
      <c r="D13" s="34">
        <f>IF(((AND(C70&gt;0,C13&gt;0))),(C13/(C70)),0)</f>
        <v>328.57142857142856</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46</v>
      </c>
      <c r="Q13" s="42">
        <f>(C70*L70)-C13</f>
        <v>-32</v>
      </c>
      <c r="R13" s="42">
        <f t="shared" si="5"/>
        <v>14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v>
      </c>
      <c r="D14" s="34">
        <f>IF(((AND(C70&gt;0,C14&gt;0))), ((C14/(C70))),0)</f>
        <v>7.1428571428571423</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13.000000000000002</v>
      </c>
      <c r="R14" s="42">
        <f t="shared" si="5"/>
        <v>14.000000000000002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47</v>
      </c>
      <c r="R15" s="42">
        <f t="shared" si="5"/>
        <v>47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17.786999999999999</v>
      </c>
      <c r="D42" s="56">
        <f>E6/1000</f>
        <v>2.1120000000000001</v>
      </c>
      <c r="E42" s="56">
        <f>MAX(C42:D42)</f>
        <v>17.786999999999999</v>
      </c>
      <c r="G42" s="1" t="str">
        <f>B42</f>
        <v>per 1000 youth</v>
      </c>
      <c r="L42" s="57">
        <v>1000</v>
      </c>
      <c r="M42" s="57"/>
      <c r="R42" s="49"/>
    </row>
    <row r="43" spans="2:18" ht="15" hidden="1" customHeight="1" x14ac:dyDescent="0.25">
      <c r="B43" s="49" t="s">
        <v>87</v>
      </c>
      <c r="C43" s="56">
        <f>C7/100</f>
        <v>0.27</v>
      </c>
      <c r="D43" s="56">
        <f>E7/100</f>
        <v>0.02</v>
      </c>
      <c r="E43" s="56">
        <f>MAX(C43:D43,0)</f>
        <v>0.27</v>
      </c>
      <c r="G43" s="1" t="str">
        <f>B43</f>
        <v>per 100 arrests</v>
      </c>
      <c r="L43" s="57">
        <v>100</v>
      </c>
      <c r="M43" s="57"/>
      <c r="R43" s="49"/>
    </row>
    <row r="44" spans="2:18" ht="15" hidden="1" customHeight="1" x14ac:dyDescent="0.25">
      <c r="B44" s="49" t="s">
        <v>88</v>
      </c>
      <c r="C44" s="56">
        <f>C8/100</f>
        <v>1.6</v>
      </c>
      <c r="D44" s="56">
        <f>E8/100</f>
        <v>0.06</v>
      </c>
      <c r="E44" s="56">
        <f>MAX(C44:D44,0)</f>
        <v>1.6</v>
      </c>
      <c r="G44" s="1" t="str">
        <f>B44</f>
        <v>per 100 referrals</v>
      </c>
      <c r="L44" s="57">
        <v>100</v>
      </c>
      <c r="M44" s="57"/>
      <c r="R44" s="49"/>
    </row>
    <row r="45" spans="2:18" ht="15" hidden="1" customHeight="1" x14ac:dyDescent="0.25">
      <c r="B45" s="49" t="s">
        <v>89</v>
      </c>
      <c r="C45" s="49">
        <f>C11/100</f>
        <v>0.47</v>
      </c>
      <c r="D45" s="49">
        <f>E11/100</f>
        <v>0</v>
      </c>
      <c r="E45" s="56">
        <f>MAX(C45:D45,0)</f>
        <v>0.47</v>
      </c>
      <c r="G45" s="1" t="str">
        <f>B45</f>
        <v>per 100 youth petitioned</v>
      </c>
      <c r="L45" s="57">
        <v>100</v>
      </c>
      <c r="M45" s="57"/>
      <c r="R45" s="49"/>
    </row>
    <row r="46" spans="2:18" ht="15" hidden="1" customHeight="1" x14ac:dyDescent="0.25">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17.786999999999999</v>
      </c>
      <c r="D48" s="56">
        <f>D42</f>
        <v>2.1120000000000001</v>
      </c>
      <c r="E48" s="56">
        <f>MAX(C48:D48)</f>
        <v>17.786999999999999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0.27</v>
      </c>
      <c r="D49" s="49">
        <f t="shared" si="9"/>
        <v>0.02</v>
      </c>
      <c r="E49" s="49">
        <f>MAX(C49:D49)</f>
        <v>0.27</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1.6</v>
      </c>
      <c r="D50" s="49">
        <f t="shared" si="9"/>
        <v>0.06</v>
      </c>
      <c r="E50" s="49">
        <f>MAX(C50:D50)</f>
        <v>1.6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0.47</v>
      </c>
      <c r="D51" s="49">
        <f>IF(($E45&gt;0),D45,D44)</f>
        <v>0</v>
      </c>
      <c r="E51" s="49">
        <f>MAX(C51:D51)</f>
        <v>0.47</v>
      </c>
      <c r="G51" s="1" t="str">
        <f>G45</f>
        <v>per 100 youth petitioned</v>
      </c>
      <c r="L51" s="58">
        <f>IF(($E45&gt;0),L45,L44)</f>
        <v>100</v>
      </c>
      <c r="M51" s="58"/>
    </row>
    <row r="52" spans="2:18" ht="15" hidden="1" customHeight="1" x14ac:dyDescent="0.25">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17.786999999999999</v>
      </c>
      <c r="D54" s="56">
        <f>D48</f>
        <v>2.1120000000000001</v>
      </c>
      <c r="E54" s="56">
        <f>MAX(C54:D54)</f>
        <v>17.786999999999999</v>
      </c>
      <c r="G54" s="1" t="str">
        <f>G48</f>
        <v>per 1000 youth</v>
      </c>
      <c r="L54" s="58">
        <f>L48</f>
        <v>1000</v>
      </c>
      <c r="M54" s="58"/>
    </row>
    <row r="55" spans="2:18" ht="15" hidden="1" customHeight="1" x14ac:dyDescent="0.25">
      <c r="B55" s="49" t="str">
        <f t="shared" ref="B55:D56" si="10">IF(($E49&gt;0),B49,B48)</f>
        <v>per 100 arrests</v>
      </c>
      <c r="C55" s="49">
        <f t="shared" si="10"/>
        <v>0.27</v>
      </c>
      <c r="D55" s="49">
        <f t="shared" si="10"/>
        <v>0.02</v>
      </c>
      <c r="E55" s="49">
        <f>MAX(C55:D55)</f>
        <v>0.27</v>
      </c>
      <c r="G55" s="1" t="str">
        <f>G49</f>
        <v>per 100 arrests</v>
      </c>
      <c r="L55" s="58">
        <f>IF(($E49&gt;0),L49,L48)</f>
        <v>100</v>
      </c>
      <c r="M55" s="58"/>
    </row>
    <row r="56" spans="2:18" ht="15" hidden="1" customHeight="1" x14ac:dyDescent="0.25">
      <c r="B56" s="49" t="str">
        <f t="shared" si="10"/>
        <v>per 100 referrals</v>
      </c>
      <c r="C56" s="49">
        <f t="shared" si="10"/>
        <v>1.6</v>
      </c>
      <c r="D56" s="49">
        <f t="shared" si="10"/>
        <v>0.06</v>
      </c>
      <c r="E56" s="49">
        <f>MAX(C56:D56)</f>
        <v>1.6</v>
      </c>
      <c r="G56" s="1" t="str">
        <f>G50</f>
        <v>per 100 referrals</v>
      </c>
      <c r="L56" s="58">
        <f>IF(($E50&gt;0),L50,L49)</f>
        <v>100</v>
      </c>
      <c r="M56" s="58"/>
    </row>
    <row r="57" spans="2:18" ht="15" hidden="1" customHeight="1" x14ac:dyDescent="0.25">
      <c r="B57" s="49" t="str">
        <f>IF(($E51&gt;0),B51,B49)</f>
        <v>per 100 youth petitioned</v>
      </c>
      <c r="C57" s="49">
        <f>IF(($E51&gt;0),C51,C50)</f>
        <v>0.47</v>
      </c>
      <c r="D57" s="49">
        <f>IF(($E51&gt;0),D51,D50)</f>
        <v>0</v>
      </c>
      <c r="E57" s="49">
        <f>MAX(C57:D57)</f>
        <v>0.47</v>
      </c>
      <c r="G57" s="1" t="str">
        <f>G51</f>
        <v>per 100 youth petitioned</v>
      </c>
      <c r="L57" s="58">
        <f>IF(($E51&gt;0),L51,L50)</f>
        <v>100</v>
      </c>
      <c r="M57" s="58"/>
    </row>
    <row r="58" spans="2:18" ht="15" hidden="1" customHeight="1" x14ac:dyDescent="0.25">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17.786999999999999</v>
      </c>
      <c r="D60" s="56">
        <f>D54</f>
        <v>2.1120000000000001</v>
      </c>
      <c r="E60" s="56">
        <f>MAX(C60:D60)</f>
        <v>17.786999999999999</v>
      </c>
      <c r="G60" s="1" t="str">
        <f>G54</f>
        <v>per 1000 youth</v>
      </c>
      <c r="L60" s="58">
        <f>L54</f>
        <v>1000</v>
      </c>
      <c r="M60" s="58"/>
    </row>
    <row r="61" spans="2:18" ht="15" hidden="1" customHeight="1" x14ac:dyDescent="0.25">
      <c r="B61" s="49" t="str">
        <f t="shared" ref="B61:D62" si="11">IF(($E55&gt;0),B55,B54)</f>
        <v>per 100 arrests</v>
      </c>
      <c r="C61" s="49">
        <f t="shared" si="11"/>
        <v>0.27</v>
      </c>
      <c r="D61" s="49">
        <f t="shared" si="11"/>
        <v>0.02</v>
      </c>
      <c r="E61" s="49">
        <f>MAX(C61:D61)</f>
        <v>0.27</v>
      </c>
      <c r="G61" s="1" t="str">
        <f>G55</f>
        <v>per 100 arrests</v>
      </c>
      <c r="L61" s="58">
        <f>IF(($E55&gt;0),L55,L54)</f>
        <v>100</v>
      </c>
      <c r="M61" s="58"/>
    </row>
    <row r="62" spans="2:18" ht="15" hidden="1" customHeight="1" x14ac:dyDescent="0.25">
      <c r="B62" s="49" t="str">
        <f t="shared" si="11"/>
        <v>per 100 referrals</v>
      </c>
      <c r="C62" s="49">
        <f t="shared" si="11"/>
        <v>1.6</v>
      </c>
      <c r="D62" s="49">
        <f t="shared" si="11"/>
        <v>0.06</v>
      </c>
      <c r="E62" s="49">
        <f>MAX(C62:D62)</f>
        <v>1.6</v>
      </c>
      <c r="G62" s="1" t="str">
        <f>G56</f>
        <v>per 100 referrals</v>
      </c>
      <c r="L62" s="58">
        <f>IF(($E56&gt;0),L56,L55)</f>
        <v>100</v>
      </c>
      <c r="M62" s="58"/>
    </row>
    <row r="63" spans="2:18" ht="15" hidden="1" customHeight="1" x14ac:dyDescent="0.25">
      <c r="B63" s="49" t="str">
        <f>IF(($E57&gt;0),B57,B55)</f>
        <v>per 100 youth petitioned</v>
      </c>
      <c r="C63" s="49">
        <f>IF(($E57&gt;0),C57,C56)</f>
        <v>0.47</v>
      </c>
      <c r="D63" s="49">
        <f>IF(($E57&gt;0),D57,D56)</f>
        <v>0</v>
      </c>
      <c r="E63" s="49">
        <f>MAX(C63:D63)</f>
        <v>0.47</v>
      </c>
      <c r="G63" s="1" t="str">
        <f>G57</f>
        <v>per 100 youth petitioned</v>
      </c>
      <c r="L63" s="58">
        <f>IF(($E57&gt;0),L57,L56)</f>
        <v>100</v>
      </c>
      <c r="M63" s="58"/>
    </row>
    <row r="64" spans="2:18" ht="15" hidden="1" customHeight="1" x14ac:dyDescent="0.25">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17.786999999999999</v>
      </c>
      <c r="D66" s="56">
        <f>D60</f>
        <v>2.1120000000000001</v>
      </c>
      <c r="E66" s="56">
        <f>MAX(C66:D66)</f>
        <v>17.786999999999999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0.27</v>
      </c>
      <c r="D67" s="49">
        <f t="shared" si="12"/>
        <v>0.02</v>
      </c>
      <c r="E67" s="49">
        <f>MAX(C67:D67)</f>
        <v>0.27</v>
      </c>
      <c r="G67" s="1" t="str">
        <f>G61</f>
        <v>per 100 arrests</v>
      </c>
      <c r="L67" s="58">
        <f>IF(($E61&gt;0),L61,L60)</f>
        <v>100</v>
      </c>
      <c r="M67" s="58">
        <f>IF((B67=G67),1,2)</f>
        <v>1</v>
      </c>
    </row>
    <row r="68" spans="2:13" ht="15" hidden="1" customHeight="1" x14ac:dyDescent="0.25">
      <c r="B68" s="49" t="str">
        <f t="shared" si="12"/>
        <v>per 100 referrals</v>
      </c>
      <c r="C68" s="49">
        <f t="shared" si="12"/>
        <v>1.6</v>
      </c>
      <c r="D68" s="49">
        <f t="shared" si="12"/>
        <v>0.06</v>
      </c>
      <c r="E68" s="49">
        <f>MAX(C68:D68)</f>
        <v>1.6</v>
      </c>
      <c r="G68" s="1" t="str">
        <f>G62</f>
        <v>per 100 referrals</v>
      </c>
      <c r="L68" s="58">
        <f>IF(($E62&gt;0),L62,L61)</f>
        <v>100</v>
      </c>
      <c r="M68" s="58">
        <f>IF((B68=G68),1,2)</f>
        <v>1</v>
      </c>
    </row>
    <row r="69" spans="2:13" ht="15" hidden="1" customHeight="1" x14ac:dyDescent="0.25">
      <c r="B69" s="49" t="str">
        <f>IF(($E63&gt;0),B63,B61)</f>
        <v>per 100 youth petitioned</v>
      </c>
      <c r="C69" s="49">
        <f>IF(($E63&gt;0),C63,C62)</f>
        <v>0.47</v>
      </c>
      <c r="D69" s="49">
        <f>IF(($E63&gt;0),D63,D62)</f>
        <v>0</v>
      </c>
      <c r="E69" s="49">
        <f>MAX(C69:D69)</f>
        <v>0.47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Washtenaw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17787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27</v>
      </c>
      <c r="D7" s="34">
        <f>IF((AND(C66&gt;0,C7&gt;0)),(C7/C66),0)</f>
        <v>1.5179625569235959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27</v>
      </c>
      <c r="Q7" s="42">
        <f>C6-C7</f>
        <v>17760</v>
      </c>
      <c r="R7" s="42">
        <f t="shared" ref="R7:R15" si="5">SUM(N7:Q7)</f>
        <v>17787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160</v>
      </c>
      <c r="D8" s="34">
        <f>IF((AND(C67&gt;0,C8&gt;0)),(C8/C67),0)</f>
        <v>592.59259259259261</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160</v>
      </c>
      <c r="Q8" s="42">
        <f>(C$67*L67)-C8</f>
        <v>-133</v>
      </c>
      <c r="R8" s="42">
        <f t="shared" si="5"/>
        <v>27.050000000000011</v>
      </c>
      <c r="S8" s="30">
        <f t="shared" si="6"/>
        <v>1731.2000000000007</v>
      </c>
      <c r="T8" s="30">
        <f t="shared" si="7"/>
        <v>-28717.199999999997</v>
      </c>
      <c r="U8" s="31">
        <f t="shared" si="8"/>
        <v>-6.028442884403775E-2</v>
      </c>
    </row>
    <row r="9" spans="2:21" ht="18" customHeight="1" x14ac:dyDescent="0.25">
      <c r="B9" s="32" t="str">
        <f>'Data Entry'!A9</f>
        <v xml:space="preserve">4. Cases Diverted </v>
      </c>
      <c r="C9" s="33">
        <f>'Data Entry'!C9</f>
        <v>81</v>
      </c>
      <c r="D9" s="34">
        <f>IF((AND(C68&gt;0,C9&gt;0)),((C9/C68)),0)</f>
        <v>50.625</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81</v>
      </c>
      <c r="Q9" s="42">
        <f>(C$68*L68)-C9</f>
        <v>79</v>
      </c>
      <c r="R9" s="42">
        <f t="shared" si="5"/>
        <v>160</v>
      </c>
      <c r="S9" s="30">
        <f t="shared" si="6"/>
        <v>0</v>
      </c>
      <c r="T9" s="30">
        <f t="shared" si="7"/>
        <v>0</v>
      </c>
      <c r="U9" s="31" t="str">
        <f t="shared" si="8"/>
        <v>- -</v>
      </c>
    </row>
    <row r="10" spans="2:21" ht="18" customHeight="1" x14ac:dyDescent="0.25">
      <c r="B10" s="32" t="str">
        <f>'Data Entry'!A10</f>
        <v>5. Cases Involving Secure Detention</v>
      </c>
      <c r="C10" s="33">
        <f>'Data Entry'!C10</f>
        <v>24</v>
      </c>
      <c r="D10" s="34">
        <f>IF(((AND(C68&gt;0,C10&gt;0))),(C10/(C68)),0)</f>
        <v>15</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24</v>
      </c>
      <c r="Q10" s="42">
        <f>(C$68*L68)-C10</f>
        <v>136</v>
      </c>
      <c r="R10" s="42">
        <f t="shared" si="5"/>
        <v>160</v>
      </c>
      <c r="S10" s="30">
        <f t="shared" si="6"/>
        <v>0</v>
      </c>
      <c r="T10" s="30">
        <f t="shared" si="7"/>
        <v>0</v>
      </c>
      <c r="U10" s="31" t="str">
        <f t="shared" si="8"/>
        <v>- -</v>
      </c>
    </row>
    <row r="11" spans="2:21" ht="18" customHeight="1" x14ac:dyDescent="0.25">
      <c r="B11" s="32" t="str">
        <f>'Data Entry'!A11</f>
        <v>6. Cases Petitioned (Charge Filed)</v>
      </c>
      <c r="C11" s="33">
        <f>'Data Entry'!C11</f>
        <v>47</v>
      </c>
      <c r="D11" s="34">
        <f>IF(((AND(C68&gt;0,C11&gt;0))),(C11/(C68)),0)</f>
        <v>29.375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47</v>
      </c>
      <c r="Q11" s="42">
        <f>(C$68*L68)-C11</f>
        <v>113</v>
      </c>
      <c r="R11" s="42">
        <f t="shared" si="5"/>
        <v>160</v>
      </c>
      <c r="S11" s="30">
        <f t="shared" si="6"/>
        <v>0</v>
      </c>
      <c r="T11" s="30">
        <f t="shared" si="7"/>
        <v>0</v>
      </c>
      <c r="U11" s="31" t="str">
        <f t="shared" si="8"/>
        <v>- -</v>
      </c>
    </row>
    <row r="12" spans="2:21" ht="18" customHeight="1" x14ac:dyDescent="0.25">
      <c r="B12" s="32" t="str">
        <f>'Data Entry'!A12</f>
        <v>7. Cases Resulting in Delinquent Findings</v>
      </c>
      <c r="C12" s="33">
        <f>'Data Entry'!C12</f>
        <v>14</v>
      </c>
      <c r="D12" s="34">
        <f>IF(((AND(C69&gt;0,C12&gt;0))),(C12/(C69)),0)</f>
        <v>29.787234042553195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v>
      </c>
      <c r="Q12" s="42">
        <f>(C69*L69)-C12</f>
        <v>33</v>
      </c>
      <c r="R12" s="42">
        <f t="shared" si="5"/>
        <v>47</v>
      </c>
      <c r="S12" s="30">
        <f t="shared" si="6"/>
        <v>0</v>
      </c>
      <c r="T12" s="30">
        <f t="shared" si="7"/>
        <v>0</v>
      </c>
      <c r="U12" s="31" t="str">
        <f t="shared" si="8"/>
        <v>- -</v>
      </c>
    </row>
    <row r="13" spans="2:21" ht="18" customHeight="1" x14ac:dyDescent="0.25">
      <c r="B13" s="32" t="str">
        <f>'Data Entry'!A13</f>
        <v>8. Cases Resulting in Probation Placement</v>
      </c>
      <c r="C13" s="33">
        <f>'Data Entry'!C13</f>
        <v>46</v>
      </c>
      <c r="D13" s="34">
        <f>IF(((AND(C70&gt;0,C13&gt;0))),(C13/(C70)),0)</f>
        <v>328.57142857142856</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46</v>
      </c>
      <c r="Q13" s="42">
        <f>(C70*L70)-C13</f>
        <v>-32</v>
      </c>
      <c r="R13" s="42">
        <f t="shared" si="5"/>
        <v>14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v>
      </c>
      <c r="D14" s="34">
        <f>IF(((AND(C70&gt;0,C14&gt;0))), ((C14/(C70))),0)</f>
        <v>7.1428571428571423</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13.000000000000002</v>
      </c>
      <c r="R14" s="42">
        <f t="shared" si="5"/>
        <v>14.000000000000002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47</v>
      </c>
      <c r="R15" s="42">
        <f t="shared" si="5"/>
        <v>47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17.786999999999999</v>
      </c>
      <c r="D42" s="56">
        <f>E6/1000</f>
        <v>0</v>
      </c>
      <c r="E42" s="56">
        <f>MAX(C42:D42)</f>
        <v>17.786999999999999</v>
      </c>
      <c r="G42" s="1" t="str">
        <f>B42</f>
        <v>per 1000 youth</v>
      </c>
      <c r="L42" s="57">
        <v>1000</v>
      </c>
      <c r="M42" s="57"/>
      <c r="R42" s="49"/>
    </row>
    <row r="43" spans="2:18" ht="15" hidden="1" customHeight="1" x14ac:dyDescent="0.25">
      <c r="B43" s="49" t="s">
        <v>87</v>
      </c>
      <c r="C43" s="56">
        <f>C7/100</f>
        <v>0.27</v>
      </c>
      <c r="D43" s="56">
        <f>E7/100</f>
        <v>0</v>
      </c>
      <c r="E43" s="56">
        <f>MAX(C43:D43,0)</f>
        <v>0.27</v>
      </c>
      <c r="G43" s="1" t="str">
        <f>B43</f>
        <v>per 100 arrests</v>
      </c>
      <c r="L43" s="57">
        <v>100</v>
      </c>
      <c r="M43" s="57"/>
      <c r="R43" s="49"/>
    </row>
    <row r="44" spans="2:18" ht="15" hidden="1" customHeight="1" x14ac:dyDescent="0.25">
      <c r="B44" s="49" t="s">
        <v>88</v>
      </c>
      <c r="C44" s="56">
        <f>C8/100</f>
        <v>1.6</v>
      </c>
      <c r="D44" s="56">
        <f>E8/100</f>
        <v>0</v>
      </c>
      <c r="E44" s="56">
        <f>MAX(C44:D44,0)</f>
        <v>1.6</v>
      </c>
      <c r="G44" s="1" t="str">
        <f>B44</f>
        <v>per 100 referrals</v>
      </c>
      <c r="L44" s="57">
        <v>100</v>
      </c>
      <c r="M44" s="57"/>
      <c r="R44" s="49"/>
    </row>
    <row r="45" spans="2:18" ht="15" hidden="1" customHeight="1" x14ac:dyDescent="0.25">
      <c r="B45" s="49" t="s">
        <v>89</v>
      </c>
      <c r="C45" s="49">
        <f>C11/100</f>
        <v>0.47</v>
      </c>
      <c r="D45" s="49">
        <f>E11/100</f>
        <v>0</v>
      </c>
      <c r="E45" s="56">
        <f>MAX(C45:D45,0)</f>
        <v>0.47</v>
      </c>
      <c r="G45" s="1" t="str">
        <f>B45</f>
        <v>per 100 youth petitioned</v>
      </c>
      <c r="L45" s="57">
        <v>100</v>
      </c>
      <c r="M45" s="57"/>
      <c r="R45" s="49"/>
    </row>
    <row r="46" spans="2:18" ht="15" hidden="1" customHeight="1" x14ac:dyDescent="0.25">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17.786999999999999</v>
      </c>
      <c r="D48" s="56">
        <f>D42</f>
        <v>0</v>
      </c>
      <c r="E48" s="56">
        <f>MAX(C48:D48)</f>
        <v>17.786999999999999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0.27</v>
      </c>
      <c r="D49" s="49">
        <f t="shared" si="9"/>
        <v>0</v>
      </c>
      <c r="E49" s="49">
        <f>MAX(C49:D49)</f>
        <v>0.27</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1.6</v>
      </c>
      <c r="D50" s="49">
        <f t="shared" si="9"/>
        <v>0</v>
      </c>
      <c r="E50" s="49">
        <f>MAX(C50:D50)</f>
        <v>1.6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0.47</v>
      </c>
      <c r="D51" s="49">
        <f>IF(($E45&gt;0),D45,D44)</f>
        <v>0</v>
      </c>
      <c r="E51" s="49">
        <f>MAX(C51:D51)</f>
        <v>0.47</v>
      </c>
      <c r="G51" s="1" t="str">
        <f>G45</f>
        <v>per 100 youth petitioned</v>
      </c>
      <c r="L51" s="58">
        <f>IF(($E45&gt;0),L45,L44)</f>
        <v>100</v>
      </c>
      <c r="M51" s="58"/>
    </row>
    <row r="52" spans="2:18" ht="15" hidden="1" customHeight="1" x14ac:dyDescent="0.25">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17.786999999999999</v>
      </c>
      <c r="D54" s="56">
        <f>D48</f>
        <v>0</v>
      </c>
      <c r="E54" s="56">
        <f>MAX(C54:D54)</f>
        <v>17.786999999999999</v>
      </c>
      <c r="G54" s="1" t="str">
        <f>G48</f>
        <v>per 1000 youth</v>
      </c>
      <c r="L54" s="58">
        <f>L48</f>
        <v>1000</v>
      </c>
      <c r="M54" s="58"/>
    </row>
    <row r="55" spans="2:18" ht="15" hidden="1" customHeight="1" x14ac:dyDescent="0.25">
      <c r="B55" s="49" t="str">
        <f t="shared" ref="B55:D56" si="10">IF(($E49&gt;0),B49,B48)</f>
        <v>per 100 arrests</v>
      </c>
      <c r="C55" s="49">
        <f t="shared" si="10"/>
        <v>0.27</v>
      </c>
      <c r="D55" s="49">
        <f t="shared" si="10"/>
        <v>0</v>
      </c>
      <c r="E55" s="49">
        <f>MAX(C55:D55)</f>
        <v>0.27</v>
      </c>
      <c r="G55" s="1" t="str">
        <f>G49</f>
        <v>per 100 arrests</v>
      </c>
      <c r="L55" s="58">
        <f>IF(($E49&gt;0),L49,L48)</f>
        <v>100</v>
      </c>
      <c r="M55" s="58"/>
    </row>
    <row r="56" spans="2:18" ht="15" hidden="1" customHeight="1" x14ac:dyDescent="0.25">
      <c r="B56" s="49" t="str">
        <f t="shared" si="10"/>
        <v>per 100 referrals</v>
      </c>
      <c r="C56" s="49">
        <f t="shared" si="10"/>
        <v>1.6</v>
      </c>
      <c r="D56" s="49">
        <f t="shared" si="10"/>
        <v>0</v>
      </c>
      <c r="E56" s="49">
        <f>MAX(C56:D56)</f>
        <v>1.6</v>
      </c>
      <c r="G56" s="1" t="str">
        <f>G50</f>
        <v>per 100 referrals</v>
      </c>
      <c r="L56" s="58">
        <f>IF(($E50&gt;0),L50,L49)</f>
        <v>100</v>
      </c>
      <c r="M56" s="58"/>
    </row>
    <row r="57" spans="2:18" ht="15" hidden="1" customHeight="1" x14ac:dyDescent="0.25">
      <c r="B57" s="49" t="str">
        <f>IF(($E51&gt;0),B51,B49)</f>
        <v>per 100 youth petitioned</v>
      </c>
      <c r="C57" s="49">
        <f>IF(($E51&gt;0),C51,C50)</f>
        <v>0.47</v>
      </c>
      <c r="D57" s="49">
        <f>IF(($E51&gt;0),D51,D50)</f>
        <v>0</v>
      </c>
      <c r="E57" s="49">
        <f>MAX(C57:D57)</f>
        <v>0.47</v>
      </c>
      <c r="G57" s="1" t="str">
        <f>G51</f>
        <v>per 100 youth petitioned</v>
      </c>
      <c r="L57" s="58">
        <f>IF(($E51&gt;0),L51,L50)</f>
        <v>100</v>
      </c>
      <c r="M57" s="58"/>
    </row>
    <row r="58" spans="2:18" ht="15" hidden="1" customHeight="1" x14ac:dyDescent="0.25">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17.786999999999999</v>
      </c>
      <c r="D60" s="56">
        <f>D54</f>
        <v>0</v>
      </c>
      <c r="E60" s="56">
        <f>MAX(C60:D60)</f>
        <v>17.786999999999999</v>
      </c>
      <c r="G60" s="1" t="str">
        <f>G54</f>
        <v>per 1000 youth</v>
      </c>
      <c r="L60" s="58">
        <f>L54</f>
        <v>1000</v>
      </c>
      <c r="M60" s="58"/>
    </row>
    <row r="61" spans="2:18" ht="15" hidden="1" customHeight="1" x14ac:dyDescent="0.25">
      <c r="B61" s="49" t="str">
        <f t="shared" ref="B61:D62" si="11">IF(($E55&gt;0),B55,B54)</f>
        <v>per 100 arrests</v>
      </c>
      <c r="C61" s="49">
        <f t="shared" si="11"/>
        <v>0.27</v>
      </c>
      <c r="D61" s="49">
        <f t="shared" si="11"/>
        <v>0</v>
      </c>
      <c r="E61" s="49">
        <f>MAX(C61:D61)</f>
        <v>0.27</v>
      </c>
      <c r="G61" s="1" t="str">
        <f>G55</f>
        <v>per 100 arrests</v>
      </c>
      <c r="L61" s="58">
        <f>IF(($E55&gt;0),L55,L54)</f>
        <v>100</v>
      </c>
      <c r="M61" s="58"/>
    </row>
    <row r="62" spans="2:18" ht="15" hidden="1" customHeight="1" x14ac:dyDescent="0.25">
      <c r="B62" s="49" t="str">
        <f t="shared" si="11"/>
        <v>per 100 referrals</v>
      </c>
      <c r="C62" s="49">
        <f t="shared" si="11"/>
        <v>1.6</v>
      </c>
      <c r="D62" s="49">
        <f t="shared" si="11"/>
        <v>0</v>
      </c>
      <c r="E62" s="49">
        <f>MAX(C62:D62)</f>
        <v>1.6</v>
      </c>
      <c r="G62" s="1" t="str">
        <f>G56</f>
        <v>per 100 referrals</v>
      </c>
      <c r="L62" s="58">
        <f>IF(($E56&gt;0),L56,L55)</f>
        <v>100</v>
      </c>
      <c r="M62" s="58"/>
    </row>
    <row r="63" spans="2:18" ht="15" hidden="1" customHeight="1" x14ac:dyDescent="0.25">
      <c r="B63" s="49" t="str">
        <f>IF(($E57&gt;0),B57,B55)</f>
        <v>per 100 youth petitioned</v>
      </c>
      <c r="C63" s="49">
        <f>IF(($E57&gt;0),C57,C56)</f>
        <v>0.47</v>
      </c>
      <c r="D63" s="49">
        <f>IF(($E57&gt;0),D57,D56)</f>
        <v>0</v>
      </c>
      <c r="E63" s="49">
        <f>MAX(C63:D63)</f>
        <v>0.47</v>
      </c>
      <c r="G63" s="1" t="str">
        <f>G57</f>
        <v>per 100 youth petitioned</v>
      </c>
      <c r="L63" s="58">
        <f>IF(($E57&gt;0),L57,L56)</f>
        <v>100</v>
      </c>
      <c r="M63" s="58"/>
    </row>
    <row r="64" spans="2:18" ht="15" hidden="1" customHeight="1" x14ac:dyDescent="0.25">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17.786999999999999</v>
      </c>
      <c r="D66" s="56">
        <f>D60</f>
        <v>0</v>
      </c>
      <c r="E66" s="56">
        <f>MAX(C66:D66)</f>
        <v>17.786999999999999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0.27</v>
      </c>
      <c r="D67" s="49">
        <f t="shared" si="12"/>
        <v>0</v>
      </c>
      <c r="E67" s="49">
        <f>MAX(C67:D67)</f>
        <v>0.27</v>
      </c>
      <c r="G67" s="1" t="str">
        <f>G61</f>
        <v>per 100 arrests</v>
      </c>
      <c r="L67" s="58">
        <f>IF(($E61&gt;0),L61,L60)</f>
        <v>100</v>
      </c>
      <c r="M67" s="58">
        <f>IF((B67=G67),1,2)</f>
        <v>1</v>
      </c>
    </row>
    <row r="68" spans="2:13" ht="15" hidden="1" customHeight="1" x14ac:dyDescent="0.25">
      <c r="B68" s="49" t="str">
        <f t="shared" si="12"/>
        <v>per 100 referrals</v>
      </c>
      <c r="C68" s="49">
        <f t="shared" si="12"/>
        <v>1.6</v>
      </c>
      <c r="D68" s="49">
        <f t="shared" si="12"/>
        <v>0</v>
      </c>
      <c r="E68" s="49">
        <f>MAX(C68:D68)</f>
        <v>1.6</v>
      </c>
      <c r="G68" s="1" t="str">
        <f>G62</f>
        <v>per 100 referrals</v>
      </c>
      <c r="L68" s="58">
        <f>IF(($E62&gt;0),L62,L61)</f>
        <v>100</v>
      </c>
      <c r="M68" s="58">
        <f>IF((B68=G68),1,2)</f>
        <v>1</v>
      </c>
    </row>
    <row r="69" spans="2:13" ht="15" hidden="1" customHeight="1" x14ac:dyDescent="0.25">
      <c r="B69" s="49" t="str">
        <f>IF(($E63&gt;0),B63,B61)</f>
        <v>per 100 youth petitioned</v>
      </c>
      <c r="C69" s="49">
        <f>IF(($E63&gt;0),C63,C62)</f>
        <v>0.47</v>
      </c>
      <c r="D69" s="49">
        <f>IF(($E63&gt;0),D63,D62)</f>
        <v>0</v>
      </c>
      <c r="E69" s="49">
        <f>MAX(C69:D69)</f>
        <v>0.47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Washtenaw</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17787</v>
      </c>
      <c r="D6" s="34"/>
      <c r="E6" s="33">
        <f>'Data Entry'!H6</f>
        <v>128</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27</v>
      </c>
      <c r="D7" s="34">
        <f>IF((AND(C66&gt;0,C7&gt;0)),(C7/C66),0)</f>
        <v>1.5179625569235959</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128</v>
      </c>
      <c r="P7" s="42">
        <f t="shared" ref="P7:P15" si="4">C7</f>
        <v>27</v>
      </c>
      <c r="Q7" s="42">
        <f>C6-C7</f>
        <v>17760</v>
      </c>
      <c r="R7" s="42">
        <f t="shared" ref="R7:R15" si="5">SUM(N7:Q7)</f>
        <v>17915</v>
      </c>
      <c r="S7" s="30">
        <f t="shared" ref="S7:S15" si="6">R7*((((N7*Q7)-(O7*P7))^2))</f>
        <v>213975613440</v>
      </c>
      <c r="T7" s="30">
        <f t="shared" ref="T7:T15" si="7">(N7+O7)*(P7+Q7)*(N7+P7)*(O7+Q7)</f>
        <v>1099608846336</v>
      </c>
      <c r="U7" s="31">
        <f t="shared" ref="U7:U15" si="8">IF((S7&gt;0),S7/T7,"- -")</f>
        <v>0.19459248091081374</v>
      </c>
    </row>
    <row r="8" spans="2:21" ht="18" customHeight="1" x14ac:dyDescent="0.25">
      <c r="B8" s="32" t="str">
        <f>'Data Entry'!A8</f>
        <v>3. Refer to Juvenile Court</v>
      </c>
      <c r="C8" s="33">
        <f>'Data Entry'!C8</f>
        <v>160</v>
      </c>
      <c r="D8" s="34">
        <f>IF((AND(C67&gt;0,C8&gt;0)),(C8/C67),0)</f>
        <v>592.59259259259261</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160</v>
      </c>
      <c r="Q8" s="42">
        <f>(C$67*L67)-C8</f>
        <v>-133</v>
      </c>
      <c r="R8" s="42">
        <f t="shared" si="5"/>
        <v>27.050000000000011</v>
      </c>
      <c r="S8" s="30">
        <f t="shared" si="6"/>
        <v>1731.2000000000007</v>
      </c>
      <c r="T8" s="30">
        <f t="shared" si="7"/>
        <v>-28717.199999999997</v>
      </c>
      <c r="U8" s="31">
        <f t="shared" si="8"/>
        <v>-6.028442884403775E-2</v>
      </c>
    </row>
    <row r="9" spans="2:21" ht="18" customHeight="1" x14ac:dyDescent="0.25">
      <c r="B9" s="32" t="str">
        <f>'Data Entry'!A9</f>
        <v xml:space="preserve">4. Cases Diverted </v>
      </c>
      <c r="C9" s="33">
        <f>'Data Entry'!C9</f>
        <v>81</v>
      </c>
      <c r="D9" s="34">
        <f>IF((AND(C68&gt;0,C9&gt;0)),((C9/C68)),0)</f>
        <v>50.625</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81</v>
      </c>
      <c r="Q9" s="42">
        <f>(C$68*L68)-C9</f>
        <v>79</v>
      </c>
      <c r="R9" s="42">
        <f t="shared" si="5"/>
        <v>160</v>
      </c>
      <c r="S9" s="30">
        <f t="shared" si="6"/>
        <v>0</v>
      </c>
      <c r="T9" s="30">
        <f t="shared" si="7"/>
        <v>0</v>
      </c>
      <c r="U9" s="31" t="str">
        <f t="shared" si="8"/>
        <v>- -</v>
      </c>
    </row>
    <row r="10" spans="2:21" ht="18" customHeight="1" x14ac:dyDescent="0.25">
      <c r="B10" s="32" t="str">
        <f>'Data Entry'!A10</f>
        <v>5. Cases Involving Secure Detention</v>
      </c>
      <c r="C10" s="33">
        <f>'Data Entry'!C10</f>
        <v>24</v>
      </c>
      <c r="D10" s="34">
        <f>IF(((AND(C68&gt;0,C10&gt;0))),(C10/(C68)),0)</f>
        <v>15</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24</v>
      </c>
      <c r="Q10" s="42">
        <f>(C$68*L68)-C10</f>
        <v>136</v>
      </c>
      <c r="R10" s="42">
        <f t="shared" si="5"/>
        <v>160</v>
      </c>
      <c r="S10" s="30">
        <f t="shared" si="6"/>
        <v>0</v>
      </c>
      <c r="T10" s="30">
        <f t="shared" si="7"/>
        <v>0</v>
      </c>
      <c r="U10" s="31" t="str">
        <f t="shared" si="8"/>
        <v>- -</v>
      </c>
    </row>
    <row r="11" spans="2:21" ht="18" customHeight="1" x14ac:dyDescent="0.25">
      <c r="B11" s="32" t="str">
        <f>'Data Entry'!A11</f>
        <v>6. Cases Petitioned (Charge Filed)</v>
      </c>
      <c r="C11" s="33">
        <f>'Data Entry'!C11</f>
        <v>47</v>
      </c>
      <c r="D11" s="34">
        <f>IF(((AND(C68&gt;0,C11&gt;0))),(C11/(C68)),0)</f>
        <v>29.375</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47</v>
      </c>
      <c r="Q11" s="42">
        <f>(C$68*L68)-C11</f>
        <v>113</v>
      </c>
      <c r="R11" s="42">
        <f t="shared" si="5"/>
        <v>160</v>
      </c>
      <c r="S11" s="30">
        <f t="shared" si="6"/>
        <v>0</v>
      </c>
      <c r="T11" s="30">
        <f t="shared" si="7"/>
        <v>0</v>
      </c>
      <c r="U11" s="31" t="str">
        <f t="shared" si="8"/>
        <v>- -</v>
      </c>
    </row>
    <row r="12" spans="2:21" ht="18" customHeight="1" x14ac:dyDescent="0.25">
      <c r="B12" s="32" t="str">
        <f>'Data Entry'!A12</f>
        <v>7. Cases Resulting in Delinquent Findings</v>
      </c>
      <c r="C12" s="33">
        <f>'Data Entry'!C12</f>
        <v>14</v>
      </c>
      <c r="D12" s="34">
        <f>IF(((AND(C69&gt;0,C12&gt;0))),(C12/(C69)),0)</f>
        <v>29.787234042553195</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v>
      </c>
      <c r="Q12" s="42">
        <f>(C69*L69)-C12</f>
        <v>33</v>
      </c>
      <c r="R12" s="42">
        <f t="shared" si="5"/>
        <v>47</v>
      </c>
      <c r="S12" s="30">
        <f t="shared" si="6"/>
        <v>0</v>
      </c>
      <c r="T12" s="30">
        <f t="shared" si="7"/>
        <v>0</v>
      </c>
      <c r="U12" s="31" t="str">
        <f t="shared" si="8"/>
        <v>- -</v>
      </c>
    </row>
    <row r="13" spans="2:21" ht="18" customHeight="1" x14ac:dyDescent="0.25">
      <c r="B13" s="32" t="str">
        <f>'Data Entry'!A13</f>
        <v>8. Cases Resulting in Probation Placement</v>
      </c>
      <c r="C13" s="33">
        <f>'Data Entry'!C13</f>
        <v>46</v>
      </c>
      <c r="D13" s="34">
        <f>IF(((AND(C70&gt;0,C13&gt;0))),(C13/(C70)),0)</f>
        <v>328.57142857142856</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46</v>
      </c>
      <c r="Q13" s="42">
        <f>(C70*L70)-C13</f>
        <v>-32</v>
      </c>
      <c r="R13" s="42">
        <f t="shared" si="5"/>
        <v>14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v>
      </c>
      <c r="D14" s="34">
        <f>IF(((AND(C70&gt;0,C14&gt;0))), ((C14/(C70))),0)</f>
        <v>7.1428571428571423</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13.000000000000002</v>
      </c>
      <c r="R14" s="42">
        <f t="shared" si="5"/>
        <v>14.000000000000002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47</v>
      </c>
      <c r="R15" s="42">
        <f t="shared" si="5"/>
        <v>47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17.786999999999999</v>
      </c>
      <c r="D42" s="56">
        <f>E6/1000</f>
        <v>0.128</v>
      </c>
      <c r="E42" s="56">
        <f>MAX(C42:D42)</f>
        <v>17.786999999999999</v>
      </c>
      <c r="G42" s="1" t="str">
        <f>B42</f>
        <v>per 1000 youth</v>
      </c>
      <c r="L42" s="57">
        <v>1000</v>
      </c>
      <c r="M42" s="57"/>
      <c r="R42" s="49"/>
    </row>
    <row r="43" spans="2:18" ht="15" hidden="1" customHeight="1" x14ac:dyDescent="0.25">
      <c r="B43" s="49" t="s">
        <v>87</v>
      </c>
      <c r="C43" s="56">
        <f>C7/100</f>
        <v>0.27</v>
      </c>
      <c r="D43" s="56">
        <f>E7/100</f>
        <v>0</v>
      </c>
      <c r="E43" s="56">
        <f>MAX(C43:D43,0)</f>
        <v>0.27</v>
      </c>
      <c r="G43" s="1" t="str">
        <f>B43</f>
        <v>per 100 arrests</v>
      </c>
      <c r="L43" s="57">
        <v>100</v>
      </c>
      <c r="M43" s="57"/>
      <c r="R43" s="49"/>
    </row>
    <row r="44" spans="2:18" ht="15" hidden="1" customHeight="1" x14ac:dyDescent="0.25">
      <c r="B44" s="49" t="s">
        <v>88</v>
      </c>
      <c r="C44" s="56">
        <f>C8/100</f>
        <v>1.6</v>
      </c>
      <c r="D44" s="56">
        <f>E8/100</f>
        <v>0</v>
      </c>
      <c r="E44" s="56">
        <f>MAX(C44:D44,0)</f>
        <v>1.6</v>
      </c>
      <c r="G44" s="1" t="str">
        <f>B44</f>
        <v>per 100 referrals</v>
      </c>
      <c r="L44" s="57">
        <v>100</v>
      </c>
      <c r="M44" s="57"/>
      <c r="R44" s="49"/>
    </row>
    <row r="45" spans="2:18" ht="15" hidden="1" customHeight="1" x14ac:dyDescent="0.25">
      <c r="B45" s="49" t="s">
        <v>89</v>
      </c>
      <c r="C45" s="49">
        <f>C11/100</f>
        <v>0.47</v>
      </c>
      <c r="D45" s="49">
        <f>E11/100</f>
        <v>0</v>
      </c>
      <c r="E45" s="56">
        <f>MAX(C45:D45,0)</f>
        <v>0.47</v>
      </c>
      <c r="G45" s="1" t="str">
        <f>B45</f>
        <v>per 100 youth petitioned</v>
      </c>
      <c r="L45" s="57">
        <v>100</v>
      </c>
      <c r="M45" s="57"/>
      <c r="R45" s="49"/>
    </row>
    <row r="46" spans="2:18" ht="15" hidden="1" customHeight="1" x14ac:dyDescent="0.25">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17.786999999999999</v>
      </c>
      <c r="D48" s="56">
        <f>D42</f>
        <v>0.128</v>
      </c>
      <c r="E48" s="56">
        <f>MAX(C48:D48)</f>
        <v>17.786999999999999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0.27</v>
      </c>
      <c r="D49" s="49">
        <f t="shared" si="9"/>
        <v>0</v>
      </c>
      <c r="E49" s="49">
        <f>MAX(C49:D49)</f>
        <v>0.27</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1.6</v>
      </c>
      <c r="D50" s="49">
        <f t="shared" si="9"/>
        <v>0</v>
      </c>
      <c r="E50" s="49">
        <f>MAX(C50:D50)</f>
        <v>1.6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0.47</v>
      </c>
      <c r="D51" s="49">
        <f>IF(($E45&gt;0),D45,D44)</f>
        <v>0</v>
      </c>
      <c r="E51" s="49">
        <f>MAX(C51:D51)</f>
        <v>0.47</v>
      </c>
      <c r="G51" s="1" t="str">
        <f>G45</f>
        <v>per 100 youth petitioned</v>
      </c>
      <c r="L51" s="58">
        <f>IF(($E45&gt;0),L45,L44)</f>
        <v>100</v>
      </c>
      <c r="M51" s="58"/>
    </row>
    <row r="52" spans="2:18" ht="15" hidden="1" customHeight="1" x14ac:dyDescent="0.25">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17.786999999999999</v>
      </c>
      <c r="D54" s="56">
        <f>D48</f>
        <v>0.128</v>
      </c>
      <c r="E54" s="56">
        <f>MAX(C54:D54)</f>
        <v>17.786999999999999</v>
      </c>
      <c r="G54" s="1" t="str">
        <f>G48</f>
        <v>per 1000 youth</v>
      </c>
      <c r="L54" s="58">
        <f>L48</f>
        <v>1000</v>
      </c>
      <c r="M54" s="58"/>
    </row>
    <row r="55" spans="2:18" ht="15" hidden="1" customHeight="1" x14ac:dyDescent="0.25">
      <c r="B55" s="49" t="str">
        <f t="shared" ref="B55:D56" si="10">IF(($E49&gt;0),B49,B48)</f>
        <v>per 100 arrests</v>
      </c>
      <c r="C55" s="49">
        <f t="shared" si="10"/>
        <v>0.27</v>
      </c>
      <c r="D55" s="49">
        <f t="shared" si="10"/>
        <v>0</v>
      </c>
      <c r="E55" s="49">
        <f>MAX(C55:D55)</f>
        <v>0.27</v>
      </c>
      <c r="G55" s="1" t="str">
        <f>G49</f>
        <v>per 100 arrests</v>
      </c>
      <c r="L55" s="58">
        <f>IF(($E49&gt;0),L49,L48)</f>
        <v>100</v>
      </c>
      <c r="M55" s="58"/>
    </row>
    <row r="56" spans="2:18" ht="15" hidden="1" customHeight="1" x14ac:dyDescent="0.25">
      <c r="B56" s="49" t="str">
        <f t="shared" si="10"/>
        <v>per 100 referrals</v>
      </c>
      <c r="C56" s="49">
        <f t="shared" si="10"/>
        <v>1.6</v>
      </c>
      <c r="D56" s="49">
        <f t="shared" si="10"/>
        <v>0</v>
      </c>
      <c r="E56" s="49">
        <f>MAX(C56:D56)</f>
        <v>1.6</v>
      </c>
      <c r="G56" s="1" t="str">
        <f>G50</f>
        <v>per 100 referrals</v>
      </c>
      <c r="L56" s="58">
        <f>IF(($E50&gt;0),L50,L49)</f>
        <v>100</v>
      </c>
      <c r="M56" s="58"/>
    </row>
    <row r="57" spans="2:18" ht="15" hidden="1" customHeight="1" x14ac:dyDescent="0.25">
      <c r="B57" s="49" t="str">
        <f>IF(($E51&gt;0),B51,B49)</f>
        <v>per 100 youth petitioned</v>
      </c>
      <c r="C57" s="49">
        <f>IF(($E51&gt;0),C51,C50)</f>
        <v>0.47</v>
      </c>
      <c r="D57" s="49">
        <f>IF(($E51&gt;0),D51,D50)</f>
        <v>0</v>
      </c>
      <c r="E57" s="49">
        <f>MAX(C57:D57)</f>
        <v>0.47</v>
      </c>
      <c r="G57" s="1" t="str">
        <f>G51</f>
        <v>per 100 youth petitioned</v>
      </c>
      <c r="L57" s="58">
        <f>IF(($E51&gt;0),L51,L50)</f>
        <v>100</v>
      </c>
      <c r="M57" s="58"/>
    </row>
    <row r="58" spans="2:18" ht="15" hidden="1" customHeight="1" x14ac:dyDescent="0.25">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17.786999999999999</v>
      </c>
      <c r="D60" s="56">
        <f>D54</f>
        <v>0.128</v>
      </c>
      <c r="E60" s="56">
        <f>MAX(C60:D60)</f>
        <v>17.786999999999999</v>
      </c>
      <c r="G60" s="1" t="str">
        <f>G54</f>
        <v>per 1000 youth</v>
      </c>
      <c r="L60" s="58">
        <f>L54</f>
        <v>1000</v>
      </c>
      <c r="M60" s="58"/>
    </row>
    <row r="61" spans="2:18" ht="15" hidden="1" customHeight="1" x14ac:dyDescent="0.25">
      <c r="B61" s="49" t="str">
        <f t="shared" ref="B61:D62" si="11">IF(($E55&gt;0),B55,B54)</f>
        <v>per 100 arrests</v>
      </c>
      <c r="C61" s="49">
        <f t="shared" si="11"/>
        <v>0.27</v>
      </c>
      <c r="D61" s="49">
        <f t="shared" si="11"/>
        <v>0</v>
      </c>
      <c r="E61" s="49">
        <f>MAX(C61:D61)</f>
        <v>0.27</v>
      </c>
      <c r="G61" s="1" t="str">
        <f>G55</f>
        <v>per 100 arrests</v>
      </c>
      <c r="L61" s="58">
        <f>IF(($E55&gt;0),L55,L54)</f>
        <v>100</v>
      </c>
      <c r="M61" s="58"/>
    </row>
    <row r="62" spans="2:18" ht="15" hidden="1" customHeight="1" x14ac:dyDescent="0.25">
      <c r="B62" s="49" t="str">
        <f t="shared" si="11"/>
        <v>per 100 referrals</v>
      </c>
      <c r="C62" s="49">
        <f t="shared" si="11"/>
        <v>1.6</v>
      </c>
      <c r="D62" s="49">
        <f t="shared" si="11"/>
        <v>0</v>
      </c>
      <c r="E62" s="49">
        <f>MAX(C62:D62)</f>
        <v>1.6</v>
      </c>
      <c r="G62" s="1" t="str">
        <f>G56</f>
        <v>per 100 referrals</v>
      </c>
      <c r="L62" s="58">
        <f>IF(($E56&gt;0),L56,L55)</f>
        <v>100</v>
      </c>
      <c r="M62" s="58"/>
    </row>
    <row r="63" spans="2:18" ht="15" hidden="1" customHeight="1" x14ac:dyDescent="0.25">
      <c r="B63" s="49" t="str">
        <f>IF(($E57&gt;0),B57,B55)</f>
        <v>per 100 youth petitioned</v>
      </c>
      <c r="C63" s="49">
        <f>IF(($E57&gt;0),C57,C56)</f>
        <v>0.47</v>
      </c>
      <c r="D63" s="49">
        <f>IF(($E57&gt;0),D57,D56)</f>
        <v>0</v>
      </c>
      <c r="E63" s="49">
        <f>MAX(C63:D63)</f>
        <v>0.47</v>
      </c>
      <c r="G63" s="1" t="str">
        <f>G57</f>
        <v>per 100 youth petitioned</v>
      </c>
      <c r="L63" s="58">
        <f>IF(($E57&gt;0),L57,L56)</f>
        <v>100</v>
      </c>
      <c r="M63" s="58"/>
    </row>
    <row r="64" spans="2:18" ht="15" hidden="1" customHeight="1" x14ac:dyDescent="0.25">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17.786999999999999</v>
      </c>
      <c r="D66" s="56">
        <f>D60</f>
        <v>0.128</v>
      </c>
      <c r="E66" s="56">
        <f>MAX(C66:D66)</f>
        <v>17.786999999999999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0.27</v>
      </c>
      <c r="D67" s="49">
        <f t="shared" si="12"/>
        <v>0</v>
      </c>
      <c r="E67" s="49">
        <f>MAX(C67:D67)</f>
        <v>0.27</v>
      </c>
      <c r="G67" s="1" t="str">
        <f>G61</f>
        <v>per 100 arrests</v>
      </c>
      <c r="L67" s="58">
        <f>IF(($E61&gt;0),L61,L60)</f>
        <v>100</v>
      </c>
      <c r="M67" s="58">
        <f>IF((B67=G67),1,2)</f>
        <v>1</v>
      </c>
    </row>
    <row r="68" spans="2:13" ht="15" hidden="1" customHeight="1" x14ac:dyDescent="0.25">
      <c r="B68" s="49" t="str">
        <f t="shared" si="12"/>
        <v>per 100 referrals</v>
      </c>
      <c r="C68" s="49">
        <f t="shared" si="12"/>
        <v>1.6</v>
      </c>
      <c r="D68" s="49">
        <f t="shared" si="12"/>
        <v>0</v>
      </c>
      <c r="E68" s="49">
        <f>MAX(C68:D68)</f>
        <v>1.6</v>
      </c>
      <c r="G68" s="1" t="str">
        <f>G62</f>
        <v>per 100 referrals</v>
      </c>
      <c r="L68" s="58">
        <f>IF(($E62&gt;0),L62,L61)</f>
        <v>100</v>
      </c>
      <c r="M68" s="58">
        <f>IF((B68=G68),1,2)</f>
        <v>1</v>
      </c>
    </row>
    <row r="69" spans="2:13" ht="15" hidden="1" customHeight="1" x14ac:dyDescent="0.25">
      <c r="B69" s="49" t="str">
        <f>IF(($E63&gt;0),B63,B61)</f>
        <v>per 100 youth petitioned</v>
      </c>
      <c r="C69" s="49">
        <f>IF(($E63&gt;0),C63,C62)</f>
        <v>0.47</v>
      </c>
      <c r="D69" s="49">
        <f>IF(($E63&gt;0),D63,D62)</f>
        <v>0</v>
      </c>
      <c r="E69" s="49">
        <f>MAX(C69:D69)</f>
        <v>0.47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U47JMPN4QEAR-1806752177-30226</_dlc_DocId>
    <_dlc_DocIdUrl xmlns="ac3811b5-0f3e-49e2-ba69-f2ffa0c782af">
      <Url>https://michiganphi.sharepoint.com/sites/CMDMC/_layouts/15/DocIdRedir.aspx?ID=U47JMPN4QEAR-1806752177-30226</Url>
      <Description>U47JMPN4QEAR-1806752177-30226</Description>
    </_dlc_DocIdUrl>
  </documentManagement>
</p:properties>
</file>

<file path=customXml/itemProps1.xml><?xml version="1.0" encoding="utf-8"?>
<ds:datastoreItem xmlns:ds="http://schemas.openxmlformats.org/officeDocument/2006/customXml" ds:itemID="{96BD6027-B44E-4F78-90C4-E10F3E9D8A7D}"/>
</file>

<file path=customXml/itemProps2.xml><?xml version="1.0" encoding="utf-8"?>
<ds:datastoreItem xmlns:ds="http://schemas.openxmlformats.org/officeDocument/2006/customXml" ds:itemID="{FF262933-B5F3-4423-8CEA-FC7582EF49B1}"/>
</file>

<file path=customXml/itemProps3.xml><?xml version="1.0" encoding="utf-8"?>
<ds:datastoreItem xmlns:ds="http://schemas.openxmlformats.org/officeDocument/2006/customXml" ds:itemID="{48A6FDB6-0828-4FE4-943E-8B1831CEB498}"/>
</file>

<file path=customXml/itemProps4.xml><?xml version="1.0" encoding="utf-8"?>
<ds:datastoreItem xmlns:ds="http://schemas.openxmlformats.org/officeDocument/2006/customXml" ds:itemID="{A64D247A-6A4D-448C-8B6A-49335A2FA9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6aa382c6-727b-4bba-8db4-4ae61e9daf90</vt:lpwstr>
  </property>
</Properties>
</file>