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95" yWindow="240" windowWidth="15480" windowHeight="8565"/>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45621"/>
</workbook>
</file>

<file path=xl/calcChain.xml><?xml version="1.0" encoding="utf-8"?>
<calcChain xmlns="http://schemas.openxmlformats.org/spreadsheetml/2006/main">
  <c r="B15" i="1" l="1"/>
  <c r="B14" i="1"/>
  <c r="B13" i="1"/>
  <c r="B12" i="1"/>
  <c r="B11" i="1"/>
  <c r="B10" i="1"/>
  <c r="B9" i="1"/>
  <c r="B8" i="1"/>
  <c r="B4" i="16" l="1"/>
  <c r="B7" i="16" l="1"/>
  <c r="B6" i="17"/>
  <c r="H7" i="16" l="1"/>
  <c r="F7" i="16"/>
  <c r="D7" i="16"/>
  <c r="C7" i="16"/>
  <c r="N7" i="13"/>
  <c r="L7" i="13"/>
  <c r="J7" i="13"/>
  <c r="H7" i="13"/>
  <c r="F7" i="13"/>
  <c r="D7" i="13"/>
  <c r="C7" i="13"/>
  <c r="B7" i="13"/>
  <c r="A5" i="17" l="1"/>
  <c r="A6" i="17" s="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4"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G2" i="10"/>
  <c r="F18" i="10" s="1"/>
  <c r="H2" i="10"/>
  <c r="G18" i="10" s="1"/>
  <c r="I2" i="10"/>
  <c r="H18" i="10" s="1"/>
  <c r="J2" i="10"/>
  <c r="B3" i="10"/>
  <c r="F15" i="10"/>
  <c r="B16" i="10"/>
  <c r="F16" i="10"/>
  <c r="B17" i="10"/>
  <c r="C18" i="10"/>
  <c r="E18" i="10"/>
  <c r="I18" i="10"/>
  <c r="J18" i="10"/>
  <c r="B30" i="10"/>
  <c r="A15" i="11"/>
  <c r="M66" i="8"/>
  <c r="F27" i="8"/>
  <c r="F27" i="7"/>
  <c r="M66" i="7"/>
  <c r="F27" i="4"/>
  <c r="M66" i="4"/>
  <c r="F27" i="6"/>
  <c r="M66" i="6"/>
  <c r="M66" i="5"/>
  <c r="F27" i="5"/>
  <c r="F27" i="3"/>
  <c r="M66" i="3"/>
  <c r="M66" i="2"/>
  <c r="H5" i="16" l="1"/>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N7" i="3"/>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N12" i="5"/>
  <c r="D16" i="13"/>
  <c r="C15" i="2"/>
  <c r="P15" i="2" s="1"/>
  <c r="C15" i="3"/>
  <c r="P15" i="3" s="1"/>
  <c r="C15" i="4"/>
  <c r="P15" i="4" s="1"/>
  <c r="C15" i="6"/>
  <c r="P15" i="6" s="1"/>
  <c r="C15" i="5"/>
  <c r="P15" i="5" s="1"/>
  <c r="C15" i="7"/>
  <c r="P15" i="7" s="1"/>
  <c r="C15" i="8"/>
  <c r="P15" i="8" s="1"/>
  <c r="D44" i="6" l="1"/>
  <c r="D46" i="7"/>
  <c r="N11" i="5"/>
  <c r="N11" i="6"/>
  <c r="D43" i="7"/>
  <c r="N11" i="3"/>
  <c r="N8" i="5"/>
  <c r="N12" i="6"/>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N12" i="8"/>
  <c r="D46" i="8"/>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O7" i="5"/>
  <c r="D42" i="5"/>
  <c r="D48" i="5" s="1"/>
  <c r="D54" i="5" s="1"/>
  <c r="D60" i="5" s="1"/>
  <c r="D66" i="5" s="1"/>
  <c r="J8" i="1"/>
  <c r="J9" i="16" s="1"/>
  <c r="O7" i="6"/>
  <c r="D42" i="6"/>
  <c r="D48" i="6" s="1"/>
  <c r="D54" i="6" s="1"/>
  <c r="D60" i="6" s="1"/>
  <c r="D66" i="6" s="1"/>
  <c r="F7" i="6" s="1"/>
  <c r="P12" i="4"/>
  <c r="C46" i="4"/>
  <c r="E46" i="4" s="1"/>
  <c r="P8" i="4"/>
  <c r="C44" i="4"/>
  <c r="C44" i="3"/>
  <c r="E44" i="3" s="1"/>
  <c r="P8" i="3"/>
  <c r="I16" i="1"/>
  <c r="O17" i="13" s="1"/>
  <c r="D43" i="5"/>
  <c r="C46" i="2"/>
  <c r="P12" i="2"/>
  <c r="N8" i="7"/>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H9" i="17" l="1"/>
  <c r="D44" i="4"/>
  <c r="E44" i="4" s="1"/>
  <c r="D50" i="4" s="1"/>
  <c r="H14" i="17"/>
  <c r="G16" i="9"/>
  <c r="H28" i="10" s="1"/>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H7" i="17" s="1"/>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B52" i="8"/>
  <c r="D45" i="2"/>
  <c r="N11" i="2"/>
  <c r="E21" i="10"/>
  <c r="F19" i="10"/>
  <c r="G9" i="7"/>
  <c r="G11" i="7"/>
  <c r="G15" i="7"/>
  <c r="G12" i="7"/>
  <c r="G8" i="7"/>
  <c r="G10" i="7"/>
  <c r="G13" i="7"/>
  <c r="G7" i="7"/>
  <c r="G14" i="7"/>
  <c r="E44" i="2"/>
  <c r="P11" i="4"/>
  <c r="C45" i="4"/>
  <c r="E45" i="4" s="1"/>
  <c r="G7" i="6"/>
  <c r="G14" i="6"/>
  <c r="G8" i="6"/>
  <c r="G13" i="6"/>
  <c r="G10" i="6"/>
  <c r="G12" i="6"/>
  <c r="G9" i="6"/>
  <c r="G11" i="6"/>
  <c r="G15" i="6"/>
  <c r="K7" i="6"/>
  <c r="K7" i="3"/>
  <c r="R7" i="5"/>
  <c r="S7" i="5" s="1"/>
  <c r="K7" i="5"/>
  <c r="T7" i="5"/>
  <c r="T7" i="4"/>
  <c r="D22" i="10"/>
  <c r="I27" i="10"/>
  <c r="F27" i="10"/>
  <c r="C27" i="10"/>
  <c r="H27" i="10"/>
  <c r="E27" i="10"/>
  <c r="H24" i="10"/>
  <c r="I24" i="10"/>
  <c r="C24" i="10"/>
  <c r="G24" i="10"/>
  <c r="G25" i="10"/>
  <c r="K7" i="7"/>
  <c r="E42" i="3"/>
  <c r="C48" i="3"/>
  <c r="I20" i="10"/>
  <c r="B52" i="6"/>
  <c r="D52" i="6"/>
  <c r="L52" i="6"/>
  <c r="C52" i="6"/>
  <c r="F24" i="10"/>
  <c r="F22" i="10"/>
  <c r="C45" i="5"/>
  <c r="E45" i="5" s="1"/>
  <c r="P11" i="5"/>
  <c r="C48" i="2"/>
  <c r="E42" i="2"/>
  <c r="L49" i="5"/>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E45" i="2" s="1"/>
  <c r="P11" i="2"/>
  <c r="G8" i="5"/>
  <c r="G14" i="5"/>
  <c r="G11" i="5"/>
  <c r="G7" i="5"/>
  <c r="G12" i="5"/>
  <c r="G10" i="5"/>
  <c r="G13" i="5"/>
  <c r="G9" i="5"/>
  <c r="G15" i="5"/>
  <c r="O25" i="2"/>
  <c r="C49" i="3"/>
  <c r="D49" i="3"/>
  <c r="L49" i="3"/>
  <c r="B49" i="3"/>
  <c r="E46" i="2"/>
  <c r="D52" i="4"/>
  <c r="L52" i="4"/>
  <c r="B52" i="4"/>
  <c r="C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2" l="1"/>
  <c r="U7" i="6"/>
  <c r="J7" i="6" s="1"/>
  <c r="D52" i="8"/>
  <c r="N11" i="8"/>
  <c r="O7" i="8"/>
  <c r="C50" i="4"/>
  <c r="E50" i="4" s="1"/>
  <c r="C56" i="4" s="1"/>
  <c r="N7" i="8"/>
  <c r="D43" i="8"/>
  <c r="E43" i="8" s="1"/>
  <c r="C49" i="8" s="1"/>
  <c r="D44" i="8"/>
  <c r="E44" i="8" s="1"/>
  <c r="D50" i="8" s="1"/>
  <c r="H12" i="17"/>
  <c r="H8" i="17"/>
  <c r="H11" i="17"/>
  <c r="L50" i="4"/>
  <c r="H13" i="17"/>
  <c r="H10"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G8" i="9"/>
  <c r="M9" i="13"/>
  <c r="F10" i="9"/>
  <c r="K11" i="13"/>
  <c r="F14" i="9"/>
  <c r="K15" i="13"/>
  <c r="U7" i="2"/>
  <c r="J7" i="2" s="1"/>
  <c r="M7" i="2" s="1"/>
  <c r="G15" i="9"/>
  <c r="M16" i="13"/>
  <c r="G10" i="9"/>
  <c r="M11" i="13"/>
  <c r="G7" i="9"/>
  <c r="M8" i="13"/>
  <c r="H14" i="9"/>
  <c r="O15" i="13"/>
  <c r="H8" i="9"/>
  <c r="O9" i="13"/>
  <c r="H9" i="9"/>
  <c r="O10" i="13"/>
  <c r="C52" i="8"/>
  <c r="F15" i="9"/>
  <c r="K16" i="13"/>
  <c r="F12" i="9"/>
  <c r="K13" i="13"/>
  <c r="F8" i="9"/>
  <c r="K9" i="13"/>
  <c r="G11" i="9"/>
  <c r="M12" i="13"/>
  <c r="G13" i="9"/>
  <c r="M14" i="13"/>
  <c r="H7" i="9"/>
  <c r="O8" i="13"/>
  <c r="H12" i="9"/>
  <c r="O13" i="13"/>
  <c r="L52" i="8"/>
  <c r="H15" i="9"/>
  <c r="O16" i="13"/>
  <c r="F7" i="9"/>
  <c r="K8" i="13"/>
  <c r="G9" i="9"/>
  <c r="M10" i="13"/>
  <c r="H13" i="9"/>
  <c r="O14" i="13"/>
  <c r="E52" i="4"/>
  <c r="E49" i="3"/>
  <c r="D55" i="3" s="1"/>
  <c r="F13" i="9"/>
  <c r="K14" i="13"/>
  <c r="F11" i="9"/>
  <c r="K12" i="13"/>
  <c r="G12" i="9"/>
  <c r="M13" i="13"/>
  <c r="G14" i="9"/>
  <c r="M15" i="13"/>
  <c r="H10" i="9"/>
  <c r="O11" i="13"/>
  <c r="H11" i="9"/>
  <c r="O12" i="13"/>
  <c r="E50" i="5"/>
  <c r="L56" i="5" s="1"/>
  <c r="E45" i="8"/>
  <c r="D51" i="8" s="1"/>
  <c r="E50" i="3"/>
  <c r="C56" i="3" s="1"/>
  <c r="B52" i="2"/>
  <c r="D52" i="2"/>
  <c r="C52" i="2"/>
  <c r="L52" i="2"/>
  <c r="L51" i="2"/>
  <c r="D51" i="2"/>
  <c r="C51" i="2"/>
  <c r="B51" i="2"/>
  <c r="E48" i="4"/>
  <c r="C54" i="4"/>
  <c r="C54" i="2"/>
  <c r="E48" i="2"/>
  <c r="C54" i="3"/>
  <c r="E48" i="3"/>
  <c r="L51" i="4"/>
  <c r="D51" i="4"/>
  <c r="C51" i="4"/>
  <c r="B51" i="4"/>
  <c r="C51" i="7"/>
  <c r="B51" i="7"/>
  <c r="L51" i="7"/>
  <c r="D51" i="7"/>
  <c r="L50" i="7"/>
  <c r="B50" i="7"/>
  <c r="D50" i="7"/>
  <c r="C50" i="7"/>
  <c r="C60" i="8"/>
  <c r="E54" i="8"/>
  <c r="L51" i="5"/>
  <c r="B51" i="5"/>
  <c r="C51" i="5"/>
  <c r="D51" i="5"/>
  <c r="M7" i="6"/>
  <c r="L7" i="6"/>
  <c r="R8" i="16" s="1"/>
  <c r="C50" i="8"/>
  <c r="L50" i="8"/>
  <c r="B51" i="3"/>
  <c r="D51" i="3"/>
  <c r="C51" i="3"/>
  <c r="L51" i="3"/>
  <c r="E52" i="6"/>
  <c r="L50" i="2"/>
  <c r="C50" i="2"/>
  <c r="D50" i="2"/>
  <c r="B50" i="2"/>
  <c r="E50" i="6"/>
  <c r="E52" i="7"/>
  <c r="C54" i="7"/>
  <c r="E48" i="7"/>
  <c r="E49" i="6"/>
  <c r="E49" i="7"/>
  <c r="E48" i="5"/>
  <c r="C54" i="5"/>
  <c r="C54" i="6"/>
  <c r="E48" i="6"/>
  <c r="B51" i="6"/>
  <c r="D51" i="6"/>
  <c r="C51" i="6"/>
  <c r="L51" i="6"/>
  <c r="L49" i="8" l="1"/>
  <c r="B50" i="8"/>
  <c r="T7" i="8"/>
  <c r="R7" i="8"/>
  <c r="S7" i="8" s="1"/>
  <c r="U7" i="8" s="1"/>
  <c r="J7" i="8" s="1"/>
  <c r="M7" i="8" s="1"/>
  <c r="E52" i="8"/>
  <c r="D58" i="8" s="1"/>
  <c r="C58" i="5"/>
  <c r="D49" i="8"/>
  <c r="K7" i="8"/>
  <c r="B49" i="8"/>
  <c r="L7" i="5"/>
  <c r="Q8" i="16" s="1"/>
  <c r="L58" i="3"/>
  <c r="D55" i="4"/>
  <c r="E55" i="4" s="1"/>
  <c r="L7" i="7"/>
  <c r="Q7" i="9" s="1"/>
  <c r="C58" i="4"/>
  <c r="L7" i="3"/>
  <c r="P8" i="16" s="1"/>
  <c r="B51" i="8"/>
  <c r="C58" i="3"/>
  <c r="D58" i="3"/>
  <c r="B58" i="3"/>
  <c r="L7" i="4"/>
  <c r="O8" i="16" s="1"/>
  <c r="E50" i="2"/>
  <c r="B56" i="2" s="1"/>
  <c r="L55" i="3"/>
  <c r="C55" i="3"/>
  <c r="E55" i="3" s="1"/>
  <c r="L51" i="8"/>
  <c r="L58" i="8"/>
  <c r="B58" i="4"/>
  <c r="B55" i="4"/>
  <c r="L55" i="5"/>
  <c r="B55" i="5"/>
  <c r="C55" i="5"/>
  <c r="D55" i="5"/>
  <c r="E51" i="3"/>
  <c r="B57" i="3" s="1"/>
  <c r="L56" i="3"/>
  <c r="E51" i="4"/>
  <c r="D57" i="4" s="1"/>
  <c r="B55" i="3"/>
  <c r="B56" i="5"/>
  <c r="D56" i="3"/>
  <c r="E56" i="3" s="1"/>
  <c r="L62" i="3" s="1"/>
  <c r="L55" i="4"/>
  <c r="C56" i="5"/>
  <c r="L7" i="2"/>
  <c r="N8" i="16" s="1"/>
  <c r="D56" i="5"/>
  <c r="B56" i="3"/>
  <c r="C51" i="8"/>
  <c r="E51" i="8" s="1"/>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E49" i="8"/>
  <c r="C60" i="4"/>
  <c r="E54" i="4"/>
  <c r="C60" i="5"/>
  <c r="E54" i="5"/>
  <c r="E54" i="7"/>
  <c r="C60" i="7"/>
  <c r="B58" i="6"/>
  <c r="D58" i="6"/>
  <c r="C58" i="6"/>
  <c r="L58" i="6"/>
  <c r="E50" i="8"/>
  <c r="E51" i="5"/>
  <c r="E60" i="8"/>
  <c r="C66" i="8"/>
  <c r="C60" i="3"/>
  <c r="E54" i="3"/>
  <c r="E51" i="2"/>
  <c r="E52" i="2"/>
  <c r="L56" i="2" l="1"/>
  <c r="D56" i="2"/>
  <c r="E56" i="2" s="1"/>
  <c r="B58" i="8"/>
  <c r="C56" i="2"/>
  <c r="O7" i="9"/>
  <c r="U8" i="13"/>
  <c r="E58" i="4"/>
  <c r="W8" i="13"/>
  <c r="D57" i="6"/>
  <c r="E58" i="3"/>
  <c r="N7" i="9"/>
  <c r="S8" i="16"/>
  <c r="Y8" i="13"/>
  <c r="V8" i="13"/>
  <c r="M7" i="9"/>
  <c r="T8" i="13"/>
  <c r="E56" i="5"/>
  <c r="C62" i="5" s="1"/>
  <c r="C57" i="4"/>
  <c r="E57" i="4" s="1"/>
  <c r="B57" i="4"/>
  <c r="C57" i="3"/>
  <c r="B57" i="7"/>
  <c r="L57" i="4"/>
  <c r="B57" i="6"/>
  <c r="C58" i="8"/>
  <c r="E58" i="8" s="1"/>
  <c r="C57" i="6"/>
  <c r="E57" i="6" s="1"/>
  <c r="L57" i="3"/>
  <c r="L64" i="3" s="1"/>
  <c r="E55" i="5"/>
  <c r="D61" i="5" s="1"/>
  <c r="B62" i="4"/>
  <c r="L62" i="4"/>
  <c r="C62" i="4"/>
  <c r="C62" i="3"/>
  <c r="D57" i="3"/>
  <c r="E57" i="3" s="1"/>
  <c r="L7" i="9"/>
  <c r="L7" i="8"/>
  <c r="T8" i="16" s="1"/>
  <c r="B62" i="3"/>
  <c r="B57" i="8"/>
  <c r="C57" i="8"/>
  <c r="L57" i="8"/>
  <c r="D57" i="8"/>
  <c r="E58" i="6"/>
  <c r="D64" i="6" s="1"/>
  <c r="D62" i="4"/>
  <c r="L57" i="7"/>
  <c r="D62" i="3"/>
  <c r="D57" i="7"/>
  <c r="E57" i="7" s="1"/>
  <c r="C57" i="2"/>
  <c r="D57" i="2"/>
  <c r="L57" i="2"/>
  <c r="B57" i="2"/>
  <c r="L56" i="8"/>
  <c r="B56" i="8"/>
  <c r="C56" i="8"/>
  <c r="D56" i="8"/>
  <c r="E60" i="5"/>
  <c r="C66" i="5"/>
  <c r="C66" i="4"/>
  <c r="E60" i="4"/>
  <c r="B55" i="8"/>
  <c r="L55" i="8"/>
  <c r="D55" i="8"/>
  <c r="C55" i="8"/>
  <c r="L62" i="5"/>
  <c r="E66" i="8"/>
  <c r="D7" i="8"/>
  <c r="G7" i="8" s="1"/>
  <c r="K8" i="16" s="1"/>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B64" i="4" l="1"/>
  <c r="D64" i="4"/>
  <c r="C64" i="4"/>
  <c r="L64" i="4"/>
  <c r="C64" i="3"/>
  <c r="B64" i="3"/>
  <c r="B62" i="5"/>
  <c r="D62" i="5"/>
  <c r="E62" i="5" s="1"/>
  <c r="R7" i="9"/>
  <c r="D64" i="8"/>
  <c r="L64" i="6"/>
  <c r="L64" i="8"/>
  <c r="E57" i="2"/>
  <c r="C63" i="2" s="1"/>
  <c r="L61" i="5"/>
  <c r="L63" i="3"/>
  <c r="B63" i="6"/>
  <c r="C63" i="6"/>
  <c r="E64" i="5"/>
  <c r="D64" i="3"/>
  <c r="C64" i="6"/>
  <c r="E64" i="6" s="1"/>
  <c r="Z8" i="13"/>
  <c r="C64" i="8"/>
  <c r="B64" i="8"/>
  <c r="E62" i="4"/>
  <c r="C68" i="4" s="1"/>
  <c r="B61" i="5"/>
  <c r="C61" i="5"/>
  <c r="E61" i="5" s="1"/>
  <c r="C67" i="5" s="1"/>
  <c r="B63" i="3"/>
  <c r="E62" i="3"/>
  <c r="C68" i="3" s="1"/>
  <c r="E57" i="8"/>
  <c r="B63" i="8" s="1"/>
  <c r="D63" i="3"/>
  <c r="D63" i="6"/>
  <c r="L63" i="6"/>
  <c r="B64" i="6"/>
  <c r="D63" i="7"/>
  <c r="B63" i="7"/>
  <c r="L63" i="7"/>
  <c r="E61" i="3"/>
  <c r="D67" i="3" s="1"/>
  <c r="I7" i="9"/>
  <c r="Q8" i="13"/>
  <c r="E55" i="8"/>
  <c r="D61" i="8" s="1"/>
  <c r="C63" i="7"/>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6" i="5"/>
  <c r="D7" i="5"/>
  <c r="E63" i="7" l="1"/>
  <c r="E64" i="4"/>
  <c r="C70" i="4" s="1"/>
  <c r="D13" i="4" s="1"/>
  <c r="E64" i="3"/>
  <c r="B70" i="3" s="1"/>
  <c r="M70" i="3" s="1"/>
  <c r="L68" i="4"/>
  <c r="Q10" i="4" s="1"/>
  <c r="D67" i="5"/>
  <c r="B68" i="4"/>
  <c r="F29" i="4" s="1"/>
  <c r="E7" i="9"/>
  <c r="I8" i="13"/>
  <c r="D68" i="4"/>
  <c r="E61" i="7"/>
  <c r="D67" i="7" s="1"/>
  <c r="B68" i="3"/>
  <c r="M68" i="3" s="1"/>
  <c r="L67" i="3"/>
  <c r="O8" i="3" s="1"/>
  <c r="L68" i="3"/>
  <c r="Q11" i="3" s="1"/>
  <c r="C61" i="8"/>
  <c r="E61" i="8" s="1"/>
  <c r="C67" i="3"/>
  <c r="E67" i="3" s="1"/>
  <c r="B61" i="8"/>
  <c r="B67" i="3"/>
  <c r="F28" i="3" s="1"/>
  <c r="L61" i="8"/>
  <c r="D63" i="8"/>
  <c r="L63" i="8"/>
  <c r="B63" i="2"/>
  <c r="L63" i="2"/>
  <c r="D63" i="2"/>
  <c r="E63" i="2" s="1"/>
  <c r="E64" i="8"/>
  <c r="L70" i="8" s="1"/>
  <c r="B70" i="6"/>
  <c r="M70" i="6" s="1"/>
  <c r="L70" i="6"/>
  <c r="E63" i="6"/>
  <c r="C69" i="6" s="1"/>
  <c r="B67" i="5"/>
  <c r="F28" i="5" s="1"/>
  <c r="D70" i="6"/>
  <c r="D68" i="3"/>
  <c r="F9" i="3" s="1"/>
  <c r="C63" i="8"/>
  <c r="L67" i="5"/>
  <c r="Q8" i="5" s="1"/>
  <c r="C70" i="6"/>
  <c r="E70" i="6" s="1"/>
  <c r="E61" i="6"/>
  <c r="B67" i="6" s="1"/>
  <c r="D10" i="3"/>
  <c r="D9" i="3"/>
  <c r="D11" i="3"/>
  <c r="B69" i="7"/>
  <c r="F32" i="7" s="1"/>
  <c r="E63" i="3"/>
  <c r="C69" i="3" s="1"/>
  <c r="C7" i="9"/>
  <c r="E8" i="13"/>
  <c r="D7" i="9"/>
  <c r="G8" i="13"/>
  <c r="E64" i="7"/>
  <c r="D70" i="7" s="1"/>
  <c r="F13" i="7" s="1"/>
  <c r="E61" i="2"/>
  <c r="C67" i="2" s="1"/>
  <c r="B62" i="8"/>
  <c r="C62" i="8"/>
  <c r="L62" i="8"/>
  <c r="D62" i="8"/>
  <c r="F8" i="3"/>
  <c r="L68" i="5"/>
  <c r="C68" i="5"/>
  <c r="B68" i="5"/>
  <c r="D68" i="5"/>
  <c r="D62" i="7"/>
  <c r="D69" i="7" s="1"/>
  <c r="B62" i="7"/>
  <c r="C62" i="7"/>
  <c r="C69" i="7" s="1"/>
  <c r="D12" i="7" s="1"/>
  <c r="L62" i="7"/>
  <c r="L69" i="7" s="1"/>
  <c r="C67" i="4"/>
  <c r="L67" i="4"/>
  <c r="D67" i="4"/>
  <c r="B67" i="4"/>
  <c r="E62" i="6"/>
  <c r="D9" i="4"/>
  <c r="D10" i="4"/>
  <c r="D11" i="4"/>
  <c r="L64" i="2"/>
  <c r="D64" i="2"/>
  <c r="C64" i="2"/>
  <c r="B64" i="2"/>
  <c r="C67" i="7"/>
  <c r="B67" i="7"/>
  <c r="E67" i="5"/>
  <c r="D8" i="5"/>
  <c r="E63" i="4"/>
  <c r="E62" i="2"/>
  <c r="B69" i="6"/>
  <c r="D63" i="5"/>
  <c r="D70" i="5" s="1"/>
  <c r="F14" i="5" s="1"/>
  <c r="C63" i="5"/>
  <c r="C70" i="5" s="1"/>
  <c r="B63" i="5"/>
  <c r="B70" i="5" s="1"/>
  <c r="F33" i="5" s="1"/>
  <c r="L63" i="5"/>
  <c r="L70" i="5" s="1"/>
  <c r="O8" i="5"/>
  <c r="F8" i="5"/>
  <c r="C67" i="6" l="1"/>
  <c r="L67" i="7"/>
  <c r="O8" i="7" s="1"/>
  <c r="Q9" i="4"/>
  <c r="L70" i="4"/>
  <c r="L69" i="6"/>
  <c r="Q15" i="6" s="1"/>
  <c r="D70" i="4"/>
  <c r="B70" i="4"/>
  <c r="F34" i="4" s="1"/>
  <c r="D69" i="6"/>
  <c r="F12" i="6" s="1"/>
  <c r="F30" i="4"/>
  <c r="Q11" i="4"/>
  <c r="T11" i="4" s="1"/>
  <c r="M70" i="4"/>
  <c r="D70" i="8"/>
  <c r="F13" i="8" s="1"/>
  <c r="O9" i="4"/>
  <c r="R9" i="4" s="1"/>
  <c r="S9" i="4" s="1"/>
  <c r="Q14" i="4"/>
  <c r="Q8" i="3"/>
  <c r="D8" i="3"/>
  <c r="M68" i="4"/>
  <c r="C70" i="3"/>
  <c r="D14" i="3" s="1"/>
  <c r="B69" i="2"/>
  <c r="F35" i="2" s="1"/>
  <c r="D70" i="3"/>
  <c r="F13" i="3" s="1"/>
  <c r="F31" i="4"/>
  <c r="L70" i="3"/>
  <c r="F13" i="5"/>
  <c r="O14" i="6"/>
  <c r="E63" i="8"/>
  <c r="L69" i="8" s="1"/>
  <c r="F14" i="6"/>
  <c r="O11" i="4"/>
  <c r="F13" i="6"/>
  <c r="F9" i="4"/>
  <c r="F33" i="6"/>
  <c r="M67" i="3"/>
  <c r="E68" i="4"/>
  <c r="F11" i="4"/>
  <c r="D69" i="3"/>
  <c r="F15" i="3" s="1"/>
  <c r="F34" i="6"/>
  <c r="Q10" i="3"/>
  <c r="O13" i="6"/>
  <c r="F33" i="3"/>
  <c r="F33" i="4"/>
  <c r="F10" i="4"/>
  <c r="O10" i="4"/>
  <c r="K10" i="4" s="1"/>
  <c r="M67" i="5"/>
  <c r="O11" i="3"/>
  <c r="T11" i="3" s="1"/>
  <c r="Q13" i="4"/>
  <c r="F30" i="3"/>
  <c r="Q9" i="3"/>
  <c r="O10" i="3"/>
  <c r="E68" i="3"/>
  <c r="O9" i="3"/>
  <c r="F31" i="3"/>
  <c r="F29" i="3"/>
  <c r="D14" i="4"/>
  <c r="L70" i="7"/>
  <c r="O14" i="7" s="1"/>
  <c r="Q14" i="6"/>
  <c r="R14" i="6" s="1"/>
  <c r="S14" i="6" s="1"/>
  <c r="M69" i="7"/>
  <c r="B69" i="3"/>
  <c r="F35" i="3" s="1"/>
  <c r="C70" i="8"/>
  <c r="Q13" i="8" s="1"/>
  <c r="Q13" i="6"/>
  <c r="T13" i="6" s="1"/>
  <c r="B70" i="8"/>
  <c r="M70" i="8" s="1"/>
  <c r="E64" i="2"/>
  <c r="L70" i="2" s="1"/>
  <c r="L67" i="6"/>
  <c r="Q8" i="6" s="1"/>
  <c r="F10" i="3"/>
  <c r="F11" i="3"/>
  <c r="F34" i="3"/>
  <c r="D67" i="6"/>
  <c r="E67" i="6" s="1"/>
  <c r="Q13" i="3"/>
  <c r="L69" i="3"/>
  <c r="Q12" i="3" s="1"/>
  <c r="M70" i="5"/>
  <c r="E70" i="5"/>
  <c r="Q13" i="5"/>
  <c r="D13" i="5"/>
  <c r="Q14" i="5"/>
  <c r="D14" i="5"/>
  <c r="O15" i="7"/>
  <c r="F12" i="7"/>
  <c r="F15" i="7"/>
  <c r="O13" i="5"/>
  <c r="O14" i="5"/>
  <c r="F35" i="7"/>
  <c r="F34" i="5"/>
  <c r="B70" i="7"/>
  <c r="M70" i="7" s="1"/>
  <c r="D14" i="6"/>
  <c r="D13" i="6"/>
  <c r="C70" i="7"/>
  <c r="D14" i="7" s="1"/>
  <c r="F14" i="7"/>
  <c r="Q15" i="7"/>
  <c r="E63" i="5"/>
  <c r="B69" i="5" s="1"/>
  <c r="Q12" i="7"/>
  <c r="D67" i="2"/>
  <c r="E67" i="2" s="1"/>
  <c r="O12" i="7"/>
  <c r="D15" i="7"/>
  <c r="E69" i="7"/>
  <c r="B67" i="2"/>
  <c r="F28" i="2" s="1"/>
  <c r="E62" i="7"/>
  <c r="D68" i="7" s="1"/>
  <c r="L67" i="2"/>
  <c r="Q8" i="2" s="1"/>
  <c r="R8" i="5"/>
  <c r="S8" i="5" s="1"/>
  <c r="T8" i="5"/>
  <c r="K8" i="5"/>
  <c r="M69" i="2"/>
  <c r="B67" i="8"/>
  <c r="L67" i="8"/>
  <c r="D67" i="8"/>
  <c r="C67" i="8"/>
  <c r="M67" i="6"/>
  <c r="F28" i="6"/>
  <c r="L68" i="6"/>
  <c r="B68" i="6"/>
  <c r="D68" i="6"/>
  <c r="C68" i="6"/>
  <c r="E67" i="4"/>
  <c r="Q8" i="4"/>
  <c r="D8" i="4"/>
  <c r="L69" i="2"/>
  <c r="C69" i="2"/>
  <c r="D69" i="2"/>
  <c r="O11" i="5"/>
  <c r="O10" i="5"/>
  <c r="O9" i="5"/>
  <c r="F10" i="5"/>
  <c r="F9" i="5"/>
  <c r="F11" i="5"/>
  <c r="D12" i="6"/>
  <c r="Q12" i="6"/>
  <c r="D15" i="6"/>
  <c r="L68" i="2"/>
  <c r="D68" i="2"/>
  <c r="B68" i="2"/>
  <c r="C68" i="2"/>
  <c r="E67" i="7"/>
  <c r="D8" i="7"/>
  <c r="D8" i="6"/>
  <c r="M67" i="4"/>
  <c r="F28" i="4"/>
  <c r="M68" i="5"/>
  <c r="F30" i="5"/>
  <c r="F29" i="5"/>
  <c r="F31" i="5"/>
  <c r="T8" i="3"/>
  <c r="K8" i="3"/>
  <c r="R8" i="3"/>
  <c r="S8" i="3" s="1"/>
  <c r="C69" i="4"/>
  <c r="L69" i="4"/>
  <c r="B69" i="4"/>
  <c r="D69" i="4"/>
  <c r="F28" i="7"/>
  <c r="M67" i="7"/>
  <c r="O8" i="4"/>
  <c r="F8" i="4"/>
  <c r="D10" i="5"/>
  <c r="D9" i="5"/>
  <c r="E68" i="5"/>
  <c r="D11" i="5"/>
  <c r="Q10" i="5"/>
  <c r="Q9" i="5"/>
  <c r="Q11" i="5"/>
  <c r="D15" i="3"/>
  <c r="D12" i="3"/>
  <c r="F35" i="6"/>
  <c r="M69" i="6"/>
  <c r="F32" i="6"/>
  <c r="F8" i="7"/>
  <c r="D8" i="2"/>
  <c r="E62" i="8"/>
  <c r="Q8" i="7" l="1"/>
  <c r="O15" i="6"/>
  <c r="R15" i="6" s="1"/>
  <c r="S15" i="6" s="1"/>
  <c r="O14" i="4"/>
  <c r="T14" i="4" s="1"/>
  <c r="O12" i="6"/>
  <c r="T12" i="6" s="1"/>
  <c r="F15" i="6"/>
  <c r="M69" i="3"/>
  <c r="K9" i="4"/>
  <c r="R10" i="4"/>
  <c r="S10" i="4" s="1"/>
  <c r="F32" i="2"/>
  <c r="O13" i="4"/>
  <c r="T13" i="4" s="1"/>
  <c r="F14" i="4"/>
  <c r="K13" i="6"/>
  <c r="F34" i="7"/>
  <c r="E69" i="3"/>
  <c r="K14" i="4"/>
  <c r="Q14" i="3"/>
  <c r="F13" i="4"/>
  <c r="E70" i="4"/>
  <c r="F33" i="7"/>
  <c r="E69" i="6"/>
  <c r="O13" i="7"/>
  <c r="O14" i="8"/>
  <c r="R11" i="4"/>
  <c r="S11" i="4" s="1"/>
  <c r="T10" i="4"/>
  <c r="K11" i="4"/>
  <c r="F14" i="8"/>
  <c r="E70" i="3"/>
  <c r="T9" i="4"/>
  <c r="U9" i="4" s="1"/>
  <c r="J9" i="4" s="1"/>
  <c r="M9" i="4" s="1"/>
  <c r="G9" i="4" s="1"/>
  <c r="G10" i="16" s="1"/>
  <c r="O13" i="8"/>
  <c r="T13" i="8" s="1"/>
  <c r="O13" i="3"/>
  <c r="R13" i="3" s="1"/>
  <c r="S13" i="3" s="1"/>
  <c r="U13" i="3" s="1"/>
  <c r="J13" i="3" s="1"/>
  <c r="O14" i="3"/>
  <c r="D13" i="3"/>
  <c r="F14" i="3"/>
  <c r="D69" i="8"/>
  <c r="O15" i="8" s="1"/>
  <c r="B69" i="8"/>
  <c r="F35" i="8" s="1"/>
  <c r="F32" i="3"/>
  <c r="F12" i="3"/>
  <c r="F8" i="6"/>
  <c r="F8" i="2"/>
  <c r="T13" i="5"/>
  <c r="K15" i="7"/>
  <c r="C69" i="8"/>
  <c r="D12" i="8" s="1"/>
  <c r="T15" i="7"/>
  <c r="L69" i="5"/>
  <c r="B70" i="2"/>
  <c r="M70" i="2" s="1"/>
  <c r="R13" i="6"/>
  <c r="S13" i="6" s="1"/>
  <c r="U13" i="6" s="1"/>
  <c r="J13" i="6" s="1"/>
  <c r="R10" i="3"/>
  <c r="S10" i="3" s="1"/>
  <c r="K11" i="3"/>
  <c r="R11" i="3"/>
  <c r="S11" i="3" s="1"/>
  <c r="U11" i="3" s="1"/>
  <c r="J11" i="3" s="1"/>
  <c r="M11" i="3" s="1"/>
  <c r="T10" i="3"/>
  <c r="C69" i="5"/>
  <c r="D12" i="5" s="1"/>
  <c r="D69" i="5"/>
  <c r="F12" i="5" s="1"/>
  <c r="R15" i="7"/>
  <c r="S15" i="7" s="1"/>
  <c r="U15" i="7" s="1"/>
  <c r="J15" i="7" s="1"/>
  <c r="L68" i="7"/>
  <c r="O10" i="7" s="1"/>
  <c r="O8" i="6"/>
  <c r="K8" i="6" s="1"/>
  <c r="C68" i="7"/>
  <c r="D9" i="7" s="1"/>
  <c r="B68" i="7"/>
  <c r="F29" i="7" s="1"/>
  <c r="K12" i="7"/>
  <c r="T12" i="7"/>
  <c r="K9" i="3"/>
  <c r="K10" i="3"/>
  <c r="R14" i="4"/>
  <c r="S14" i="4" s="1"/>
  <c r="U14" i="4" s="1"/>
  <c r="J14" i="4" s="1"/>
  <c r="D13" i="7"/>
  <c r="O12" i="3"/>
  <c r="T12" i="3" s="1"/>
  <c r="R9" i="3"/>
  <c r="S9" i="3" s="1"/>
  <c r="Q14" i="8"/>
  <c r="R14" i="8" s="1"/>
  <c r="S14" i="8" s="1"/>
  <c r="T9" i="3"/>
  <c r="K14" i="6"/>
  <c r="T14" i="6"/>
  <c r="U14" i="6" s="1"/>
  <c r="J14" i="6" s="1"/>
  <c r="M14" i="6" s="1"/>
  <c r="F34" i="8"/>
  <c r="R14" i="5"/>
  <c r="S14" i="5" s="1"/>
  <c r="U14" i="5" s="1"/>
  <c r="J14" i="5" s="1"/>
  <c r="M14" i="5" s="1"/>
  <c r="F33" i="8"/>
  <c r="C70" i="2"/>
  <c r="D14" i="2" s="1"/>
  <c r="T14" i="5"/>
  <c r="D13" i="8"/>
  <c r="O15" i="3"/>
  <c r="K14" i="5"/>
  <c r="Q15" i="3"/>
  <c r="R12" i="7"/>
  <c r="S12" i="7" s="1"/>
  <c r="D70" i="2"/>
  <c r="O14" i="2" s="1"/>
  <c r="D14" i="8"/>
  <c r="E70" i="8"/>
  <c r="R13" i="5"/>
  <c r="S13" i="5" s="1"/>
  <c r="U13" i="5" s="1"/>
  <c r="J13" i="5" s="1"/>
  <c r="M13" i="5" s="1"/>
  <c r="M67" i="2"/>
  <c r="Q13" i="7"/>
  <c r="T13" i="7" s="1"/>
  <c r="E70" i="7"/>
  <c r="K13" i="5"/>
  <c r="Q14" i="7"/>
  <c r="R14" i="7" s="1"/>
  <c r="S14" i="7" s="1"/>
  <c r="O8" i="2"/>
  <c r="R8" i="2" s="1"/>
  <c r="S8" i="2" s="1"/>
  <c r="U11" i="4"/>
  <c r="J11" i="4" s="1"/>
  <c r="F34" i="2"/>
  <c r="O12" i="4"/>
  <c r="O15" i="4"/>
  <c r="F15" i="4"/>
  <c r="F12" i="4"/>
  <c r="F30" i="2"/>
  <c r="F29" i="2"/>
  <c r="M68" i="2"/>
  <c r="F31" i="2"/>
  <c r="Q10" i="6"/>
  <c r="D9" i="6"/>
  <c r="D10" i="6"/>
  <c r="D11" i="6"/>
  <c r="Q11" i="6"/>
  <c r="Q9" i="6"/>
  <c r="E68" i="6"/>
  <c r="O8" i="8"/>
  <c r="F8" i="8"/>
  <c r="T15" i="6"/>
  <c r="F32" i="4"/>
  <c r="M69" i="4"/>
  <c r="F35" i="4"/>
  <c r="O10" i="2"/>
  <c r="O11" i="2"/>
  <c r="O9" i="2"/>
  <c r="F10" i="2"/>
  <c r="F9" i="2"/>
  <c r="F11" i="2"/>
  <c r="T9" i="5"/>
  <c r="R9" i="5"/>
  <c r="S9" i="5" s="1"/>
  <c r="U9" i="5" s="1"/>
  <c r="J9" i="5" s="1"/>
  <c r="K9" i="5"/>
  <c r="O11" i="6"/>
  <c r="O10" i="6"/>
  <c r="O9" i="6"/>
  <c r="F10" i="6"/>
  <c r="F9" i="6"/>
  <c r="F11" i="6"/>
  <c r="K12" i="3"/>
  <c r="R10" i="5"/>
  <c r="S10" i="5" s="1"/>
  <c r="U10" i="5" s="1"/>
  <c r="J10" i="5" s="1"/>
  <c r="T10" i="5"/>
  <c r="K10" i="5"/>
  <c r="F12" i="2"/>
  <c r="O15" i="2"/>
  <c r="F15" i="2"/>
  <c r="O12" i="2"/>
  <c r="F31" i="6"/>
  <c r="F30" i="6"/>
  <c r="M68" i="6"/>
  <c r="F29" i="6"/>
  <c r="M67" i="8"/>
  <c r="F28" i="8"/>
  <c r="K12" i="6"/>
  <c r="K8" i="4"/>
  <c r="T8" i="4"/>
  <c r="R8" i="4"/>
  <c r="S8" i="4" s="1"/>
  <c r="E69" i="4"/>
  <c r="D12" i="4"/>
  <c r="Q15" i="4"/>
  <c r="Q12" i="4"/>
  <c r="D15" i="4"/>
  <c r="F32" i="5"/>
  <c r="F35" i="5"/>
  <c r="M69" i="5"/>
  <c r="U8" i="3"/>
  <c r="J8" i="3" s="1"/>
  <c r="Q11" i="2"/>
  <c r="Q10" i="2"/>
  <c r="Q9" i="2"/>
  <c r="E68" i="2"/>
  <c r="D11" i="2"/>
  <c r="D10" i="2"/>
  <c r="D9" i="2"/>
  <c r="R11" i="5"/>
  <c r="S11" i="5" s="1"/>
  <c r="U11" i="5" s="1"/>
  <c r="J11" i="5" s="1"/>
  <c r="T11" i="5"/>
  <c r="K11" i="5"/>
  <c r="F10" i="7"/>
  <c r="F11" i="7"/>
  <c r="F9" i="7"/>
  <c r="D12" i="2"/>
  <c r="D15" i="2"/>
  <c r="Q15" i="2"/>
  <c r="E69" i="2"/>
  <c r="Q12" i="2"/>
  <c r="E67" i="8"/>
  <c r="Q8" i="8"/>
  <c r="D8" i="8"/>
  <c r="U8" i="5"/>
  <c r="J8" i="5" s="1"/>
  <c r="C68" i="8"/>
  <c r="D68" i="8"/>
  <c r="L68" i="8"/>
  <c r="B68" i="8"/>
  <c r="K8" i="7"/>
  <c r="R8" i="7"/>
  <c r="S8" i="7" s="1"/>
  <c r="T8" i="7"/>
  <c r="K15" i="6" l="1"/>
  <c r="O11" i="7"/>
  <c r="F13" i="2"/>
  <c r="R12" i="6"/>
  <c r="S12" i="6" s="1"/>
  <c r="K13" i="3"/>
  <c r="K8" i="2"/>
  <c r="T13" i="3"/>
  <c r="R14" i="3"/>
  <c r="S14" i="3" s="1"/>
  <c r="U14" i="3" s="1"/>
  <c r="J14" i="3" s="1"/>
  <c r="M14" i="3" s="1"/>
  <c r="G14" i="3" s="1"/>
  <c r="I15" i="16" s="1"/>
  <c r="F32" i="8"/>
  <c r="K14" i="3"/>
  <c r="L14" i="3" s="1"/>
  <c r="P15" i="16" s="1"/>
  <c r="K13" i="4"/>
  <c r="U10" i="4"/>
  <c r="J10" i="4" s="1"/>
  <c r="M10" i="4" s="1"/>
  <c r="G10" i="4" s="1"/>
  <c r="G11" i="16" s="1"/>
  <c r="R13" i="4"/>
  <c r="S13" i="4" s="1"/>
  <c r="U13" i="4" s="1"/>
  <c r="J13" i="4" s="1"/>
  <c r="L13" i="4" s="1"/>
  <c r="O14" i="16" s="1"/>
  <c r="O12" i="8"/>
  <c r="F12" i="8"/>
  <c r="O9" i="7"/>
  <c r="T14" i="3"/>
  <c r="F14" i="2"/>
  <c r="R13" i="8"/>
  <c r="S13" i="8" s="1"/>
  <c r="U13" i="8" s="1"/>
  <c r="J13" i="8" s="1"/>
  <c r="M13" i="8" s="1"/>
  <c r="F15" i="5"/>
  <c r="L11" i="4"/>
  <c r="O12" i="16" s="1"/>
  <c r="R8" i="6"/>
  <c r="S8" i="6" s="1"/>
  <c r="K14" i="8"/>
  <c r="K13" i="8"/>
  <c r="F15" i="8"/>
  <c r="Q10" i="7"/>
  <c r="T10" i="7" s="1"/>
  <c r="M69" i="8"/>
  <c r="Q12" i="8"/>
  <c r="D15" i="8"/>
  <c r="M13" i="6"/>
  <c r="L13" i="6"/>
  <c r="R14" i="16" s="1"/>
  <c r="R12" i="3"/>
  <c r="S12" i="3" s="1"/>
  <c r="U12" i="3" s="1"/>
  <c r="J12" i="3" s="1"/>
  <c r="Q15" i="8"/>
  <c r="K15" i="8" s="1"/>
  <c r="M68" i="7"/>
  <c r="E69" i="8"/>
  <c r="F31" i="7"/>
  <c r="F30" i="7"/>
  <c r="L11" i="3"/>
  <c r="P12" i="16" s="1"/>
  <c r="E68" i="7"/>
  <c r="D11" i="7"/>
  <c r="D13" i="2"/>
  <c r="F33" i="2"/>
  <c r="Q15" i="5"/>
  <c r="Q11" i="7"/>
  <c r="T11" i="7" s="1"/>
  <c r="Q9" i="7"/>
  <c r="D10" i="7"/>
  <c r="G11" i="3"/>
  <c r="I12" i="16" s="1"/>
  <c r="T8" i="6"/>
  <c r="T14" i="8"/>
  <c r="U14" i="8" s="1"/>
  <c r="J14" i="8" s="1"/>
  <c r="M14" i="8" s="1"/>
  <c r="U10" i="3"/>
  <c r="J10" i="3" s="1"/>
  <c r="L10" i="3" s="1"/>
  <c r="O15" i="5"/>
  <c r="T15" i="5" s="1"/>
  <c r="Q12" i="5"/>
  <c r="O12" i="5"/>
  <c r="D15" i="5"/>
  <c r="E69" i="5"/>
  <c r="L14" i="6"/>
  <c r="R15" i="16" s="1"/>
  <c r="U12" i="7"/>
  <c r="J12" i="7" s="1"/>
  <c r="L12" i="7" s="1"/>
  <c r="S13" i="16" s="1"/>
  <c r="O13" i="2"/>
  <c r="R15" i="3"/>
  <c r="S15" i="3" s="1"/>
  <c r="E70" i="2"/>
  <c r="Q14" i="2"/>
  <c r="R14" i="2" s="1"/>
  <c r="S14" i="2" s="1"/>
  <c r="M13" i="4"/>
  <c r="G13" i="4" s="1"/>
  <c r="G14" i="16" s="1"/>
  <c r="L9" i="4"/>
  <c r="O10" i="16" s="1"/>
  <c r="R13" i="7"/>
  <c r="S13" i="7" s="1"/>
  <c r="U13" i="7" s="1"/>
  <c r="J13" i="7" s="1"/>
  <c r="M13" i="7" s="1"/>
  <c r="Q13" i="2"/>
  <c r="L13" i="3"/>
  <c r="P14" i="16" s="1"/>
  <c r="U9" i="3"/>
  <c r="J9" i="3" s="1"/>
  <c r="L9" i="3" s="1"/>
  <c r="K15" i="3"/>
  <c r="T15" i="3"/>
  <c r="N30" i="6"/>
  <c r="N30" i="5"/>
  <c r="L14" i="5"/>
  <c r="Q15" i="16" s="1"/>
  <c r="L13" i="5"/>
  <c r="Q14" i="16" s="1"/>
  <c r="L10" i="4"/>
  <c r="O11" i="16" s="1"/>
  <c r="K13" i="7"/>
  <c r="T8" i="2"/>
  <c r="U8" i="2" s="1"/>
  <c r="J8" i="2" s="1"/>
  <c r="L8" i="2" s="1"/>
  <c r="N9" i="16" s="1"/>
  <c r="M11" i="4"/>
  <c r="G11" i="4" s="1"/>
  <c r="T14" i="7"/>
  <c r="U14" i="7" s="1"/>
  <c r="J14" i="7" s="1"/>
  <c r="K14" i="7"/>
  <c r="N30" i="3"/>
  <c r="M13" i="3"/>
  <c r="G13" i="3" s="1"/>
  <c r="U15" i="6"/>
  <c r="J15" i="6" s="1"/>
  <c r="L15" i="6" s="1"/>
  <c r="R16" i="16" s="1"/>
  <c r="M11" i="9"/>
  <c r="D9" i="9"/>
  <c r="G10" i="13"/>
  <c r="U8" i="7"/>
  <c r="J8" i="7" s="1"/>
  <c r="M8" i="7" s="1"/>
  <c r="I15" i="13"/>
  <c r="U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U12" i="6"/>
  <c r="J12" i="6"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8" l="1"/>
  <c r="G11" i="13"/>
  <c r="K11" i="7"/>
  <c r="D10" i="9"/>
  <c r="R10" i="7"/>
  <c r="S10" i="7" s="1"/>
  <c r="E14" i="9"/>
  <c r="R13" i="2"/>
  <c r="S13" i="2" s="1"/>
  <c r="R12" i="5"/>
  <c r="S12" i="5" s="1"/>
  <c r="U12" i="5" s="1"/>
  <c r="J12" i="5" s="1"/>
  <c r="M12" i="5" s="1"/>
  <c r="K9" i="7"/>
  <c r="R12" i="8"/>
  <c r="S12" i="8" s="1"/>
  <c r="U12" i="8" s="1"/>
  <c r="J12" i="8" s="1"/>
  <c r="U14" i="13"/>
  <c r="T12" i="8"/>
  <c r="M13" i="9"/>
  <c r="G13" i="8"/>
  <c r="K14" i="16" s="1"/>
  <c r="T15" i="8"/>
  <c r="U8" i="6"/>
  <c r="J8" i="6" s="1"/>
  <c r="M8" i="6" s="1"/>
  <c r="R9" i="7"/>
  <c r="S9" i="7" s="1"/>
  <c r="U12" i="13"/>
  <c r="K10" i="7"/>
  <c r="R15" i="5"/>
  <c r="S15" i="5" s="1"/>
  <c r="U15" i="5" s="1"/>
  <c r="J15" i="5" s="1"/>
  <c r="L15" i="5" s="1"/>
  <c r="Q16" i="16" s="1"/>
  <c r="X14" i="13"/>
  <c r="G14" i="8"/>
  <c r="K15" i="16" s="1"/>
  <c r="K15" i="5"/>
  <c r="P13" i="9"/>
  <c r="M12" i="7"/>
  <c r="D13" i="9"/>
  <c r="Q12" i="9"/>
  <c r="R15" i="8"/>
  <c r="S15" i="8" s="1"/>
  <c r="U15" i="8" s="1"/>
  <c r="J15" i="8" s="1"/>
  <c r="N30" i="8"/>
  <c r="N11" i="9"/>
  <c r="V12" i="13"/>
  <c r="R11" i="7"/>
  <c r="S11" i="7" s="1"/>
  <c r="T12" i="5"/>
  <c r="I13" i="9"/>
  <c r="E11" i="9"/>
  <c r="N13" i="9"/>
  <c r="L14" i="8"/>
  <c r="T15" i="16" s="1"/>
  <c r="U15" i="3"/>
  <c r="J15" i="3" s="1"/>
  <c r="M15" i="3" s="1"/>
  <c r="G15" i="3" s="1"/>
  <c r="I16" i="16" s="1"/>
  <c r="K12" i="5"/>
  <c r="T9" i="7"/>
  <c r="Y13" i="13"/>
  <c r="L13" i="8"/>
  <c r="T14" i="16" s="1"/>
  <c r="I12" i="13"/>
  <c r="M10" i="3"/>
  <c r="G10" i="3" s="1"/>
  <c r="P11" i="16"/>
  <c r="N10" i="9"/>
  <c r="V11" i="13"/>
  <c r="K14" i="2"/>
  <c r="K13" i="2"/>
  <c r="T13" i="2"/>
  <c r="U13" i="2" s="1"/>
  <c r="J13" i="2" s="1"/>
  <c r="M13" i="2" s="1"/>
  <c r="P14" i="9"/>
  <c r="W14" i="13"/>
  <c r="X15" i="13"/>
  <c r="G14" i="13"/>
  <c r="M9" i="3"/>
  <c r="G9" i="3" s="1"/>
  <c r="I10" i="13" s="1"/>
  <c r="T14" i="2"/>
  <c r="U14" i="2" s="1"/>
  <c r="J14" i="2" s="1"/>
  <c r="M14" i="2" s="1"/>
  <c r="L13" i="7"/>
  <c r="S14" i="16" s="1"/>
  <c r="N14" i="9"/>
  <c r="M15" i="6"/>
  <c r="I14" i="13"/>
  <c r="I14" i="16"/>
  <c r="G12" i="13"/>
  <c r="G12" i="16"/>
  <c r="N9" i="9"/>
  <c r="P10" i="16"/>
  <c r="M14" i="7"/>
  <c r="N30" i="7"/>
  <c r="L14" i="7"/>
  <c r="S15" i="16" s="1"/>
  <c r="L8" i="7"/>
  <c r="S9" i="16" s="1"/>
  <c r="U10" i="7"/>
  <c r="J10" i="7" s="1"/>
  <c r="L10" i="7" s="1"/>
  <c r="S11" i="16" s="1"/>
  <c r="O13" i="9"/>
  <c r="V14" i="13"/>
  <c r="M9" i="9"/>
  <c r="M10" i="9"/>
  <c r="O14" i="9"/>
  <c r="V10" i="13"/>
  <c r="V15" i="13"/>
  <c r="W15" i="13"/>
  <c r="U12" i="2"/>
  <c r="J12" i="2" s="1"/>
  <c r="L12" i="2" s="1"/>
  <c r="N13" i="16" s="1"/>
  <c r="D11" i="9"/>
  <c r="E13" i="9"/>
  <c r="U11" i="13"/>
  <c r="M8" i="2"/>
  <c r="G8" i="2" s="1"/>
  <c r="E9" i="16" s="1"/>
  <c r="U15" i="2"/>
  <c r="J15" i="2" s="1"/>
  <c r="M15" i="2" s="1"/>
  <c r="G15" i="2" s="1"/>
  <c r="E16" i="16" s="1"/>
  <c r="U12" i="4"/>
  <c r="J12" i="4" s="1"/>
  <c r="L12" i="4" s="1"/>
  <c r="O13" i="16" s="1"/>
  <c r="U11" i="6"/>
  <c r="J11" i="6" s="1"/>
  <c r="L11" i="6" s="1"/>
  <c r="R12" i="16" s="1"/>
  <c r="O9" i="9"/>
  <c r="W10" i="13"/>
  <c r="U10" i="2"/>
  <c r="J10" i="2" s="1"/>
  <c r="M10" i="2" s="1"/>
  <c r="G10" i="2" s="1"/>
  <c r="E11" i="16" s="1"/>
  <c r="O10" i="9"/>
  <c r="W11" i="13"/>
  <c r="D14" i="9"/>
  <c r="G15" i="13"/>
  <c r="P15" i="9"/>
  <c r="X16" i="13"/>
  <c r="L8" i="9"/>
  <c r="T9" i="13"/>
  <c r="N8" i="9"/>
  <c r="V9" i="13"/>
  <c r="Q15" i="9"/>
  <c r="Y16" i="13"/>
  <c r="O11" i="9"/>
  <c r="W12" i="13"/>
  <c r="E8" i="9"/>
  <c r="I9" i="13"/>
  <c r="O8" i="9"/>
  <c r="W9" i="13"/>
  <c r="M14" i="9"/>
  <c r="U15" i="13"/>
  <c r="R9" i="8"/>
  <c r="S9" i="8" s="1"/>
  <c r="U9" i="2"/>
  <c r="J9" i="2" s="1"/>
  <c r="L9" i="2" s="1"/>
  <c r="N10" i="16" s="1"/>
  <c r="U11" i="2"/>
  <c r="J11" i="2" s="1"/>
  <c r="M11" i="2" s="1"/>
  <c r="G11" i="2" s="1"/>
  <c r="E12" i="16" s="1"/>
  <c r="M15" i="5"/>
  <c r="L12" i="5"/>
  <c r="Q13" i="16" s="1"/>
  <c r="U9" i="6"/>
  <c r="J9" i="6" s="1"/>
  <c r="U8" i="8"/>
  <c r="J8" i="8" s="1"/>
  <c r="M11" i="6"/>
  <c r="M12" i="6"/>
  <c r="L12" i="6"/>
  <c r="R13" i="16" s="1"/>
  <c r="M8" i="4"/>
  <c r="G8" i="4" s="1"/>
  <c r="G9" i="16" s="1"/>
  <c r="L8" i="4"/>
  <c r="O9" i="16" s="1"/>
  <c r="R10" i="8"/>
  <c r="S10" i="8" s="1"/>
  <c r="T10" i="8"/>
  <c r="K10" i="8"/>
  <c r="U11" i="7"/>
  <c r="J11" i="7" s="1"/>
  <c r="U15" i="4"/>
  <c r="J15" i="4" s="1"/>
  <c r="U10" i="6"/>
  <c r="J10" i="6" s="1"/>
  <c r="K11" i="8"/>
  <c r="T11" i="8"/>
  <c r="R11" i="8"/>
  <c r="S11" i="8" s="1"/>
  <c r="L12" i="3"/>
  <c r="P13" i="16" s="1"/>
  <c r="M12" i="3"/>
  <c r="G12" i="3" s="1"/>
  <c r="I13" i="16" s="1"/>
  <c r="K9" i="8"/>
  <c r="T9" i="8"/>
  <c r="Y14" i="13" l="1"/>
  <c r="Q15" i="13"/>
  <c r="U9" i="7"/>
  <c r="J9" i="7" s="1"/>
  <c r="M9" i="7" s="1"/>
  <c r="Q14" i="13"/>
  <c r="M10" i="7"/>
  <c r="L8" i="6"/>
  <c r="Q13" i="9"/>
  <c r="I14" i="9"/>
  <c r="Y15" i="13"/>
  <c r="G13" i="2"/>
  <c r="E14" i="16" s="1"/>
  <c r="L15" i="3"/>
  <c r="Z14" i="13"/>
  <c r="Z15" i="13"/>
  <c r="R13" i="9"/>
  <c r="R14" i="9"/>
  <c r="I11" i="16"/>
  <c r="E10" i="9"/>
  <c r="G14" i="2"/>
  <c r="E15" i="16" s="1"/>
  <c r="I11" i="13"/>
  <c r="I10" i="16"/>
  <c r="E9" i="9"/>
  <c r="X9" i="13"/>
  <c r="C8" i="9"/>
  <c r="L10" i="2"/>
  <c r="N11" i="16" s="1"/>
  <c r="Q14" i="9"/>
  <c r="E9" i="13"/>
  <c r="E15" i="9"/>
  <c r="I16" i="13"/>
  <c r="Y9" i="13"/>
  <c r="M12" i="2"/>
  <c r="G12" i="2" s="1"/>
  <c r="C12" i="9" s="1"/>
  <c r="Q8" i="9"/>
  <c r="L15" i="2"/>
  <c r="N16" i="16" s="1"/>
  <c r="L13" i="2"/>
  <c r="N14" i="16" s="1"/>
  <c r="L11" i="2"/>
  <c r="N12" i="16" s="1"/>
  <c r="M12" i="4"/>
  <c r="G12" i="4" s="1"/>
  <c r="M9" i="2"/>
  <c r="G9" i="2" s="1"/>
  <c r="L14" i="2"/>
  <c r="N15" i="16" s="1"/>
  <c r="N30" i="2"/>
  <c r="C15" i="9"/>
  <c r="E16" i="13"/>
  <c r="L9" i="9"/>
  <c r="T10" i="13"/>
  <c r="C11" i="9"/>
  <c r="E12" i="13"/>
  <c r="Q10" i="9"/>
  <c r="Y11" i="13"/>
  <c r="M8" i="9"/>
  <c r="U9" i="13"/>
  <c r="P11" i="9"/>
  <c r="X12" i="13"/>
  <c r="O12" i="9"/>
  <c r="W13" i="13"/>
  <c r="E14" i="13"/>
  <c r="M12" i="9"/>
  <c r="U13" i="13"/>
  <c r="E12" i="9"/>
  <c r="I13" i="13"/>
  <c r="D8" i="9"/>
  <c r="G9" i="13"/>
  <c r="U9" i="8"/>
  <c r="J9" i="8" s="1"/>
  <c r="M9" i="8" s="1"/>
  <c r="G9" i="8" s="1"/>
  <c r="K10" i="16" s="1"/>
  <c r="C10" i="9"/>
  <c r="E11" i="13"/>
  <c r="N12" i="9"/>
  <c r="V13" i="13"/>
  <c r="P12" i="9"/>
  <c r="X13" i="13"/>
  <c r="O15" i="9"/>
  <c r="W16"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M10" i="6"/>
  <c r="L10" i="6"/>
  <c r="R11" i="16" s="1"/>
  <c r="C14" i="9" l="1"/>
  <c r="L9" i="7"/>
  <c r="S10" i="16" s="1"/>
  <c r="R9" i="16"/>
  <c r="P8" i="9"/>
  <c r="C13" i="9"/>
  <c r="P16" i="16"/>
  <c r="V16" i="13"/>
  <c r="N15" i="9"/>
  <c r="E15" i="13"/>
  <c r="L15" i="9"/>
  <c r="T14" i="13"/>
  <c r="L13" i="9"/>
  <c r="T11" i="13"/>
  <c r="L10" i="9"/>
  <c r="T16" i="13"/>
  <c r="C9" i="9"/>
  <c r="E10" i="16"/>
  <c r="D12" i="9"/>
  <c r="G13" i="16"/>
  <c r="E13" i="13"/>
  <c r="E13" i="16"/>
  <c r="L11" i="9"/>
  <c r="T15" i="13"/>
  <c r="T12" i="13"/>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9" i="9" l="1"/>
  <c r="R9" i="9"/>
  <c r="Z10" i="13"/>
  <c r="R10" i="9"/>
  <c r="Z11" i="13"/>
  <c r="I11" i="9"/>
  <c r="Q12" i="13"/>
  <c r="I10" i="9"/>
  <c r="Q11" i="13"/>
  <c r="R11" i="9"/>
  <c r="Z12" i="13"/>
</calcChain>
</file>

<file path=xl/sharedStrings.xml><?xml version="1.0" encoding="utf-8"?>
<sst xmlns="http://schemas.openxmlformats.org/spreadsheetml/2006/main" count="661" uniqueCount="143">
  <si>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</si>
  <si>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</si>
  <si>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</si>
  <si>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</si>
  <si>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</si>
  <si>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</si>
  <si>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</si>
  <si>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</si>
  <si>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</si>
  <si>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</si>
  <si>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</si>
  <si>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</si>
  <si>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</si>
  <si>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</si>
  <si>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</si>
  <si>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</si>
  <si>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</si>
  <si>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</si>
  <si>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</si>
  <si>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</si>
  <si>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</si>
  <si>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</si>
  <si>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</si>
  <si>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</si>
  <si>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</si>
  <si>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</si>
  <si>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</si>
  <si>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</si>
  <si>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</si>
  <si>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</si>
  <si>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</si>
  <si>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</si>
  <si>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</si>
  <si>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</si>
  <si>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</si>
  <si>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</si>
  <si>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</si>
  <si>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</si>
  <si>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</si>
  <si>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</si>
  <si>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</si>
  <si>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</si>
  <si>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</si>
  <si>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</si>
  <si>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</si>
  <si>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</si>
  <si>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</si>
  <si>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</si>
  <si>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</si>
  <si>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</si>
  <si>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</si>
  <si>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</si>
  <si>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</si>
  <si>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</si>
  <si>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</si>
  <si>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</si>
  <si>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</si>
  <si>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</si>
  <si>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</si>
  <si>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</si>
  <si>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</si>
  <si>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</si>
  <si>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</si>
  <si>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</si>
  <si>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</si>
  <si>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</si>
  <si>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</si>
  <si>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</si>
  <si>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</si>
  <si>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</si>
  <si>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</si>
  <si>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</si>
  <si>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</si>
  <si>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</si>
  <si>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</si>
  <si>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</si>
  <si>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</si>
  <si>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</si>
  <si>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</si>
  <si>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</si>
  <si>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</si>
  <si>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</si>
  <si>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</si>
  <si>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</si>
  <si>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</si>
  <si>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</si>
  <si>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</si>
  <si>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</si>
  <si>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</si>
  <si>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</si>
  <si>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</si>
  <si>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</si>
  <si>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</si>
  <si>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</si>
  <si>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</si>
  <si>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</si>
  <si>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</si>
  <si>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</si>
  <si>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</si>
  <si>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</si>
  <si>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</si>
  <si>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</si>
  <si>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</si>
  <si>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</si>
  <si>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</si>
  <si>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</si>
  <si>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</si>
  <si>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</si>
  <si>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</si>
  <si>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</si>
  <si>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</si>
  <si>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</si>
  <si>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</si>
  <si>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</si>
  <si>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</si>
  <si>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</si>
  <si>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</si>
  <si>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</si>
  <si>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</si>
  <si>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</si>
  <si>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</si>
  <si>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</si>
  <si>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</si>
  <si>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</si>
  <si>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</si>
  <si>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</si>
  <si>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</si>
  <si>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</si>
  <si>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</si>
  <si>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</si>
  <si>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Washtenaw</t>
  </si>
  <si>
    <t>1/1/13 through 12/31/13</t>
  </si>
  <si>
    <t xml:space="preserve">1. Population at Risk (age 10 through 16) </t>
  </si>
  <si>
    <t>Item 1. Population (figures for 2013): U.S. Census estimate (from "Easy Access to Juvenile Populations: 1990-2013," C. Puzzanchera, A. Sladky, and W. Kang, Office of Juvenile Justice and Delinquency Prevention, August 2014, accessed November 19, 2012, http://www.ojjdp.gov/ojstatbb/ezapop/)</t>
  </si>
  <si>
    <t>Item 2.Arrest: Michigan State Police (figures for 2013)</t>
  </si>
  <si>
    <t>Item 3.Referral: DMC Steering Committee</t>
  </si>
  <si>
    <t>Item 5.Detention: DMC Steering Committee</t>
  </si>
  <si>
    <t>Item 7.Delinquent: DMC Steering Committee</t>
  </si>
  <si>
    <t>Item 9.Confinement: DMC Steering Committee</t>
  </si>
  <si>
    <t>Item 4.Diversion: DMC Steering Committee</t>
  </si>
  <si>
    <t>Item 6.Petitioned: DMC Steering Committee</t>
  </si>
  <si>
    <t>Item 8.Probation: DMC Steering Committee</t>
  </si>
  <si>
    <t>Item 10.Transferred: DMC Steering Committee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</si>
</sst>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6"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xf numFmtId="0" fontId="0" fillId="0" borderId="0" xfId="0" applyFill="1"/>
  </cellXfs>
  <cellStyles count="3">
    <cellStyle name="40% - Accent1" xfId="2" builtinId="31"/>
    <cellStyle name="Accent1" xfId="1" builtinId="29"/>
    <cellStyle name="Normal" xfId="0" builtinId="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Washtenaw 2012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N=236</c:v>
                </c:pt>
                <c:pt idx="2">
                  <c:v>Delinquent Findings, total N=452</c:v>
                </c:pt>
                <c:pt idx="3">
                  <c:v>Petitions, total N=577</c:v>
                </c:pt>
                <c:pt idx="4">
                  <c:v>Detentions, total N=94</c:v>
                </c:pt>
                <c:pt idx="5">
                  <c:v>Referrals, total N=483</c:v>
                </c:pt>
                <c:pt idx="6">
                  <c:v>Arrests, total N=340</c:v>
                </c:pt>
                <c:pt idx="7">
                  <c:v>Population, total N=28154</c:v>
                </c:pt>
              </c:strCache>
            </c:strRef>
          </c:cat>
          <c:val>
            <c:numRef>
              <c:f>'Stacked 100%'!$B$7:$B$14</c:f>
              <c:numCache>
                <c:formatCode>0%</c:formatCode>
                <c:ptCount val="8"/>
                <c:pt idx="0">
                  <c:v>0</c:v>
                </c:pt>
                <c:pt idx="1">
                  <c:v>0.52118644067796616</c:v>
                </c:pt>
                <c:pt idx="2">
                  <c:v>0.60398230088495575</c:v>
                </c:pt>
                <c:pt idx="3">
                  <c:v>0.51126516464471405</c:v>
                </c:pt>
                <c:pt idx="4">
                  <c:v>0.5957446808510638</c:v>
                </c:pt>
                <c:pt idx="5">
                  <c:v>0.52795031055900621</c:v>
                </c:pt>
                <c:pt idx="6">
                  <c:v>0.53235294117647058</c:v>
                </c:pt>
                <c:pt idx="7">
                  <c:v>0.18690061802940969</c:v>
                </c:pt>
              </c:numCache>
            </c:numRef>
          </c:val>
        </c:ser>
        <c:ser>
          <c:idx val="1"/>
          <c:order val="1"/>
          <c:tx>
            <c:strRef>
              <c:f>'Stacked 100%'!$C$6</c:f>
              <c:strCache>
                <c:ptCount val="1"/>
                <c:pt idx="0">
                  <c:v>Hispanic or Latino</c:v>
                </c:pt>
              </c:strCache>
            </c:strRef>
          </c:tx>
          <c:spPr>
            <a:solidFill>
              <a:srgbClr val="F05193"/>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N=236</c:v>
                </c:pt>
                <c:pt idx="2">
                  <c:v>Delinquent Findings, total N=452</c:v>
                </c:pt>
                <c:pt idx="3">
                  <c:v>Petitions, total N=577</c:v>
                </c:pt>
                <c:pt idx="4">
                  <c:v>Detentions, total N=94</c:v>
                </c:pt>
                <c:pt idx="5">
                  <c:v>Referrals, total N=483</c:v>
                </c:pt>
                <c:pt idx="6">
                  <c:v>Arrests, total N=340</c:v>
                </c:pt>
                <c:pt idx="7">
                  <c:v>Population, total N=28154</c:v>
                </c:pt>
              </c:strCache>
            </c:strRef>
          </c:cat>
          <c:val>
            <c:numRef>
              <c:f>'Stacked 100%'!$C$7:$C$14</c:f>
              <c:numCache>
                <c:formatCode>0%</c:formatCode>
                <c:ptCount val="8"/>
                <c:pt idx="0">
                  <c:v>0</c:v>
                </c:pt>
                <c:pt idx="1">
                  <c:v>4.6610169491525424E-2</c:v>
                </c:pt>
                <c:pt idx="2">
                  <c:v>1.1061946902654867E-2</c:v>
                </c:pt>
                <c:pt idx="3">
                  <c:v>1.3864818024263431E-2</c:v>
                </c:pt>
                <c:pt idx="4">
                  <c:v>4.2553191489361701E-2</c:v>
                </c:pt>
                <c:pt idx="5">
                  <c:v>8.2815734989648039E-3</c:v>
                </c:pt>
                <c:pt idx="6">
                  <c:v>2.9411764705882353E-3</c:v>
                </c:pt>
                <c:pt idx="7">
                  <c:v>5.6830290544860412E-2</c:v>
                </c:pt>
              </c:numCache>
            </c:numRef>
          </c:val>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N=236</c:v>
                </c:pt>
                <c:pt idx="2">
                  <c:v>Delinquent Findings, total N=452</c:v>
                </c:pt>
                <c:pt idx="3">
                  <c:v>Petitions, total N=577</c:v>
                </c:pt>
                <c:pt idx="4">
                  <c:v>Detentions, total N=94</c:v>
                </c:pt>
                <c:pt idx="5">
                  <c:v>Referrals, total N=483</c:v>
                </c:pt>
                <c:pt idx="6">
                  <c:v>Arrests, total N=340</c:v>
                </c:pt>
                <c:pt idx="7">
                  <c:v>Population, total N=28154</c:v>
                </c:pt>
              </c:strCache>
            </c:strRef>
          </c:cat>
          <c:val>
            <c:numRef>
              <c:f>'Stacked 100%'!$H$7:$H$14</c:f>
              <c:numCache>
                <c:formatCode>0%</c:formatCode>
                <c:ptCount val="8"/>
                <c:pt idx="0">
                  <c:v>0</c:v>
                </c:pt>
                <c:pt idx="1">
                  <c:v>7.3613904050560182E-4</c:v>
                </c:pt>
                <c:pt idx="2">
                  <c:v>1.4684000313258673E-5</c:v>
                </c:pt>
                <c:pt idx="3">
                  <c:v>2.7032790775210329E-5</c:v>
                </c:pt>
                <c:pt idx="4">
                  <c:v>1.1317338162064282E-3</c:v>
                </c:pt>
                <c:pt idx="5">
                  <c:v>2.1432643630861292E-5</c:v>
                </c:pt>
                <c:pt idx="6">
                  <c:v>8.6505190311418676E-6</c:v>
                </c:pt>
                <c:pt idx="7">
                  <c:v>3.1792181433599185E-6</c:v>
                </c:pt>
              </c:numCache>
            </c:numRef>
          </c:val>
        </c:ser>
        <c:ser>
          <c:idx val="3"/>
          <c:order val="3"/>
          <c:tx>
            <c:strRef>
              <c:f>'Stacked 100%'!$I$6</c:f>
              <c:strCache>
                <c:ptCount val="1"/>
                <c:pt idx="0">
                  <c:v>White</c:v>
                </c:pt>
              </c:strCache>
            </c:strRef>
          </c:tx>
          <c:spPr>
            <a:solidFill>
              <a:srgbClr val="A6C9F7"/>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N=236</c:v>
                </c:pt>
                <c:pt idx="2">
                  <c:v>Delinquent Findings, total N=452</c:v>
                </c:pt>
                <c:pt idx="3">
                  <c:v>Petitions, total N=577</c:v>
                </c:pt>
                <c:pt idx="4">
                  <c:v>Detentions, total N=94</c:v>
                </c:pt>
                <c:pt idx="5">
                  <c:v>Referrals, total N=483</c:v>
                </c:pt>
                <c:pt idx="6">
                  <c:v>Arrests, total N=340</c:v>
                </c:pt>
                <c:pt idx="7">
                  <c:v>Population, total N=28154</c:v>
                </c:pt>
              </c:strCache>
            </c:strRef>
          </c:cat>
          <c:val>
            <c:numRef>
              <c:f>'Stacked 100%'!$I$7:$I$14</c:f>
              <c:numCache>
                <c:formatCode>0%</c:formatCode>
                <c:ptCount val="8"/>
                <c:pt idx="0">
                  <c:v>0</c:v>
                </c:pt>
                <c:pt idx="1">
                  <c:v>0.25847457627118642</c:v>
                </c:pt>
                <c:pt idx="2">
                  <c:v>0.37168141592920356</c:v>
                </c:pt>
                <c:pt idx="3">
                  <c:v>0.44540727902946275</c:v>
                </c:pt>
                <c:pt idx="4">
                  <c:v>0.24468085106382978</c:v>
                </c:pt>
                <c:pt idx="5">
                  <c:v>0.43478260869565216</c:v>
                </c:pt>
                <c:pt idx="6">
                  <c:v>0.41176470588235292</c:v>
                </c:pt>
                <c:pt idx="7">
                  <c:v>0.72359167436243521</c:v>
                </c:pt>
              </c:numCache>
            </c:numRef>
          </c:val>
        </c:ser>
        <c:dLbls>
          <c:showLegendKey val="0"/>
          <c:showVal val="0"/>
          <c:showCatName val="0"/>
          <c:showSerName val="0"/>
          <c:showPercent val="0"/>
          <c:showBubbleSize val="0"/>
        </c:dLbls>
        <c:gapWidth val="150"/>
        <c:overlap val="100"/>
        <c:axId val="221004928"/>
        <c:axId val="22100646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N=236</c:v>
                </c:pt>
                <c:pt idx="2">
                  <c:v>Delinquent Findings, total N=452</c:v>
                </c:pt>
                <c:pt idx="3">
                  <c:v>Petitions, total N=577</c:v>
                </c:pt>
                <c:pt idx="4">
                  <c:v>Detentions, total N=94</c:v>
                </c:pt>
                <c:pt idx="5">
                  <c:v>Referrals, total N=483</c:v>
                </c:pt>
                <c:pt idx="6">
                  <c:v>Arrests, total N=340</c:v>
                </c:pt>
                <c:pt idx="7">
                  <c:v>Population, total N=28154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221017984"/>
        <c:axId val="221016448"/>
      </c:barChart>
      <c:catAx>
        <c:axId val="22100492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221006464"/>
        <c:crosses val="autoZero"/>
        <c:auto val="1"/>
        <c:lblAlgn val="ctr"/>
        <c:lblOffset val="100"/>
        <c:noMultiLvlLbl val="0"/>
      </c:catAx>
      <c:valAx>
        <c:axId val="22100646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221004928"/>
        <c:crosses val="autoZero"/>
        <c:crossBetween val="between"/>
      </c:valAx>
      <c:valAx>
        <c:axId val="221016448"/>
        <c:scaling>
          <c:orientation val="minMax"/>
        </c:scaling>
        <c:delete val="1"/>
        <c:axPos val="t"/>
        <c:numFmt formatCode="0%" sourceLinked="1"/>
        <c:majorTickMark val="out"/>
        <c:minorTickMark val="none"/>
        <c:tickLblPos val="nextTo"/>
        <c:crossAx val="221017984"/>
        <c:crosses val="max"/>
        <c:crossBetween val="between"/>
      </c:valAx>
      <c:catAx>
        <c:axId val="221017984"/>
        <c:scaling>
          <c:orientation val="minMax"/>
        </c:scaling>
        <c:delete val="1"/>
        <c:axPos val="l"/>
        <c:majorTickMark val="out"/>
        <c:minorTickMark val="none"/>
        <c:tickLblPos val="nextTo"/>
        <c:crossAx val="221016448"/>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Normal="100" workbookViewId="0">
      <selection activeCell="M4" sqref="M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116</v>
      </c>
      <c r="B2" s="4"/>
      <c r="C2" s="4"/>
      <c r="D2" s="4"/>
      <c r="E2" s="4"/>
      <c r="F2" s="4"/>
    </row>
    <row r="3" spans="1:11" ht="15" customHeight="1" x14ac:dyDescent="0.25">
      <c r="A3" s="141" t="s">
        <v>130</v>
      </c>
      <c r="B3" s="4"/>
      <c r="C3" s="5" t="s">
        <v>109</v>
      </c>
      <c r="D3" s="6"/>
      <c r="E3" s="6"/>
      <c r="F3" s="6"/>
      <c r="G3" s="7"/>
      <c r="H3" s="7"/>
    </row>
    <row r="4" spans="1:11" ht="15" customHeight="1" x14ac:dyDescent="0.25">
      <c r="A4" s="4"/>
      <c r="B4" s="4"/>
      <c r="C4" s="177" t="s">
        <v>131</v>
      </c>
      <c r="D4" s="177"/>
      <c r="E4" s="177"/>
      <c r="F4" s="177"/>
      <c r="G4" s="8"/>
    </row>
    <row r="5" spans="1:11" ht="65.25" customHeight="1" thickBot="1" x14ac:dyDescent="0.3">
      <c r="A5" s="8"/>
      <c r="B5" s="9" t="s">
        <v>2</v>
      </c>
      <c r="C5" s="9" t="s">
        <v>3</v>
      </c>
      <c r="D5" s="9" t="s">
        <v>126</v>
      </c>
      <c r="E5" s="9" t="s">
        <v>4</v>
      </c>
      <c r="F5" s="9" t="s">
        <v>5</v>
      </c>
      <c r="G5" s="9" t="s">
        <v>129</v>
      </c>
      <c r="H5" s="9" t="s">
        <v>6</v>
      </c>
      <c r="I5" s="9" t="s">
        <v>118</v>
      </c>
      <c r="J5" s="9" t="s">
        <v>7</v>
      </c>
      <c r="K5" s="9" t="s">
        <v>110</v>
      </c>
    </row>
    <row r="6" spans="1:11" ht="15.75" customHeight="1" thickBot="1" x14ac:dyDescent="0.25">
      <c r="A6" s="10" t="s">
        <v>132</v>
      </c>
      <c r="B6" s="11">
        <v>28154</v>
      </c>
      <c r="C6" s="11">
        <v>20372</v>
      </c>
      <c r="D6" s="11">
        <v>5262</v>
      </c>
      <c r="E6" s="11">
        <v>1600</v>
      </c>
      <c r="F6" s="11">
        <v>2316</v>
      </c>
      <c r="G6" s="11"/>
      <c r="H6" s="11">
        <v>204</v>
      </c>
      <c r="I6" s="11"/>
      <c r="J6" s="91">
        <f>SUM(D6:I6)</f>
        <v>9382</v>
      </c>
      <c r="K6" s="11"/>
    </row>
    <row r="7" spans="1:11" ht="15.75" customHeight="1" thickBot="1" x14ac:dyDescent="0.25">
      <c r="A7" s="10" t="s">
        <v>8</v>
      </c>
      <c r="B7" s="11">
        <v>340</v>
      </c>
      <c r="C7" s="11">
        <v>140</v>
      </c>
      <c r="D7" s="11">
        <v>181</v>
      </c>
      <c r="E7" s="11">
        <v>1</v>
      </c>
      <c r="F7" s="11">
        <v>1</v>
      </c>
      <c r="G7" s="11"/>
      <c r="H7" s="11"/>
      <c r="I7" s="11"/>
      <c r="J7" s="91">
        <f t="shared" ref="J7:J15" si="0">SUM(D7:I7)</f>
        <v>183</v>
      </c>
      <c r="K7" s="11">
        <v>17</v>
      </c>
    </row>
    <row r="8" spans="1:11" ht="15.75" customHeight="1" thickBot="1" x14ac:dyDescent="0.25">
      <c r="A8" s="10" t="s">
        <v>9</v>
      </c>
      <c r="B8" s="11">
        <f t="shared" ref="B8:B14" si="1">SUM(C8:I8)+K8</f>
        <v>483</v>
      </c>
      <c r="C8" s="11">
        <v>210</v>
      </c>
      <c r="D8" s="11">
        <v>255</v>
      </c>
      <c r="E8" s="11">
        <v>4</v>
      </c>
      <c r="F8" s="11">
        <v>3</v>
      </c>
      <c r="G8" s="11">
        <v>0</v>
      </c>
      <c r="H8" s="11">
        <v>2</v>
      </c>
      <c r="I8" s="11">
        <v>0</v>
      </c>
      <c r="J8" s="91">
        <f t="shared" si="0"/>
        <v>264</v>
      </c>
      <c r="K8" s="11">
        <v>9</v>
      </c>
    </row>
    <row r="9" spans="1:11" ht="15.75" customHeight="1" thickBot="1" x14ac:dyDescent="0.25">
      <c r="A9" s="10" t="s">
        <v>10</v>
      </c>
      <c r="B9" s="11">
        <f t="shared" si="1"/>
        <v>101</v>
      </c>
      <c r="C9" s="11">
        <v>52</v>
      </c>
      <c r="D9" s="11">
        <v>47</v>
      </c>
      <c r="E9" s="11">
        <v>0</v>
      </c>
      <c r="F9" s="11">
        <v>0</v>
      </c>
      <c r="G9" s="11">
        <v>0</v>
      </c>
      <c r="H9" s="11">
        <v>0</v>
      </c>
      <c r="I9" s="11">
        <v>1</v>
      </c>
      <c r="J9" s="91">
        <f t="shared" si="0"/>
        <v>48</v>
      </c>
      <c r="K9" s="11">
        <v>1</v>
      </c>
    </row>
    <row r="10" spans="1:11" ht="15.75" customHeight="1" thickBot="1" x14ac:dyDescent="0.25">
      <c r="A10" s="10" t="s">
        <v>11</v>
      </c>
      <c r="B10" s="11">
        <f t="shared" si="1"/>
        <v>94</v>
      </c>
      <c r="C10" s="11">
        <v>23</v>
      </c>
      <c r="D10" s="11">
        <v>56</v>
      </c>
      <c r="E10" s="11">
        <v>4</v>
      </c>
      <c r="F10" s="11">
        <v>0</v>
      </c>
      <c r="G10" s="11">
        <v>0</v>
      </c>
      <c r="H10" s="11">
        <v>1</v>
      </c>
      <c r="I10" s="11">
        <v>9</v>
      </c>
      <c r="J10" s="91">
        <f t="shared" si="0"/>
        <v>70</v>
      </c>
      <c r="K10" s="11">
        <v>1</v>
      </c>
    </row>
    <row r="11" spans="1:11" ht="15.75" customHeight="1" thickBot="1" x14ac:dyDescent="0.25">
      <c r="A11" s="10" t="s">
        <v>12</v>
      </c>
      <c r="B11" s="11">
        <f t="shared" si="1"/>
        <v>577</v>
      </c>
      <c r="C11" s="11">
        <v>257</v>
      </c>
      <c r="D11" s="11">
        <v>295</v>
      </c>
      <c r="E11" s="11">
        <v>8</v>
      </c>
      <c r="F11" s="11">
        <v>4</v>
      </c>
      <c r="G11" s="11">
        <v>0</v>
      </c>
      <c r="H11" s="11">
        <v>0</v>
      </c>
      <c r="I11" s="11">
        <v>5</v>
      </c>
      <c r="J11" s="91">
        <f t="shared" si="0"/>
        <v>312</v>
      </c>
      <c r="K11" s="11">
        <v>8</v>
      </c>
    </row>
    <row r="12" spans="1:11" ht="15.75" customHeight="1" thickBot="1" x14ac:dyDescent="0.25">
      <c r="A12" s="10" t="s">
        <v>13</v>
      </c>
      <c r="B12" s="11">
        <f t="shared" si="1"/>
        <v>452</v>
      </c>
      <c r="C12" s="11">
        <v>168</v>
      </c>
      <c r="D12" s="11">
        <v>273</v>
      </c>
      <c r="E12" s="11">
        <v>5</v>
      </c>
      <c r="F12" s="11">
        <v>0</v>
      </c>
      <c r="G12" s="11">
        <v>0</v>
      </c>
      <c r="H12" s="11">
        <v>0</v>
      </c>
      <c r="I12" s="11">
        <v>3</v>
      </c>
      <c r="J12" s="91">
        <f t="shared" si="0"/>
        <v>281</v>
      </c>
      <c r="K12" s="11">
        <v>3</v>
      </c>
    </row>
    <row r="13" spans="1:11" ht="15.75" customHeight="1" thickBot="1" x14ac:dyDescent="0.25">
      <c r="A13" s="10" t="s">
        <v>127</v>
      </c>
      <c r="B13" s="11">
        <f t="shared" si="1"/>
        <v>231</v>
      </c>
      <c r="C13" s="11">
        <v>96</v>
      </c>
      <c r="D13" s="11">
        <v>129</v>
      </c>
      <c r="E13" s="11">
        <v>3</v>
      </c>
      <c r="F13" s="11">
        <v>0</v>
      </c>
      <c r="G13" s="11">
        <v>0</v>
      </c>
      <c r="H13" s="11">
        <v>0</v>
      </c>
      <c r="I13" s="11">
        <v>1</v>
      </c>
      <c r="J13" s="91">
        <f t="shared" si="0"/>
        <v>133</v>
      </c>
      <c r="K13" s="11">
        <v>2</v>
      </c>
    </row>
    <row r="14" spans="1:11" ht="26.25" customHeight="1" thickBot="1" x14ac:dyDescent="0.25">
      <c r="A14" s="10" t="s">
        <v>117</v>
      </c>
      <c r="B14" s="11">
        <f t="shared" si="1"/>
        <v>236</v>
      </c>
      <c r="C14" s="11">
        <v>61</v>
      </c>
      <c r="D14" s="11">
        <v>123</v>
      </c>
      <c r="E14" s="11">
        <v>11</v>
      </c>
      <c r="F14" s="11">
        <v>0</v>
      </c>
      <c r="G14" s="11">
        <v>0</v>
      </c>
      <c r="H14" s="11">
        <v>0</v>
      </c>
      <c r="I14" s="11">
        <v>41</v>
      </c>
      <c r="J14" s="91">
        <f t="shared" si="0"/>
        <v>175</v>
      </c>
      <c r="K14" s="11">
        <v>0</v>
      </c>
    </row>
    <row r="15" spans="1:11" ht="15.75" customHeight="1" thickBot="1" x14ac:dyDescent="0.25">
      <c r="A15" s="10" t="s">
        <v>16</v>
      </c>
      <c r="B15" s="11">
        <f>SUM(C15:I15)+K15</f>
        <v>0</v>
      </c>
      <c r="C15" s="11">
        <v>0</v>
      </c>
      <c r="D15" s="11">
        <v>0</v>
      </c>
      <c r="E15" s="11">
        <v>0</v>
      </c>
      <c r="F15" s="11">
        <v>0</v>
      </c>
      <c r="G15" s="11">
        <v>0</v>
      </c>
      <c r="H15" s="11">
        <v>0</v>
      </c>
      <c r="I15" s="11">
        <v>0</v>
      </c>
      <c r="J15" s="91">
        <f t="shared" si="0"/>
        <v>0</v>
      </c>
      <c r="K15" s="11">
        <v>0</v>
      </c>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12" ht="15" customHeight="1" x14ac:dyDescent="0.25">
      <c r="A17" s="15"/>
    </row>
    <row r="18" spans="1:12" ht="15" customHeight="1" x14ac:dyDescent="0.25">
      <c r="A18" s="16" t="s">
        <v>18</v>
      </c>
      <c r="B18" s="16"/>
      <c r="C18" s="16"/>
      <c r="D18" s="16"/>
      <c r="E18" s="16"/>
      <c r="F18" s="16"/>
      <c r="G18" s="16"/>
    </row>
    <row r="19" spans="1:12" ht="15" customHeight="1" x14ac:dyDescent="0.25">
      <c r="A19" s="175" t="s">
        <v>133</v>
      </c>
      <c r="B19" s="175"/>
      <c r="C19" s="8"/>
      <c r="D19" s="175" t="s">
        <v>134</v>
      </c>
      <c r="E19" s="175"/>
      <c r="F19" s="175"/>
      <c r="G19" s="175"/>
      <c r="H19" s="175"/>
      <c r="I19" s="175"/>
      <c r="K19" s="223"/>
      <c r="L19" s="223"/>
    </row>
    <row r="20" spans="1:12" ht="15" customHeight="1" x14ac:dyDescent="0.25">
      <c r="A20" s="175" t="s">
        <v>135</v>
      </c>
      <c r="B20" s="175"/>
      <c r="C20" s="8"/>
      <c r="D20" s="175" t="s">
        <v>139</v>
      </c>
      <c r="E20" s="175"/>
      <c r="F20" s="175"/>
      <c r="G20" s="175"/>
      <c r="H20" s="175"/>
      <c r="I20" s="175"/>
      <c r="K20" s="223"/>
      <c r="L20" s="223"/>
    </row>
    <row r="21" spans="1:12" ht="15" customHeight="1" x14ac:dyDescent="0.25">
      <c r="A21" s="175" t="s">
        <v>136</v>
      </c>
      <c r="B21" s="175"/>
      <c r="C21" s="8"/>
      <c r="D21" s="175" t="s">
        <v>140</v>
      </c>
      <c r="E21" s="175"/>
      <c r="F21" s="175"/>
      <c r="G21" s="175"/>
      <c r="H21" s="175"/>
      <c r="I21" s="175"/>
      <c r="K21" s="223"/>
      <c r="L21" s="223"/>
    </row>
    <row r="22" spans="1:12" ht="15" customHeight="1" x14ac:dyDescent="0.25">
      <c r="A22" s="175" t="s">
        <v>137</v>
      </c>
      <c r="B22" s="175"/>
      <c r="C22" s="8"/>
      <c r="D22" s="175" t="s">
        <v>141</v>
      </c>
      <c r="E22" s="175"/>
      <c r="F22" s="175"/>
      <c r="G22" s="175"/>
      <c r="H22" s="175"/>
      <c r="I22" s="175"/>
      <c r="K22" s="223"/>
      <c r="L22" s="223"/>
    </row>
    <row r="23" spans="1:12" ht="15" customHeight="1" x14ac:dyDescent="0.25">
      <c r="A23" s="175" t="s">
        <v>138</v>
      </c>
      <c r="B23" s="175"/>
      <c r="C23" s="8"/>
      <c r="D23" s="175" t="s">
        <v>142</v>
      </c>
      <c r="E23" s="175"/>
      <c r="F23" s="175"/>
      <c r="G23" s="175"/>
      <c r="H23" s="175"/>
      <c r="I23" s="175"/>
      <c r="K23" s="223"/>
      <c r="L23" s="223"/>
    </row>
    <row r="24" spans="1:12" ht="15" customHeight="1" x14ac:dyDescent="0.25">
      <c r="A24" s="8"/>
      <c r="B24" s="8"/>
      <c r="C24" s="8"/>
      <c r="D24" s="8"/>
      <c r="E24" s="8"/>
      <c r="F24" s="8"/>
      <c r="G24" s="8"/>
      <c r="H24" s="8"/>
      <c r="I24" s="8"/>
    </row>
    <row r="27" spans="1:12"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topLeftCell="A4" zoomScale="95" zoomScaleNormal="95" workbookViewId="0">
      <selection activeCell="G11" sqref="G11"/>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8" t="str">
        <f>'Data Entry'!I5</f>
        <v>Biracial or Other</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140</v>
      </c>
      <c r="Q7" s="42">
        <f>C6-C7</f>
        <v>20232</v>
      </c>
      <c r="R7" s="42">
        <f t="shared" ref="R7:R15" si="5">SUM(N7:Q7)</f>
        <v>20372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210</v>
      </c>
      <c r="D8" s="34">
        <f>IF((AND(C67&gt;0,C8&gt;0)),(C8/C67),0)</f>
        <v>150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210</v>
      </c>
      <c r="Q8" s="42">
        <f>(C$67*L67)-C8</f>
        <v>-70</v>
      </c>
      <c r="R8" s="42">
        <f t="shared" si="5"/>
        <v>140.05000000000001</v>
      </c>
      <c r="S8" s="30">
        <f t="shared" si="6"/>
        <v>15440.512500000001</v>
      </c>
      <c r="T8" s="30">
        <f t="shared" si="7"/>
        <v>-102826.5</v>
      </c>
      <c r="U8" s="31">
        <f t="shared" si="8"/>
        <v>-0.15016082916368836</v>
      </c>
    </row>
    <row r="9" spans="2:21" ht="18" customHeight="1" x14ac:dyDescent="0.25">
      <c r="B9" s="32" t="str">
        <f>'Data Entry'!A9</f>
        <v xml:space="preserve">4. Cases Diverted </v>
      </c>
      <c r="C9" s="33">
        <f>'Data Entry'!C9</f>
        <v>52</v>
      </c>
      <c r="D9" s="34">
        <f>IF((AND(C68&gt;0,C9&gt;0)),((C9/C68)),0)</f>
        <v>24.761904761904759</v>
      </c>
      <c r="E9" s="33">
        <f>'Data Entry'!I9</f>
        <v>1</v>
      </c>
      <c r="F9" s="34">
        <f>IF((AND($E$9&gt;0,$D$68&gt;0)),(($E$9/$D$68)),0)</f>
        <v>0</v>
      </c>
      <c r="G9" s="39" t="str">
        <f t="shared" si="0"/>
        <v>*</v>
      </c>
      <c r="H9" s="40"/>
      <c r="I9" s="41"/>
      <c r="J9" s="40" t="e">
        <f>IF((ABS($U9)&gt;Defaults!D$7),1,2)</f>
        <v>#DIV/0!</v>
      </c>
      <c r="K9" s="39">
        <f>IF((AND(N9&gt;Defaults!B$12,(N9+O9)&gt;Defaults!B$13, P9 &gt; Defaults!B$12, (P9+Q9) &gt; Defaults!B$13)),1,20)</f>
        <v>20</v>
      </c>
      <c r="L9" s="1" t="e">
        <f t="shared" si="1"/>
        <v>#DIV/0!</v>
      </c>
      <c r="M9" s="1" t="b">
        <f t="shared" si="2"/>
        <v>0</v>
      </c>
      <c r="N9" s="42">
        <f t="shared" si="3"/>
        <v>1</v>
      </c>
      <c r="O9" s="42">
        <f>(D$68*L68)-E9</f>
        <v>-1</v>
      </c>
      <c r="P9" s="42">
        <f t="shared" si="4"/>
        <v>52</v>
      </c>
      <c r="Q9" s="42">
        <f>(C$68*L68)-C9</f>
        <v>158</v>
      </c>
      <c r="R9" s="42">
        <f t="shared" si="5"/>
        <v>210</v>
      </c>
      <c r="S9" s="30">
        <f t="shared" si="6"/>
        <v>9261000</v>
      </c>
      <c r="T9" s="30">
        <f t="shared" si="7"/>
        <v>0</v>
      </c>
      <c r="U9" s="31" t="e">
        <f t="shared" si="8"/>
        <v>#DIV/0!</v>
      </c>
    </row>
    <row r="10" spans="2:21" ht="18" customHeight="1" x14ac:dyDescent="0.25">
      <c r="B10" s="32" t="str">
        <f>'Data Entry'!A10</f>
        <v>5. Cases Involving Secure Detention</v>
      </c>
      <c r="C10" s="33">
        <f>'Data Entry'!C10</f>
        <v>23</v>
      </c>
      <c r="D10" s="34">
        <f>IF(((AND(C68&gt;0,C10&gt;0))),(C10/(C68)),0)</f>
        <v>10.952380952380953</v>
      </c>
      <c r="E10" s="33">
        <f>'Data Entry'!I10</f>
        <v>9</v>
      </c>
      <c r="F10" s="34">
        <f>IF(((AND($E$10&gt;0,$D$68&gt;0))),($E$10/($D$68)),0)</f>
        <v>0</v>
      </c>
      <c r="G10" s="39" t="str">
        <f t="shared" si="0"/>
        <v>*</v>
      </c>
      <c r="H10" s="40"/>
      <c r="I10" s="41"/>
      <c r="J10" s="40" t="e">
        <f>IF((ABS($U10)&gt;Defaults!D$7),1,2)</f>
        <v>#DIV/0!</v>
      </c>
      <c r="K10" s="39">
        <f>IF((AND(N10&gt;Defaults!B$12,(N10+O10)&gt;Defaults!B$13, P10 &gt; Defaults!B$12, (P10+Q10) &gt; Defaults!B$13)),1,20)</f>
        <v>20</v>
      </c>
      <c r="L10" s="1" t="e">
        <f t="shared" si="1"/>
        <v>#DIV/0!</v>
      </c>
      <c r="M10" s="1" t="b">
        <f t="shared" si="2"/>
        <v>0</v>
      </c>
      <c r="N10" s="42">
        <f t="shared" si="3"/>
        <v>9</v>
      </c>
      <c r="O10" s="42">
        <f>(D$68*L68)-E10</f>
        <v>-9</v>
      </c>
      <c r="P10" s="42">
        <f t="shared" si="4"/>
        <v>23</v>
      </c>
      <c r="Q10" s="42">
        <f>(C$68*L68)-C10</f>
        <v>187</v>
      </c>
      <c r="R10" s="42">
        <f t="shared" si="5"/>
        <v>210</v>
      </c>
      <c r="S10" s="30">
        <f t="shared" si="6"/>
        <v>750141000</v>
      </c>
      <c r="T10" s="30">
        <f t="shared" si="7"/>
        <v>0</v>
      </c>
      <c r="U10" s="31" t="e">
        <f t="shared" si="8"/>
        <v>#DIV/0!</v>
      </c>
    </row>
    <row r="11" spans="2:21" ht="18" customHeight="1" x14ac:dyDescent="0.25">
      <c r="B11" s="32" t="str">
        <f>'Data Entry'!A11</f>
        <v>6. Cases Petitioned (Charge Filed)</v>
      </c>
      <c r="C11" s="33">
        <f>'Data Entry'!C11</f>
        <v>257</v>
      </c>
      <c r="D11" s="34">
        <f>IF(((AND(C68&gt;0,C11&gt;0))),(C11/(C68)),0)</f>
        <v>122.38095238095238</v>
      </c>
      <c r="E11" s="33">
        <f>'Data Entry'!I11</f>
        <v>5</v>
      </c>
      <c r="F11" s="34">
        <f>IF(((AND($E$11&gt;0,$D$68&gt;0))),($E$11/($D$68)),0)</f>
        <v>0</v>
      </c>
      <c r="G11" s="39" t="str">
        <f t="shared" si="0"/>
        <v>*</v>
      </c>
      <c r="H11" s="40"/>
      <c r="I11" s="41"/>
      <c r="J11" s="40" t="e">
        <f>IF((ABS($U11)&gt;Defaults!D$7),1,2)</f>
        <v>#DIV/0!</v>
      </c>
      <c r="K11" s="39">
        <f>IF((AND(N11&gt;Defaults!B$12,(N11+O11)&gt;Defaults!B$13, P11 &gt; Defaults!B$12, (P11+Q11) &gt; Defaults!B$13)),1,20)</f>
        <v>20</v>
      </c>
      <c r="L11" s="1" t="e">
        <f t="shared" si="1"/>
        <v>#DIV/0!</v>
      </c>
      <c r="M11" s="1" t="b">
        <f t="shared" si="2"/>
        <v>0</v>
      </c>
      <c r="N11" s="42">
        <f t="shared" si="3"/>
        <v>5</v>
      </c>
      <c r="O11" s="42">
        <f>(D$68*L68)-E11</f>
        <v>-5</v>
      </c>
      <c r="P11" s="42">
        <f t="shared" si="4"/>
        <v>257</v>
      </c>
      <c r="Q11" s="42">
        <f>(C$68*L68)-C11</f>
        <v>-47</v>
      </c>
      <c r="R11" s="42">
        <f t="shared" si="5"/>
        <v>210</v>
      </c>
      <c r="S11" s="30">
        <f t="shared" si="6"/>
        <v>231525000</v>
      </c>
      <c r="T11" s="30">
        <f t="shared" si="7"/>
        <v>0</v>
      </c>
      <c r="U11" s="31" t="e">
        <f t="shared" si="8"/>
        <v>#DIV/0!</v>
      </c>
    </row>
    <row r="12" spans="2:21" ht="18" customHeight="1" x14ac:dyDescent="0.25">
      <c r="B12" s="32" t="str">
        <f>'Data Entry'!A12</f>
        <v>7. Cases Resulting in Delinquent Findings</v>
      </c>
      <c r="C12" s="33">
        <f>'Data Entry'!C12</f>
        <v>168</v>
      </c>
      <c r="D12" s="34">
        <f>IF(((AND(C69&gt;0,C12&gt;0))),(C12/(C69)),0)</f>
        <v>65.36964980544748</v>
      </c>
      <c r="E12" s="33">
        <f>'Data Entry'!I12</f>
        <v>3</v>
      </c>
      <c r="F12" s="34">
        <f>IF(((AND($D$69&gt;0,$E$12&gt;0))),(E12/(D69)),0)</f>
        <v>60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3</v>
      </c>
      <c r="O12" s="42">
        <f>(D69*L69)-E12</f>
        <v>2</v>
      </c>
      <c r="P12" s="42">
        <f t="shared" si="4"/>
        <v>168</v>
      </c>
      <c r="Q12" s="42">
        <f>(C69*L69)-C12</f>
        <v>89</v>
      </c>
      <c r="R12" s="42">
        <f t="shared" si="5"/>
        <v>262</v>
      </c>
      <c r="S12" s="30">
        <f t="shared" si="6"/>
        <v>1247382</v>
      </c>
      <c r="T12" s="30">
        <f t="shared" si="7"/>
        <v>19995885</v>
      </c>
      <c r="U12" s="31">
        <f t="shared" si="8"/>
        <v>6.238193508314336E-2</v>
      </c>
    </row>
    <row r="13" spans="2:21" ht="18" customHeight="1" x14ac:dyDescent="0.25">
      <c r="B13" s="32" t="str">
        <f>'Data Entry'!A13</f>
        <v>8. Cases Resulting in Probation Placement</v>
      </c>
      <c r="C13" s="33">
        <f>'Data Entry'!C13</f>
        <v>96</v>
      </c>
      <c r="D13" s="34">
        <f>IF(((AND(C70&gt;0,C13&gt;0))),(C13/(C70)),0)</f>
        <v>57.142857142857146</v>
      </c>
      <c r="E13" s="33">
        <f>'Data Entry'!I13</f>
        <v>1</v>
      </c>
      <c r="F13" s="34">
        <f>IF(((AND($D$70&gt;0,$E$13&gt;0))),($E$13/($D$70)),0)</f>
        <v>33.333333333333336</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2</v>
      </c>
      <c r="P13" s="42">
        <f t="shared" si="4"/>
        <v>96</v>
      </c>
      <c r="Q13" s="42">
        <f>(C70*L70)-C13</f>
        <v>72</v>
      </c>
      <c r="R13" s="42">
        <f t="shared" si="5"/>
        <v>171</v>
      </c>
      <c r="S13" s="30">
        <f t="shared" si="6"/>
        <v>2462400</v>
      </c>
      <c r="T13" s="30">
        <f t="shared" si="7"/>
        <v>3617712</v>
      </c>
      <c r="U13" s="31">
        <f t="shared" si="8"/>
        <v>0.6806511961151136</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Entry'!I14</f>
        <v>41</v>
      </c>
      <c r="F14" s="34">
        <f>IF(((AND($D$70&gt;0,$E$14&gt;0))), (($E$14/($D$70))),0)</f>
        <v>1366.6666666666667</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41</v>
      </c>
      <c r="O14" s="42">
        <f>(D70*L70)-E14</f>
        <v>-38</v>
      </c>
      <c r="P14" s="42">
        <f t="shared" si="4"/>
        <v>61</v>
      </c>
      <c r="Q14" s="42">
        <f>(C70*L70)-C14</f>
        <v>107</v>
      </c>
      <c r="R14" s="42">
        <f t="shared" si="5"/>
        <v>171</v>
      </c>
      <c r="S14" s="30">
        <f t="shared" si="6"/>
        <v>7687651275</v>
      </c>
      <c r="T14" s="30">
        <f t="shared" si="7"/>
        <v>3547152</v>
      </c>
      <c r="U14" s="31">
        <f t="shared" si="8"/>
        <v>2167.2742738399706</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257</v>
      </c>
      <c r="R15" s="42">
        <f t="shared" si="5"/>
        <v>262</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0</v>
      </c>
      <c r="E42" s="56">
        <f>MAX(C42:D42)</f>
        <v>20.372</v>
      </c>
      <c r="G42" s="1" t="str">
        <f>B42</f>
        <v>per 1000 youth</v>
      </c>
      <c r="L42" s="57">
        <v>1000</v>
      </c>
      <c r="M42" s="57"/>
      <c r="R42" s="49"/>
    </row>
    <row r="43" spans="2:18" ht="15" hidden="1" customHeight="1" x14ac:dyDescent="0.25">
      <c r="B43" s="49" t="s">
        <v>88</v>
      </c>
      <c r="C43" s="56">
        <f>C7/100</f>
        <v>1.4</v>
      </c>
      <c r="D43" s="56">
        <f>E7/100</f>
        <v>0</v>
      </c>
      <c r="E43" s="56">
        <f>MAX(C43:D43,0)</f>
        <v>1.4</v>
      </c>
      <c r="G43" s="1" t="str">
        <f>B43</f>
        <v>per 100 arrests</v>
      </c>
      <c r="L43" s="57">
        <v>100</v>
      </c>
      <c r="M43" s="57"/>
      <c r="R43" s="49"/>
    </row>
    <row r="44" spans="2:18" ht="15" hidden="1" customHeight="1" x14ac:dyDescent="0.25">
      <c r="B44" s="49" t="s">
        <v>89</v>
      </c>
      <c r="C44" s="56">
        <f>C8/100</f>
        <v>2.1</v>
      </c>
      <c r="D44" s="56">
        <f>E8/100</f>
        <v>0</v>
      </c>
      <c r="E44" s="56">
        <f>MAX(C44:D44,0)</f>
        <v>2.1</v>
      </c>
      <c r="G44" s="1" t="str">
        <f>B44</f>
        <v>per 100 referrals</v>
      </c>
      <c r="L44" s="57">
        <v>100</v>
      </c>
      <c r="M44" s="57"/>
      <c r="R44" s="49"/>
    </row>
    <row r="45" spans="2:18" ht="15" hidden="1" customHeight="1" x14ac:dyDescent="0.25">
      <c r="B45" s="49" t="s">
        <v>90</v>
      </c>
      <c r="C45" s="49">
        <f>C11/100</f>
        <v>2.57</v>
      </c>
      <c r="D45" s="49">
        <f>E11/100</f>
        <v>0.05</v>
      </c>
      <c r="E45" s="56">
        <f>MAX(C45:D45,0)</f>
        <v>2.57</v>
      </c>
      <c r="G45" s="1" t="str">
        <f>B45</f>
        <v>per 100 youth petitioned</v>
      </c>
      <c r="L45" s="57">
        <v>100</v>
      </c>
      <c r="M45" s="57"/>
      <c r="R45" s="49"/>
    </row>
    <row r="46" spans="2:18" ht="15" hidden="1" customHeight="1" x14ac:dyDescent="0.25">
      <c r="B46" s="49" t="s">
        <v>91</v>
      </c>
      <c r="C46" s="49">
        <f>C12/100</f>
        <v>1.68</v>
      </c>
      <c r="D46" s="49">
        <f>E12/100</f>
        <v>0.03</v>
      </c>
      <c r="E46" s="56">
        <f>MAX(C46:D46)</f>
        <v>1.68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0</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0</v>
      </c>
      <c r="E49" s="49">
        <f>MAX(C49:D49)</f>
        <v>1.4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0</v>
      </c>
      <c r="E50" s="49">
        <f>MAX(C50:D50)</f>
        <v>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0.05</v>
      </c>
      <c r="E51" s="49">
        <f>MAX(C51:D51)</f>
        <v>2.57</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0.03</v>
      </c>
      <c r="E52" s="56">
        <f>MAX(C52:D52)</f>
        <v>1.68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0</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0</v>
      </c>
      <c r="E55" s="49">
        <f>MAX(C55:D55)</f>
        <v>1.4</v>
      </c>
      <c r="G55" s="1" t="str">
        <f>G49</f>
        <v>per 100 arrests</v>
      </c>
      <c r="L55" s="58">
        <f>IF(($E49&gt;0),L49,L48)</f>
        <v>100</v>
      </c>
      <c r="M55" s="58"/>
    </row>
    <row r="56" spans="2:18" ht="15" hidden="1" customHeight="1" x14ac:dyDescent="0.25">
      <c r="B56" s="49" t="str">
        <f t="shared" si="10"/>
        <v>per 100 referrals</v>
      </c>
      <c r="C56" s="49">
        <f t="shared" si="10"/>
        <v>2.1</v>
      </c>
      <c r="D56" s="49">
        <f t="shared" si="10"/>
        <v>0</v>
      </c>
      <c r="E56" s="49">
        <f>MAX(C56:D56)</f>
        <v>2.1</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0.05</v>
      </c>
      <c r="E57" s="49">
        <f>MAX(C57:D57)</f>
        <v>2.57</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0.03</v>
      </c>
      <c r="E58" s="56">
        <f>MAX(C58:D58)</f>
        <v>1.68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0</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0</v>
      </c>
      <c r="E61" s="49">
        <f>MAX(C61:D61)</f>
        <v>1.4</v>
      </c>
      <c r="G61" s="1" t="str">
        <f>G55</f>
        <v>per 100 arrests</v>
      </c>
      <c r="L61" s="58">
        <f>IF(($E55&gt;0),L55,L54)</f>
        <v>100</v>
      </c>
      <c r="M61" s="58"/>
    </row>
    <row r="62" spans="2:18" ht="15" hidden="1" customHeight="1" x14ac:dyDescent="0.25">
      <c r="B62" s="49" t="str">
        <f t="shared" si="11"/>
        <v>per 100 referrals</v>
      </c>
      <c r="C62" s="49">
        <f t="shared" si="11"/>
        <v>2.1</v>
      </c>
      <c r="D62" s="49">
        <f t="shared" si="11"/>
        <v>0</v>
      </c>
      <c r="E62" s="49">
        <f>MAX(C62:D62)</f>
        <v>2.1</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0.05</v>
      </c>
      <c r="E63" s="49">
        <f>MAX(C63:D63)</f>
        <v>2.57</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0.03</v>
      </c>
      <c r="E64" s="56">
        <f>MAX(C64:D64)</f>
        <v>1.68</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0</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0</v>
      </c>
      <c r="E67" s="49">
        <f>MAX(C67:D67)</f>
        <v>1.4</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0</v>
      </c>
      <c r="E68" s="49">
        <f>MAX(C68:D68)</f>
        <v>2.1</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0.05</v>
      </c>
      <c r="E69" s="49">
        <f>MAX(C69:D69)</f>
        <v>2.57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0.03</v>
      </c>
      <c r="E70" s="56">
        <f>MAX(C70:D70)</f>
        <v>1.68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8" t="str">
        <f>'Data Entry'!J5</f>
        <v>All Minorities</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Entry'!J6</f>
        <v>9382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Entry'!J7</f>
        <v>183</v>
      </c>
      <c r="F7" s="34">
        <f>IF((AND($E$7&gt;0,$D$66&gt;0)),($E$7/$D$66),0)</f>
        <v>19.505435941163931</v>
      </c>
      <c r="G7" s="39">
        <f t="shared" ref="G7:G15" si="0">IF(L$6=100,"*",IF(M7=FALSE,"--",IF(K7=20,"**",($F7/$D7))))</f>
        <v>2.8383195785242257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183</v>
      </c>
      <c r="O7" s="42">
        <f>E6-E7</f>
        <v>9199</v>
      </c>
      <c r="P7" s="42">
        <f t="shared" ref="P7:P15" si="4">C7</f>
        <v>140</v>
      </c>
      <c r="Q7" s="42">
        <f>C6-C7</f>
        <v>20232</v>
      </c>
      <c r="R7" s="42">
        <f t="shared" ref="R7:R15" si="5">SUM(N7:Q7)</f>
        <v>29754</v>
      </c>
      <c r="S7" s="30">
        <f t="shared" ref="S7:S15" si="6">R7*((((N7*Q7)-(O7*P7))^2))</f>
        <v>1.7347396793104886E+17</v>
      </c>
      <c r="T7" s="30">
        <f t="shared" ref="T7:T15" si="7">(N7+O7)*(P7+Q7)*(N7+P7)*(O7+Q7)</f>
        <v>1816923479336152</v>
      </c>
      <c r="U7" s="31">
        <f t="shared" ref="U7:U15" si="8">IF((S7&gt;0),S7/T7,"- -")</f>
        <v>95.476760526222563</v>
      </c>
    </row>
    <row r="8" spans="2:21" ht="18" customHeight="1" x14ac:dyDescent="0.25">
      <c r="B8" s="32" t="str">
        <f>'Data Entry'!A8</f>
        <v>3. Refer to Juvenile Court</v>
      </c>
      <c r="C8" s="33">
        <f>'Data Entry'!C8</f>
        <v>210</v>
      </c>
      <c r="D8" s="34">
        <f>IF((AND(C67&gt;0,C8&gt;0)),(C8/C67),0)</f>
        <v>150</v>
      </c>
      <c r="E8" s="33">
        <f>'Data Entry'!J8</f>
        <v>264</v>
      </c>
      <c r="F8" s="34">
        <f>IF((AND($E$8&gt;0,$D$67&gt;0)),($E8/$D67),0)</f>
        <v>144.26229508196721</v>
      </c>
      <c r="G8" s="39">
        <f t="shared" si="0"/>
        <v>0.96174863387978138</v>
      </c>
      <c r="H8" s="40"/>
      <c r="I8" s="41"/>
      <c r="J8" s="40">
        <f>IF((ABS($U8)&gt;Defaults!D$7),1,2)</f>
        <v>2</v>
      </c>
      <c r="K8" s="39">
        <f>IF((AND(N8&gt;Defaults!B$12,(N8+O8)&gt;Defaults!B$13, P8 &gt; Defaults!B$12, (P8+Q8) &gt; Defaults!B$13)),1,20)</f>
        <v>1</v>
      </c>
      <c r="L8" s="1">
        <f t="shared" si="1"/>
        <v>2</v>
      </c>
      <c r="M8" s="1" t="b">
        <f t="shared" si="2"/>
        <v>1</v>
      </c>
      <c r="N8" s="42">
        <f t="shared" si="3"/>
        <v>264</v>
      </c>
      <c r="O8" s="42">
        <f>((D67*L67)-E8)+0.05</f>
        <v>-80.95</v>
      </c>
      <c r="P8" s="42">
        <f t="shared" si="4"/>
        <v>210</v>
      </c>
      <c r="Q8" s="42">
        <f>(C$67*L67)-C8</f>
        <v>-70</v>
      </c>
      <c r="R8" s="42">
        <f t="shared" si="5"/>
        <v>323.05</v>
      </c>
      <c r="S8" s="30">
        <f t="shared" si="6"/>
        <v>708086914.76250005</v>
      </c>
      <c r="T8" s="30">
        <f t="shared" si="7"/>
        <v>-1833619538.0999999</v>
      </c>
      <c r="U8" s="31">
        <f t="shared" si="8"/>
        <v>-0.38616894074777425</v>
      </c>
    </row>
    <row r="9" spans="2:21" ht="18" customHeight="1" x14ac:dyDescent="0.25">
      <c r="B9" s="32" t="str">
        <f>'Data Entry'!A9</f>
        <v xml:space="preserve">4. Cases Diverted </v>
      </c>
      <c r="C9" s="33">
        <f>'Data Entry'!C9</f>
        <v>52</v>
      </c>
      <c r="D9" s="34">
        <f>IF((AND(C68&gt;0,C9&gt;0)),((C9/C68)),0)</f>
        <v>24.761904761904759</v>
      </c>
      <c r="E9" s="33">
        <f>'Data Entry'!J9</f>
        <v>48</v>
      </c>
      <c r="F9" s="34">
        <f>IF((AND($E$9&gt;0,$D$68&gt;0)),(($E$9/$D$68)),0)</f>
        <v>18.18181818181818</v>
      </c>
      <c r="G9" s="39">
        <f t="shared" si="0"/>
        <v>0.73426573426573427</v>
      </c>
      <c r="H9" s="40"/>
      <c r="I9" s="41"/>
      <c r="J9" s="40">
        <f>IF((ABS($U9)&gt;Defaults!D$7),1,2)</f>
        <v>2</v>
      </c>
      <c r="K9" s="39">
        <f>IF((AND(N9&gt;Defaults!B$12,(N9+O9)&gt;Defaults!B$13, P9 &gt; Defaults!B$12, (P9+Q9) &gt; Defaults!B$13)),1,20)</f>
        <v>1</v>
      </c>
      <c r="L9" s="1">
        <f t="shared" si="1"/>
        <v>2</v>
      </c>
      <c r="M9" s="1" t="b">
        <f t="shared" si="2"/>
        <v>1</v>
      </c>
      <c r="N9" s="42">
        <f t="shared" si="3"/>
        <v>48</v>
      </c>
      <c r="O9" s="42">
        <f>(D$68*L68)-E9</f>
        <v>216</v>
      </c>
      <c r="P9" s="42">
        <f t="shared" si="4"/>
        <v>52</v>
      </c>
      <c r="Q9" s="42">
        <f>(C$68*L68)-C9</f>
        <v>158</v>
      </c>
      <c r="R9" s="42">
        <f t="shared" si="5"/>
        <v>474</v>
      </c>
      <c r="S9" s="30">
        <f t="shared" si="6"/>
        <v>6307946496</v>
      </c>
      <c r="T9" s="30">
        <f t="shared" si="7"/>
        <v>2073456000</v>
      </c>
      <c r="U9" s="31">
        <f t="shared" si="8"/>
        <v>3.0422379331898051</v>
      </c>
    </row>
    <row r="10" spans="2:21" ht="18" customHeight="1" x14ac:dyDescent="0.25">
      <c r="B10" s="32" t="str">
        <f>'Data Entry'!A10</f>
        <v>5. Cases Involving Secure Detention</v>
      </c>
      <c r="C10" s="33">
        <f>'Data Entry'!C10</f>
        <v>23</v>
      </c>
      <c r="D10" s="34">
        <f>IF(((AND(C68&gt;0,C10&gt;0))),(C10/(C68)),0)</f>
        <v>10.952380952380953</v>
      </c>
      <c r="E10" s="33">
        <f>'Data Entry'!J10</f>
        <v>70</v>
      </c>
      <c r="F10" s="34">
        <f>IF(((AND($E$10&gt;0,$D$68&gt;0))),($E$10/($D$68)),0)</f>
        <v>26.515151515151516</v>
      </c>
      <c r="G10" s="39">
        <f t="shared" si="0"/>
        <v>2.4209486166007905</v>
      </c>
      <c r="H10" s="40"/>
      <c r="I10" s="41"/>
      <c r="J10" s="40">
        <f>IF((ABS($U10)&gt;Defaults!D$7),1,2)</f>
        <v>1</v>
      </c>
      <c r="K10" s="39">
        <f>IF((AND(N10&gt;Defaults!B$12,(N10+O10)&gt;Defaults!B$13, P10 &gt; Defaults!B$12, (P10+Q10) &gt; Defaults!B$13)),1,20)</f>
        <v>1</v>
      </c>
      <c r="L10" s="1">
        <f t="shared" si="1"/>
        <v>1</v>
      </c>
      <c r="M10" s="1" t="b">
        <f t="shared" si="2"/>
        <v>1</v>
      </c>
      <c r="N10" s="42">
        <f t="shared" si="3"/>
        <v>70</v>
      </c>
      <c r="O10" s="42">
        <f>(D$68*L68)-E10</f>
        <v>194</v>
      </c>
      <c r="P10" s="42">
        <f t="shared" si="4"/>
        <v>23</v>
      </c>
      <c r="Q10" s="42">
        <f>(C$68*L68)-C10</f>
        <v>187</v>
      </c>
      <c r="R10" s="42">
        <f t="shared" si="5"/>
        <v>474</v>
      </c>
      <c r="S10" s="30">
        <f t="shared" si="6"/>
        <v>35285690016</v>
      </c>
      <c r="T10" s="30">
        <f t="shared" si="7"/>
        <v>1964405520</v>
      </c>
      <c r="U10" s="31">
        <f t="shared" si="8"/>
        <v>17.962528437610988</v>
      </c>
    </row>
    <row r="11" spans="2:21" ht="18" customHeight="1" x14ac:dyDescent="0.25">
      <c r="B11" s="32" t="str">
        <f>'Data Entry'!A11</f>
        <v>6. Cases Petitioned (Charge Filed)</v>
      </c>
      <c r="C11" s="33">
        <f>'Data Entry'!C11</f>
        <v>257</v>
      </c>
      <c r="D11" s="34">
        <f>IF(((AND(C68&gt;0,C11&gt;0))),(C11/(C68)),0)</f>
        <v>122.38095238095238</v>
      </c>
      <c r="E11" s="33">
        <f>'Data Entry'!J11</f>
        <v>312</v>
      </c>
      <c r="F11" s="34">
        <f>IF(((AND($E$11&gt;0,$D$68&gt;0))),($E$11/($D$68)),0)</f>
        <v>118.18181818181817</v>
      </c>
      <c r="G11" s="39">
        <f t="shared" si="0"/>
        <v>0.96568800848956482</v>
      </c>
      <c r="H11" s="40"/>
      <c r="I11" s="41"/>
      <c r="J11" s="40">
        <f>IF((ABS($U11)&gt;Defaults!D$7),1,2)</f>
        <v>2</v>
      </c>
      <c r="K11" s="39">
        <f>IF((AND(N11&gt;Defaults!B$12,(N11+O11)&gt;Defaults!B$13, P11 &gt; Defaults!B$12, (P11+Q11) &gt; Defaults!B$13)),1,20)</f>
        <v>1</v>
      </c>
      <c r="L11" s="1">
        <f t="shared" si="1"/>
        <v>2</v>
      </c>
      <c r="M11" s="1" t="b">
        <f t="shared" si="2"/>
        <v>1</v>
      </c>
      <c r="N11" s="42">
        <f t="shared" si="3"/>
        <v>312</v>
      </c>
      <c r="O11" s="42">
        <f>(D$68*L68)-E11</f>
        <v>-48</v>
      </c>
      <c r="P11" s="42">
        <f t="shared" si="4"/>
        <v>257</v>
      </c>
      <c r="Q11" s="42">
        <f>(C$68*L68)-C11</f>
        <v>-47</v>
      </c>
      <c r="R11" s="42">
        <f t="shared" si="5"/>
        <v>474</v>
      </c>
      <c r="S11" s="30">
        <f t="shared" si="6"/>
        <v>2568882816</v>
      </c>
      <c r="T11" s="30">
        <f t="shared" si="7"/>
        <v>-2996809200</v>
      </c>
      <c r="U11" s="31">
        <f t="shared" si="8"/>
        <v>-0.85720599629766214</v>
      </c>
    </row>
    <row r="12" spans="2:21" ht="18" customHeight="1" x14ac:dyDescent="0.25">
      <c r="B12" s="32" t="str">
        <f>'Data Entry'!A12</f>
        <v>7. Cases Resulting in Delinquent Findings</v>
      </c>
      <c r="C12" s="33">
        <f>'Data Entry'!C12</f>
        <v>168</v>
      </c>
      <c r="D12" s="34">
        <f>IF(((AND(C69&gt;0,C12&gt;0))),(C12/(C69)),0)</f>
        <v>65.36964980544748</v>
      </c>
      <c r="E12" s="33">
        <f>'Data Entry'!J12</f>
        <v>281</v>
      </c>
      <c r="F12" s="34">
        <f>IF(((AND($D$69&gt;0,$E$12&gt;0))),(E12/(D69)),0)</f>
        <v>90.064102564102555</v>
      </c>
      <c r="G12" s="39">
        <f t="shared" si="0"/>
        <v>1.3777663308913306</v>
      </c>
      <c r="H12" s="40"/>
      <c r="I12" s="41"/>
      <c r="J12" s="40">
        <f>IF((ABS($U12)&gt;Defaults!D$7),1,2)</f>
        <v>1</v>
      </c>
      <c r="K12" s="39">
        <f>IF((AND(N12&gt;Defaults!B$12,(N12+O12)&gt;Defaults!B$13, P12 &gt; Defaults!B$12, (P12+Q12) &gt; Defaults!B$13)),1,20)</f>
        <v>1</v>
      </c>
      <c r="L12" s="1">
        <f t="shared" si="1"/>
        <v>1</v>
      </c>
      <c r="M12" s="1" t="b">
        <f t="shared" si="2"/>
        <v>1</v>
      </c>
      <c r="N12" s="42">
        <f t="shared" si="3"/>
        <v>281</v>
      </c>
      <c r="O12" s="42">
        <f>(D69*L69)-E12</f>
        <v>31</v>
      </c>
      <c r="P12" s="42">
        <f t="shared" si="4"/>
        <v>168</v>
      </c>
      <c r="Q12" s="42">
        <f>(C69*L69)-C12</f>
        <v>89</v>
      </c>
      <c r="R12" s="42">
        <f t="shared" si="5"/>
        <v>569</v>
      </c>
      <c r="S12" s="30">
        <f t="shared" si="6"/>
        <v>223093292969</v>
      </c>
      <c r="T12" s="30">
        <f t="shared" si="7"/>
        <v>4320313920</v>
      </c>
      <c r="U12" s="31">
        <f t="shared" si="8"/>
        <v>51.638213588192222</v>
      </c>
    </row>
    <row r="13" spans="2:21" ht="18" customHeight="1" x14ac:dyDescent="0.25">
      <c r="B13" s="32" t="str">
        <f>'Data Entry'!A13</f>
        <v>8. Cases Resulting in Probation Placement</v>
      </c>
      <c r="C13" s="33">
        <f>'Data Entry'!C13</f>
        <v>96</v>
      </c>
      <c r="D13" s="34">
        <f>IF(((AND(C70&gt;0,C13&gt;0))),(C13/(C70)),0)</f>
        <v>57.142857142857146</v>
      </c>
      <c r="E13" s="33">
        <f>'Data Entry'!J13</f>
        <v>133</v>
      </c>
      <c r="F13" s="34">
        <f>IF(((AND($D$70&gt;0,$E$13&gt;0))),($E$13/($D$70)),0)</f>
        <v>47.330960854092524</v>
      </c>
      <c r="G13" s="39">
        <f t="shared" si="0"/>
        <v>0.82829181494661908</v>
      </c>
      <c r="H13" s="40"/>
      <c r="I13" s="41"/>
      <c r="J13" s="40">
        <f>IF((ABS($U13)&gt;Defaults!D$7),1,2)</f>
        <v>1</v>
      </c>
      <c r="K13" s="39">
        <f>IF((AND(N13&gt;Defaults!B$12,(N13+O13)&gt;Defaults!B$13, P13 &gt; Defaults!B$12, (P13+Q13) &gt; Defaults!B$13)),1,20)</f>
        <v>1</v>
      </c>
      <c r="L13" s="1">
        <f t="shared" si="1"/>
        <v>1</v>
      </c>
      <c r="M13" s="1" t="b">
        <f t="shared" si="2"/>
        <v>1</v>
      </c>
      <c r="N13" s="42">
        <f t="shared" si="3"/>
        <v>133</v>
      </c>
      <c r="O13" s="42">
        <f>(D70*L70)-E13</f>
        <v>148</v>
      </c>
      <c r="P13" s="42">
        <f t="shared" si="4"/>
        <v>96</v>
      </c>
      <c r="Q13" s="42">
        <f>(C70*L70)-C13</f>
        <v>72</v>
      </c>
      <c r="R13" s="42">
        <f t="shared" si="5"/>
        <v>449</v>
      </c>
      <c r="S13" s="30">
        <f t="shared" si="6"/>
        <v>9633485376</v>
      </c>
      <c r="T13" s="30">
        <f t="shared" si="7"/>
        <v>2378339040</v>
      </c>
      <c r="U13" s="31">
        <f t="shared" si="8"/>
        <v>4.0505097103396999</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Entry'!J14</f>
        <v>175</v>
      </c>
      <c r="F14" s="34">
        <f>IF(((AND($D$70&gt;0,$E$14&gt;0))), (($E$14/($D$70))),0)</f>
        <v>62.277580071174377</v>
      </c>
      <c r="G14" s="39">
        <f t="shared" si="0"/>
        <v>1.7151858117962779</v>
      </c>
      <c r="H14" s="40"/>
      <c r="I14" s="41"/>
      <c r="J14" s="40">
        <f>IF((ABS($U14)&gt;Defaults!D$7),1,2)</f>
        <v>1</v>
      </c>
      <c r="K14" s="39">
        <f>IF((AND(N14&gt;Defaults!B$12,(N14+O14)&gt;Defaults!B$13, P14 &gt; Defaults!B$12, (P14+Q14) &gt; Defaults!B$13)),1,20)</f>
        <v>1</v>
      </c>
      <c r="L14" s="1">
        <f t="shared" si="1"/>
        <v>1</v>
      </c>
      <c r="M14" s="1" t="b">
        <f t="shared" si="2"/>
        <v>1</v>
      </c>
      <c r="N14" s="42">
        <f t="shared" si="3"/>
        <v>175</v>
      </c>
      <c r="O14" s="42">
        <f>(D70*L70)-E14</f>
        <v>106</v>
      </c>
      <c r="P14" s="42">
        <f t="shared" si="4"/>
        <v>61</v>
      </c>
      <c r="Q14" s="42">
        <f>(C70*L70)-C14</f>
        <v>107</v>
      </c>
      <c r="R14" s="42">
        <f t="shared" si="5"/>
        <v>449</v>
      </c>
      <c r="S14" s="30">
        <f t="shared" si="6"/>
        <v>67477103369</v>
      </c>
      <c r="T14" s="30">
        <f t="shared" si="7"/>
        <v>2373051744</v>
      </c>
      <c r="U14" s="31">
        <f t="shared" si="8"/>
        <v>28.434737480802273</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312</v>
      </c>
      <c r="P15" s="42">
        <f t="shared" si="4"/>
        <v>0</v>
      </c>
      <c r="Q15" s="42">
        <f>(C69*L69)-C15</f>
        <v>257</v>
      </c>
      <c r="R15" s="42">
        <f t="shared" si="5"/>
        <v>569</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9.3819999999999997</v>
      </c>
      <c r="E42" s="56">
        <f>MAX(C42:D42)</f>
        <v>20.372</v>
      </c>
      <c r="G42" s="1" t="str">
        <f>B42</f>
        <v>per 1000 youth</v>
      </c>
      <c r="L42" s="57">
        <v>1000</v>
      </c>
      <c r="M42" s="57"/>
      <c r="R42" s="49"/>
    </row>
    <row r="43" spans="2:18" ht="15" hidden="1" customHeight="1" x14ac:dyDescent="0.25">
      <c r="B43" s="49" t="s">
        <v>88</v>
      </c>
      <c r="C43" s="56">
        <f>C7/100</f>
        <v>1.4</v>
      </c>
      <c r="D43" s="56">
        <f>E7/100</f>
        <v>1.83</v>
      </c>
      <c r="E43" s="56">
        <f>MAX(C43:D43,0)</f>
        <v>1.83</v>
      </c>
      <c r="G43" s="1" t="str">
        <f>B43</f>
        <v>per 100 arrests</v>
      </c>
      <c r="L43" s="57">
        <v>100</v>
      </c>
      <c r="M43" s="57"/>
      <c r="R43" s="49"/>
    </row>
    <row r="44" spans="2:18" ht="15" hidden="1" customHeight="1" x14ac:dyDescent="0.25">
      <c r="B44" s="49" t="s">
        <v>89</v>
      </c>
      <c r="C44" s="56">
        <f>C8/100</f>
        <v>2.1</v>
      </c>
      <c r="D44" s="56">
        <f>E8/100</f>
        <v>2.64</v>
      </c>
      <c r="E44" s="56">
        <f>MAX(C44:D44,0)</f>
        <v>2.64</v>
      </c>
      <c r="G44" s="1" t="str">
        <f>B44</f>
        <v>per 100 referrals</v>
      </c>
      <c r="L44" s="57">
        <v>100</v>
      </c>
      <c r="M44" s="57"/>
      <c r="R44" s="49"/>
    </row>
    <row r="45" spans="2:18" ht="15" hidden="1" customHeight="1" x14ac:dyDescent="0.25">
      <c r="B45" s="49" t="s">
        <v>90</v>
      </c>
      <c r="C45" s="49">
        <f>C11/100</f>
        <v>2.57</v>
      </c>
      <c r="D45" s="49">
        <f>E11/100</f>
        <v>3.12</v>
      </c>
      <c r="E45" s="56">
        <f>MAX(C45:D45,0)</f>
        <v>3.12</v>
      </c>
      <c r="G45" s="1" t="str">
        <f>B45</f>
        <v>per 100 youth petitioned</v>
      </c>
      <c r="L45" s="57">
        <v>100</v>
      </c>
      <c r="M45" s="57"/>
      <c r="R45" s="49"/>
    </row>
    <row r="46" spans="2:18" ht="15" hidden="1" customHeight="1" x14ac:dyDescent="0.25">
      <c r="B46" s="49" t="s">
        <v>91</v>
      </c>
      <c r="C46" s="49">
        <f>C12/100</f>
        <v>1.68</v>
      </c>
      <c r="D46" s="49">
        <f>E12/100</f>
        <v>2.81</v>
      </c>
      <c r="E46" s="56">
        <f>MAX(C46:D46)</f>
        <v>2.81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9.3819999999999997</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1.83</v>
      </c>
      <c r="E49" s="49">
        <f>MAX(C49:D49)</f>
        <v>1.83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2.64</v>
      </c>
      <c r="E50" s="49">
        <f>MAX(C50:D50)</f>
        <v>2.64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3.12</v>
      </c>
      <c r="E51" s="49">
        <f>MAX(C51:D51)</f>
        <v>3.12</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2.81</v>
      </c>
      <c r="E52" s="56">
        <f>MAX(C52:D52)</f>
        <v>2.81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9.3819999999999997</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1.83</v>
      </c>
      <c r="E55" s="49">
        <f>MAX(C55:D55)</f>
        <v>1.83</v>
      </c>
      <c r="G55" s="1" t="str">
        <f>G49</f>
        <v>per 100 arrests</v>
      </c>
      <c r="L55" s="58">
        <f>IF(($E49&gt;0),L49,L48)</f>
        <v>100</v>
      </c>
      <c r="M55" s="58"/>
    </row>
    <row r="56" spans="2:18" ht="15" hidden="1" customHeight="1" x14ac:dyDescent="0.25">
      <c r="B56" s="49" t="str">
        <f t="shared" si="10"/>
        <v>per 100 referrals</v>
      </c>
      <c r="C56" s="49">
        <f t="shared" si="10"/>
        <v>2.1</v>
      </c>
      <c r="D56" s="49">
        <f t="shared" si="10"/>
        <v>2.64</v>
      </c>
      <c r="E56" s="49">
        <f>MAX(C56:D56)</f>
        <v>2.64</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3.12</v>
      </c>
      <c r="E57" s="49">
        <f>MAX(C57:D57)</f>
        <v>3.12</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2.81</v>
      </c>
      <c r="E58" s="56">
        <f>MAX(C58:D58)</f>
        <v>2.81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9.3819999999999997</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1.83</v>
      </c>
      <c r="E61" s="49">
        <f>MAX(C61:D61)</f>
        <v>1.83</v>
      </c>
      <c r="G61" s="1" t="str">
        <f>G55</f>
        <v>per 100 arrests</v>
      </c>
      <c r="L61" s="58">
        <f>IF(($E55&gt;0),L55,L54)</f>
        <v>100</v>
      </c>
      <c r="M61" s="58"/>
    </row>
    <row r="62" spans="2:18" ht="15" hidden="1" customHeight="1" x14ac:dyDescent="0.25">
      <c r="B62" s="49" t="str">
        <f t="shared" si="11"/>
        <v>per 100 referrals</v>
      </c>
      <c r="C62" s="49">
        <f t="shared" si="11"/>
        <v>2.1</v>
      </c>
      <c r="D62" s="49">
        <f t="shared" si="11"/>
        <v>2.64</v>
      </c>
      <c r="E62" s="49">
        <f>MAX(C62:D62)</f>
        <v>2.64</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3.12</v>
      </c>
      <c r="E63" s="49">
        <f>MAX(C63:D63)</f>
        <v>3.12</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2.81</v>
      </c>
      <c r="E64" s="56">
        <f>MAX(C64:D64)</f>
        <v>2.81</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9.3819999999999997</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1.83</v>
      </c>
      <c r="E67" s="49">
        <f>MAX(C67:D67)</f>
        <v>1.83</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2.64</v>
      </c>
      <c r="E68" s="49">
        <f>MAX(C68:D68)</f>
        <v>2.64</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3.12</v>
      </c>
      <c r="E69" s="49">
        <f>MAX(C69:D69)</f>
        <v>3.12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2.81</v>
      </c>
      <c r="E70" s="56">
        <f>MAX(C70:D70)</f>
        <v>2.81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96</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1/1/13 through 12/31/13</v>
      </c>
      <c r="I4" s="67"/>
    </row>
    <row r="5" spans="2:18" ht="15" customHeight="1" x14ac:dyDescent="0.25">
      <c r="B5" s="66" t="str">
        <f>'Data Entry'!A3</f>
        <v>County: Washtenaw</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5.0053374599554763</v>
      </c>
      <c r="D7" s="72" t="str">
        <f>Hispanic!G7</f>
        <v>**</v>
      </c>
      <c r="E7" s="72" t="str">
        <f>Asian!G7</f>
        <v>**</v>
      </c>
      <c r="F7" s="72" t="str">
        <f>Hawaiian!G7</f>
        <v>*</v>
      </c>
      <c r="G7" s="72" t="str">
        <f>'Am Indian'!G7</f>
        <v>*</v>
      </c>
      <c r="H7" s="72" t="str">
        <f>'Other - Mixed'!G7</f>
        <v>*</v>
      </c>
      <c r="I7" s="73">
        <f>'All Minorities'!G7</f>
        <v>2.8383195785242257</v>
      </c>
      <c r="L7" s="1">
        <f>'Black or African-American'!L7</f>
        <v>1</v>
      </c>
      <c r="M7" s="1">
        <f>Hispanic!L7</f>
        <v>20</v>
      </c>
      <c r="N7" s="1">
        <f>Asian!L7</f>
        <v>20</v>
      </c>
      <c r="O7" s="1" t="e">
        <f>Hawaiian!L7</f>
        <v>#VALUE!</v>
      </c>
      <c r="P7" s="1">
        <f>'Am Indian'!L7</f>
        <v>139</v>
      </c>
      <c r="Q7" s="1" t="e">
        <f>'Other - Mixed'!L7</f>
        <v>#VALUE!</v>
      </c>
      <c r="R7" s="1">
        <f>'All Minorities'!L7</f>
        <v>1</v>
      </c>
    </row>
    <row r="8" spans="2:18" ht="15" customHeight="1" x14ac:dyDescent="0.25">
      <c r="B8" s="71" t="s">
        <v>9</v>
      </c>
      <c r="C8" s="72">
        <f>'Black or African-American'!$G8</f>
        <v>0.93922651933701651</v>
      </c>
      <c r="D8" s="72" t="str">
        <f>Hispanic!G8</f>
        <v>**</v>
      </c>
      <c r="E8" s="72" t="str">
        <f>Asian!G8</f>
        <v>**</v>
      </c>
      <c r="F8" s="72" t="str">
        <f>Hawaiian!G8</f>
        <v>*</v>
      </c>
      <c r="G8" s="72" t="str">
        <f>'Am Indian'!G8</f>
        <v>*</v>
      </c>
      <c r="H8" s="72" t="str">
        <f>'Other - Mixed'!G8</f>
        <v>*</v>
      </c>
      <c r="I8" s="73">
        <f>'All Minorities'!G8</f>
        <v>0.96174863387978138</v>
      </c>
      <c r="L8" s="1">
        <f>'Black or African-American'!L8</f>
        <v>2</v>
      </c>
      <c r="M8" s="1">
        <f>Hispanic!L8</f>
        <v>20</v>
      </c>
      <c r="N8" s="1">
        <f>Asian!L8</f>
        <v>40</v>
      </c>
      <c r="O8" s="1">
        <f>Hawaiian!L8</f>
        <v>139</v>
      </c>
      <c r="P8" s="1">
        <f>'Am Indian'!L8</f>
        <v>119</v>
      </c>
      <c r="Q8" s="1">
        <f>'Other - Mixed'!L8</f>
        <v>139</v>
      </c>
      <c r="R8" s="1">
        <f>'All Minorities'!L8</f>
        <v>2</v>
      </c>
    </row>
    <row r="9" spans="2:18" ht="15" customHeight="1" x14ac:dyDescent="0.25">
      <c r="B9" s="71" t="s">
        <v>10</v>
      </c>
      <c r="C9" s="72">
        <f>'Black or African-American'!$G9</f>
        <v>0.74434389140271506</v>
      </c>
      <c r="D9" s="72" t="str">
        <f>Hispanic!G9</f>
        <v>**</v>
      </c>
      <c r="E9" s="72" t="str">
        <f>Asian!G9</f>
        <v>**</v>
      </c>
      <c r="F9" s="72" t="str">
        <f>Hawaiian!G9</f>
        <v>*</v>
      </c>
      <c r="G9" s="72" t="str">
        <f>'Am Indian'!G9</f>
        <v>*</v>
      </c>
      <c r="H9" s="72" t="str">
        <f>'Other - Mixed'!G9</f>
        <v>*</v>
      </c>
      <c r="I9" s="73">
        <f>'All Minorities'!G9</f>
        <v>0.73426573426573427</v>
      </c>
      <c r="L9" s="1">
        <f>'Black or African-American'!L9</f>
        <v>2</v>
      </c>
      <c r="M9" s="1">
        <f>Hispanic!L9</f>
        <v>40</v>
      </c>
      <c r="N9" s="1">
        <f>Asian!L9</f>
        <v>40</v>
      </c>
      <c r="O9" s="1" t="e">
        <f>Hawaiian!L9</f>
        <v>#VALUE!</v>
      </c>
      <c r="P9" s="1">
        <f>'Am Indian'!L9</f>
        <v>139</v>
      </c>
      <c r="Q9" s="1" t="e">
        <f>'Other - Mixed'!L9</f>
        <v>#DIV/0!</v>
      </c>
      <c r="R9" s="1">
        <f>'All Minorities'!L9</f>
        <v>2</v>
      </c>
    </row>
    <row r="10" spans="2:18" ht="15" customHeight="1" x14ac:dyDescent="0.25">
      <c r="B10" s="71" t="s">
        <v>11</v>
      </c>
      <c r="C10" s="72">
        <f>'Black or African-American'!$G10</f>
        <v>2.0051150895140664</v>
      </c>
      <c r="D10" s="72" t="str">
        <f>Hispanic!G10</f>
        <v>**</v>
      </c>
      <c r="E10" s="72" t="str">
        <f>Asian!G10</f>
        <v>**</v>
      </c>
      <c r="F10" s="72" t="str">
        <f>Hawaiian!G10</f>
        <v>*</v>
      </c>
      <c r="G10" s="72" t="str">
        <f>'Am Indian'!G10</f>
        <v>*</v>
      </c>
      <c r="H10" s="72" t="str">
        <f>'Other - Mixed'!G10</f>
        <v>*</v>
      </c>
      <c r="I10" s="73">
        <f>'All Minorities'!G10</f>
        <v>2.4209486166007905</v>
      </c>
      <c r="L10" s="1">
        <f>'Black or African-American'!L10</f>
        <v>1</v>
      </c>
      <c r="M10" s="1">
        <f>Hispanic!L10</f>
        <v>20</v>
      </c>
      <c r="N10" s="1">
        <f>Asian!L10</f>
        <v>40</v>
      </c>
      <c r="O10" s="1" t="e">
        <f>Hawaiian!L10</f>
        <v>#VALUE!</v>
      </c>
      <c r="P10" s="1">
        <f>'Am Indian'!L10</f>
        <v>139</v>
      </c>
      <c r="Q10" s="1" t="e">
        <f>'Other - Mixed'!L10</f>
        <v>#DIV/0!</v>
      </c>
      <c r="R10" s="1">
        <f>'All Minorities'!L10</f>
        <v>1</v>
      </c>
    </row>
    <row r="11" spans="2:18" ht="15" customHeight="1" x14ac:dyDescent="0.25">
      <c r="B11" s="71" t="s">
        <v>97</v>
      </c>
      <c r="C11" s="72">
        <f>'Black or African-American'!$G11</f>
        <v>0.9452964065003433</v>
      </c>
      <c r="D11" s="72" t="str">
        <f>Hispanic!G11</f>
        <v>**</v>
      </c>
      <c r="E11" s="72" t="str">
        <f>Asian!G11</f>
        <v>**</v>
      </c>
      <c r="F11" s="72" t="str">
        <f>Hawaiian!G11</f>
        <v>*</v>
      </c>
      <c r="G11" s="72" t="str">
        <f>'Am Indian'!G11</f>
        <v>*</v>
      </c>
      <c r="H11" s="72" t="str">
        <f>'Other - Mixed'!G11</f>
        <v>*</v>
      </c>
      <c r="I11" s="73">
        <f>'All Minorities'!G11</f>
        <v>0.96568800848956482</v>
      </c>
      <c r="L11" s="1">
        <f>'Black or African-American'!L11</f>
        <v>2</v>
      </c>
      <c r="M11" s="1">
        <f>Hispanic!L11</f>
        <v>20</v>
      </c>
      <c r="N11" s="1">
        <f>Asian!L11</f>
        <v>40</v>
      </c>
      <c r="O11" s="1" t="e">
        <f>Hawaiian!L11</f>
        <v>#VALUE!</v>
      </c>
      <c r="P11" s="1">
        <f>'Am Indian'!L11</f>
        <v>119</v>
      </c>
      <c r="Q11" s="1" t="e">
        <f>'Other - Mixed'!L11</f>
        <v>#DIV/0!</v>
      </c>
      <c r="R11" s="1">
        <f>'All Minorities'!L11</f>
        <v>2</v>
      </c>
    </row>
    <row r="12" spans="2:18" ht="15" customHeight="1" x14ac:dyDescent="0.25">
      <c r="B12" s="71" t="s">
        <v>13</v>
      </c>
      <c r="C12" s="72">
        <f>'Black or African-American'!$G12</f>
        <v>1.4156779661016947</v>
      </c>
      <c r="D12" s="72" t="str">
        <f>Hispanic!G12</f>
        <v>**</v>
      </c>
      <c r="E12" s="72" t="str">
        <f>Asian!G12</f>
        <v>**</v>
      </c>
      <c r="F12" s="72" t="str">
        <f>Hawaiian!G12</f>
        <v>*</v>
      </c>
      <c r="G12" s="72" t="str">
        <f>'Am Indian'!G12</f>
        <v>*</v>
      </c>
      <c r="H12" s="72" t="str">
        <f>'Other - Mixed'!G12</f>
        <v>*</v>
      </c>
      <c r="I12" s="73">
        <f>'All Minorities'!G12</f>
        <v>1.3777663308913306</v>
      </c>
      <c r="L12" s="1">
        <f>'Black or African-American'!L12</f>
        <v>1</v>
      </c>
      <c r="M12" s="1">
        <f>Hispanic!L12</f>
        <v>40</v>
      </c>
      <c r="N12" s="1">
        <f>Asian!L12</f>
        <v>20</v>
      </c>
      <c r="O12" s="1" t="e">
        <f>Hawaiian!L12</f>
        <v>#VALUE!</v>
      </c>
      <c r="P12" s="1" t="e">
        <f>'Am Indian'!L12</f>
        <v>#VALUE!</v>
      </c>
      <c r="Q12" s="1">
        <f>'Other - Mixed'!L12</f>
        <v>139</v>
      </c>
      <c r="R12" s="1">
        <f>'All Minorities'!L12</f>
        <v>1</v>
      </c>
    </row>
    <row r="13" spans="2:18" ht="15" customHeight="1" x14ac:dyDescent="0.25">
      <c r="B13" s="71" t="s">
        <v>14</v>
      </c>
      <c r="C13" s="72">
        <f>'Black or African-American'!$G13</f>
        <v>0.82692307692307687</v>
      </c>
      <c r="D13" s="72" t="str">
        <f>Hispanic!G13</f>
        <v>**</v>
      </c>
      <c r="E13" s="72" t="str">
        <f>Asian!G13</f>
        <v>--</v>
      </c>
      <c r="F13" s="72" t="str">
        <f>Hawaiian!G13</f>
        <v>*</v>
      </c>
      <c r="G13" s="72" t="str">
        <f>'Am Indian'!G13</f>
        <v>*</v>
      </c>
      <c r="H13" s="72" t="str">
        <f>'Other - Mixed'!G13</f>
        <v>*</v>
      </c>
      <c r="I13" s="73">
        <f>'All Minorities'!G13</f>
        <v>0.82829181494661908</v>
      </c>
      <c r="L13" s="1">
        <f>'Black or African-American'!L13</f>
        <v>1</v>
      </c>
      <c r="M13" s="1">
        <f>Hispanic!L13</f>
        <v>40</v>
      </c>
      <c r="N13" s="1" t="e">
        <f>Asian!L13</f>
        <v>#VALUE!</v>
      </c>
      <c r="O13" s="1" t="e">
        <f>Hawaiian!L13</f>
        <v>#VALUE!</v>
      </c>
      <c r="P13" s="1" t="e">
        <f>'Am Indian'!L13</f>
        <v>#VALUE!</v>
      </c>
      <c r="Q13" s="1">
        <f>'Other - Mixed'!L13</f>
        <v>139</v>
      </c>
      <c r="R13" s="1">
        <f>'All Minorities'!L13</f>
        <v>1</v>
      </c>
    </row>
    <row r="14" spans="2:18" ht="25.5" customHeight="1" x14ac:dyDescent="0.25">
      <c r="B14" s="71" t="s">
        <v>15</v>
      </c>
      <c r="C14" s="72">
        <f>'Black or African-American'!$G14</f>
        <v>1.2408575031525853</v>
      </c>
      <c r="D14" s="72" t="str">
        <f>Hispanic!G14</f>
        <v>**</v>
      </c>
      <c r="E14" s="72" t="str">
        <f>Asian!G14</f>
        <v>--</v>
      </c>
      <c r="F14" s="72" t="str">
        <f>Hawaiian!G14</f>
        <v>*</v>
      </c>
      <c r="G14" s="72" t="str">
        <f>'Am Indian'!G14</f>
        <v>*</v>
      </c>
      <c r="H14" s="72" t="str">
        <f>'Other - Mixed'!G14</f>
        <v>*</v>
      </c>
      <c r="I14" s="73">
        <f>'All Minorities'!G14</f>
        <v>1.7151858117962779</v>
      </c>
      <c r="L14" s="1">
        <f>'Black or African-American'!L14</f>
        <v>2</v>
      </c>
      <c r="M14" s="1">
        <f>Hispanic!L14</f>
        <v>20</v>
      </c>
      <c r="N14" s="1" t="e">
        <f>Asian!L14</f>
        <v>#VALUE!</v>
      </c>
      <c r="O14" s="1" t="e">
        <f>Hawaiian!L14</f>
        <v>#VALUE!</v>
      </c>
      <c r="P14" s="1" t="e">
        <f>'Am Indian'!L14</f>
        <v>#VALUE!</v>
      </c>
      <c r="Q14" s="1">
        <f>'Other - Mixed'!L14</f>
        <v>119</v>
      </c>
      <c r="R14" s="1">
        <f>'All Minorities'!L14</f>
        <v>1</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98</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t="str">
        <f>'Black or African-American'!B16</f>
        <v>release 10/17/05</v>
      </c>
      <c r="C18" s="77"/>
      <c r="D18" s="77"/>
      <c r="E18" s="77"/>
      <c r="F18" s="77"/>
      <c r="G18" s="77"/>
      <c r="H18" s="77"/>
      <c r="I18" s="78"/>
    </row>
    <row r="20" spans="2:9" ht="15" customHeight="1" x14ac:dyDescent="0.25">
      <c r="B20" s="1" t="s">
        <v>52</v>
      </c>
    </row>
    <row r="21" spans="2:9" ht="15" customHeight="1" x14ac:dyDescent="0.25">
      <c r="B21" s="1" t="s">
        <v>53</v>
      </c>
      <c r="D21" s="45" t="s">
        <v>54</v>
      </c>
    </row>
    <row r="22" spans="2:9" ht="15" customHeight="1" x14ac:dyDescent="0.25">
      <c r="B22" s="1" t="s">
        <v>55</v>
      </c>
      <c r="D22" s="1" t="s">
        <v>56</v>
      </c>
    </row>
    <row r="23" spans="2:9" ht="15" customHeight="1" x14ac:dyDescent="0.25">
      <c r="B23" s="1" t="s">
        <v>57</v>
      </c>
      <c r="D23" s="1" t="s">
        <v>58</v>
      </c>
    </row>
    <row r="24" spans="2:9" ht="15" customHeight="1" x14ac:dyDescent="0.25">
      <c r="B24" s="1" t="s">
        <v>59</v>
      </c>
      <c r="D24" s="1" t="s">
        <v>60</v>
      </c>
    </row>
    <row r="25" spans="2:9" ht="15" customHeight="1" x14ac:dyDescent="0.25">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99</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28154</v>
      </c>
      <c r="D3" s="57">
        <f>'Data Entry'!C6</f>
        <v>20372</v>
      </c>
      <c r="E3" s="57">
        <f>'Data Entry'!D6</f>
        <v>5262</v>
      </c>
      <c r="F3" s="57">
        <f>'Data Entry'!E6</f>
        <v>1600</v>
      </c>
      <c r="G3" s="57">
        <f>'Data Entry'!F6</f>
        <v>2316</v>
      </c>
      <c r="H3" s="57">
        <f>'Data Entry'!G6</f>
        <v>0</v>
      </c>
      <c r="I3" s="57">
        <f>'Data Entry'!H6</f>
        <v>204</v>
      </c>
      <c r="J3" s="57">
        <f>'Data Entry'!I6</f>
        <v>0</v>
      </c>
      <c r="K3" s="57">
        <f>'Data Entry'!J6</f>
        <v>9382</v>
      </c>
    </row>
    <row r="4" spans="2:11" ht="15" customHeight="1" x14ac:dyDescent="0.25">
      <c r="B4" s="16" t="s">
        <v>8</v>
      </c>
      <c r="C4" s="1">
        <f>IF((C$3&gt;0),(1000*('Data Entry'!B7/'Data Entry'!B$6)), 0)</f>
        <v>12.076436740782837</v>
      </c>
      <c r="D4" s="1">
        <f>IF((D$3&gt;0),(1000*('Data Entry'!C7/'Data Entry'!C$6)), 0)</f>
        <v>6.8721774985273907</v>
      </c>
      <c r="E4" s="1">
        <f>IF((E$3&gt;0),(1000*('Data Entry'!D7/'Data Entry'!D$6)), 0)</f>
        <v>34.397567464842268</v>
      </c>
      <c r="F4" s="1">
        <f>IF((F$3&gt;0),(1000*('Data Entry'!E7/'Data Entry'!E$6)), 0)</f>
        <v>0.625</v>
      </c>
      <c r="G4" s="1">
        <f>IF((G$3&gt;0),(1000*('Data Entry'!F7/'Data Entry'!F$6)), 0)</f>
        <v>0.43177892918825561</v>
      </c>
      <c r="H4" s="1">
        <f>IF((H$3&gt;0),(1000*('Data Entry'!G7/'Data Entry'!G$6)), 0)</f>
        <v>0</v>
      </c>
      <c r="I4" s="1">
        <f>IF((I$3&gt;0),(1000*('Data Entry'!H7/'Data Entry'!H$6)), 0)</f>
        <v>0</v>
      </c>
      <c r="J4" s="1">
        <f>IF((J$3&gt;0),(1000*('Data Entry'!I7/'Data Entry'!I$6)), 0)</f>
        <v>0</v>
      </c>
      <c r="K4" s="1">
        <f>IF((K$3&gt;0),(1000*('Data Entry'!J7/'Data Entry'!J$6)), 0)</f>
        <v>19.505435941163931</v>
      </c>
    </row>
    <row r="5" spans="2:11" ht="15" customHeight="1" x14ac:dyDescent="0.25">
      <c r="B5" s="16" t="s">
        <v>9</v>
      </c>
      <c r="C5" s="1">
        <f>IF((C$3&gt;0),(1000*('Data Entry'!B8/'Data Entry'!B$6)), 0)</f>
        <v>17.155643958229735</v>
      </c>
      <c r="D5" s="1">
        <f>IF((D$3&gt;0),(1000*('Data Entry'!C8/'Data Entry'!C$6)), 0)</f>
        <v>10.308266247791087</v>
      </c>
      <c r="E5" s="1">
        <f>IF((E$3&gt;0),(1000*('Data Entry'!D8/'Data Entry'!D$6)), 0)</f>
        <v>48.460661345496007</v>
      </c>
      <c r="F5" s="1">
        <f>IF((F$3&gt;0),(1000*('Data Entry'!E8/'Data Entry'!E$6)), 0)</f>
        <v>2.5</v>
      </c>
      <c r="G5" s="1">
        <f>IF((G$3&gt;0),(1000*('Data Entry'!F8/'Data Entry'!F$6)), 0)</f>
        <v>1.2953367875647668</v>
      </c>
      <c r="H5" s="1">
        <f>IF((H$3&gt;0),(1000*('Data Entry'!G8/'Data Entry'!G$6)), 0)</f>
        <v>0</v>
      </c>
      <c r="I5" s="1">
        <f>IF((I$3&gt;0),(1000*('Data Entry'!H8/'Data Entry'!H$6)), 0)</f>
        <v>9.8039215686274517</v>
      </c>
      <c r="J5" s="1">
        <f>IF((J$3&gt;0),(1000*('Data Entry'!I8/'Data Entry'!I$6)), 0)</f>
        <v>0</v>
      </c>
      <c r="K5" s="1">
        <f>IF((K$3&gt;0),(1000*('Data Entry'!J8/'Data Entry'!J$6)), 0)</f>
        <v>28.138989554465997</v>
      </c>
    </row>
    <row r="6" spans="2:11" ht="15" customHeight="1" x14ac:dyDescent="0.25">
      <c r="B6" s="16" t="s">
        <v>10</v>
      </c>
      <c r="C6" s="1">
        <f>IF((C$3&gt;0),(1000*('Data Entry'!B9/'Data Entry'!B$6)), 0)</f>
        <v>3.5874120906443134</v>
      </c>
      <c r="D6" s="1">
        <f>IF((D$3&gt;0),(1000*('Data Entry'!C9/'Data Entry'!C$6)), 0)</f>
        <v>2.5525230708816022</v>
      </c>
      <c r="E6" s="1">
        <f>IF((E$3&gt;0),(1000*('Data Entry'!D9/'Data Entry'!D$6)), 0)</f>
        <v>8.931965032307108</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5.1161799189938177</v>
      </c>
    </row>
    <row r="7" spans="2:11" ht="15" customHeight="1" x14ac:dyDescent="0.25">
      <c r="B7" s="16" t="s">
        <v>11</v>
      </c>
      <c r="C7" s="1">
        <f>IF((C$3&gt;0),(1000*('Data Entry'!B10/'Data Entry'!B$6)), 0)</f>
        <v>3.3387795695105491</v>
      </c>
      <c r="D7" s="1">
        <f>IF((D$3&gt;0),(1000*('Data Entry'!C10/'Data Entry'!C$6)), 0)</f>
        <v>1.1290005890437855</v>
      </c>
      <c r="E7" s="1">
        <f>IF((E$3&gt;0),(1000*('Data Entry'!D10/'Data Entry'!D$6)), 0)</f>
        <v>10.642341315089318</v>
      </c>
      <c r="F7" s="1">
        <f>IF((F$3&gt;0),(1000*('Data Entry'!E10/'Data Entry'!E$6)), 0)</f>
        <v>2.5</v>
      </c>
      <c r="G7" s="1">
        <f>IF((G$3&gt;0),(1000*('Data Entry'!F10/'Data Entry'!F$6)), 0)</f>
        <v>0</v>
      </c>
      <c r="H7" s="1">
        <f>IF((H$3&gt;0),(1000*('Data Entry'!G10/'Data Entry'!G$6)), 0)</f>
        <v>0</v>
      </c>
      <c r="I7" s="1">
        <f>IF((I$3&gt;0),(1000*('Data Entry'!H10/'Data Entry'!H$6)), 0)</f>
        <v>4.9019607843137258</v>
      </c>
      <c r="J7" s="1">
        <f>IF((J$3&gt;0),(1000*('Data Entry'!I10/'Data Entry'!I$6)), 0)</f>
        <v>0</v>
      </c>
      <c r="K7" s="1">
        <f>IF((K$3&gt;0),(1000*('Data Entry'!J10/'Data Entry'!J$6)), 0)</f>
        <v>7.4610957151993178</v>
      </c>
    </row>
    <row r="8" spans="2:11" ht="15" customHeight="1" x14ac:dyDescent="0.25">
      <c r="B8" s="16" t="s">
        <v>97</v>
      </c>
      <c r="C8" s="1">
        <f>IF((C$3&gt;0),(1000*('Data Entry'!B11/'Data Entry'!B$6)), 0)</f>
        <v>20.494423527740288</v>
      </c>
      <c r="D8" s="1">
        <f>IF((D$3&gt;0),(1000*('Data Entry'!C11/'Data Entry'!C$6)), 0)</f>
        <v>12.615354408010996</v>
      </c>
      <c r="E8" s="1">
        <f>IF((E$3&gt;0),(1000*('Data Entry'!D11/'Data Entry'!D$6)), 0)</f>
        <v>56.062333713416947</v>
      </c>
      <c r="F8" s="1">
        <f>IF((F$3&gt;0),(1000*('Data Entry'!E11/'Data Entry'!E$6)), 0)</f>
        <v>5</v>
      </c>
      <c r="G8" s="1">
        <f>IF((G$3&gt;0),(1000*('Data Entry'!F11/'Data Entry'!F$6)), 0)</f>
        <v>1.7271157167530224</v>
      </c>
      <c r="H8" s="1">
        <f>IF((H$3&gt;0),(1000*('Data Entry'!G11/'Data Entry'!G$6)), 0)</f>
        <v>0</v>
      </c>
      <c r="I8" s="1">
        <f>IF((I$3&gt;0),(1000*('Data Entry'!H11/'Data Entry'!H$6)), 0)</f>
        <v>0</v>
      </c>
      <c r="J8" s="1">
        <f>IF((J$3&gt;0),(1000*('Data Entry'!I11/'Data Entry'!I$6)), 0)</f>
        <v>0</v>
      </c>
      <c r="K8" s="1">
        <f>IF((K$3&gt;0),(1000*('Data Entry'!J11/'Data Entry'!J$6)), 0)</f>
        <v>33.255169473459816</v>
      </c>
    </row>
    <row r="9" spans="2:11" ht="15" customHeight="1" x14ac:dyDescent="0.25">
      <c r="B9" s="16" t="s">
        <v>13</v>
      </c>
      <c r="C9" s="1">
        <f>IF((C$3&gt;0),(1000*('Data Entry'!B12/'Data Entry'!B$6)), 0)</f>
        <v>16.054557078923068</v>
      </c>
      <c r="D9" s="1">
        <f>IF((D$3&gt;0),(1000*('Data Entry'!C12/'Data Entry'!C$6)), 0)</f>
        <v>8.2466129982328678</v>
      </c>
      <c r="E9" s="1">
        <f>IF((E$3&gt;0),(1000*('Data Entry'!D12/'Data Entry'!D$6)), 0)</f>
        <v>51.881413911060434</v>
      </c>
      <c r="F9" s="1">
        <f>IF((F$3&gt;0),(1000*('Data Entry'!E12/'Data Entry'!E$6)), 0)</f>
        <v>3.125</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29.950969942442974</v>
      </c>
    </row>
    <row r="10" spans="2:11" ht="15" customHeight="1" x14ac:dyDescent="0.25">
      <c r="B10" s="16" t="s">
        <v>14</v>
      </c>
      <c r="C10" s="1">
        <f>IF((C$3&gt;0),(1000*('Data Entry'!B13/'Data Entry'!B$6)), 0)</f>
        <v>8.2048731974142211</v>
      </c>
      <c r="D10" s="1">
        <f>IF((D$3&gt;0),(1000*('Data Entry'!C13/'Data Entry'!C$6)), 0)</f>
        <v>4.7123502847044962</v>
      </c>
      <c r="E10" s="1">
        <f>IF((E$3&gt;0),(1000*('Data Entry'!D13/'Data Entry'!D$6)), 0)</f>
        <v>24.515393386545039</v>
      </c>
      <c r="F10" s="1">
        <f>IF((F$3&gt;0),(1000*('Data Entry'!E13/'Data Entry'!E$6)), 0)</f>
        <v>1.875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14.176081858878705</v>
      </c>
    </row>
    <row r="11" spans="2:11" ht="25.5" customHeight="1" x14ac:dyDescent="0.25">
      <c r="B11" s="16" t="s">
        <v>15</v>
      </c>
      <c r="C11" s="1">
        <f>IF((C$3&gt;0),(1000*('Data Entry'!B14/'Data Entry'!B$6)), 0)</f>
        <v>8.3824678553669099</v>
      </c>
      <c r="D11" s="1">
        <f>IF((D$3&gt;0),(1000*('Data Entry'!C14/'Data Entry'!C$6)), 0)</f>
        <v>2.994305910072649</v>
      </c>
      <c r="E11" s="1">
        <f>IF((E$3&gt;0),(1000*('Data Entry'!D14/'Data Entry'!D$6)), 0)</f>
        <v>23.375142531356897</v>
      </c>
      <c r="F11" s="1">
        <f>IF((F$3&gt;0),(1000*('Data Entry'!E14/'Data Entry'!E$6)), 0)</f>
        <v>6.875</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18.652739287998294</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9" t="s">
        <v>100</v>
      </c>
      <c r="C14" s="220"/>
      <c r="D14" s="220"/>
      <c r="E14" s="220"/>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1/1/13 through 12/31/13</v>
      </c>
      <c r="G16" s="1"/>
      <c r="H16" s="1"/>
      <c r="I16" s="1"/>
      <c r="J16" s="67"/>
    </row>
    <row r="17" spans="2:10" ht="15" customHeight="1" x14ac:dyDescent="0.25">
      <c r="B17" s="81" t="str">
        <f>'Data Entry'!A3</f>
        <v>County: Washtenaw</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5.0053374599554763</v>
      </c>
      <c r="E19" s="72">
        <f t="shared" si="1"/>
        <v>9.0946428571428567E-2</v>
      </c>
      <c r="F19" s="72">
        <f t="shared" si="1"/>
        <v>6.283000246730816E-2</v>
      </c>
      <c r="G19" s="72" t="str">
        <f t="shared" si="1"/>
        <v>--</v>
      </c>
      <c r="H19" s="72" t="str">
        <f t="shared" si="1"/>
        <v>--</v>
      </c>
      <c r="I19" s="72" t="str">
        <f t="shared" si="1"/>
        <v>--</v>
      </c>
      <c r="J19" s="73">
        <f t="shared" si="1"/>
        <v>2.8383195785242257</v>
      </c>
    </row>
    <row r="20" spans="2:10" ht="15" customHeight="1" x14ac:dyDescent="0.25">
      <c r="B20" s="71" t="s">
        <v>9</v>
      </c>
      <c r="C20" s="72">
        <f t="shared" ref="C20:J27" si="2">IF(AND(($D5&gt;0),(D5&gt;0)), (D5/$D5),"--")</f>
        <v>1</v>
      </c>
      <c r="D20" s="72">
        <f t="shared" si="2"/>
        <v>4.7011456806211642</v>
      </c>
      <c r="E20" s="72">
        <f t="shared" si="2"/>
        <v>0.2425238095238095</v>
      </c>
      <c r="F20" s="72">
        <f t="shared" si="2"/>
        <v>0.12566000493461632</v>
      </c>
      <c r="G20" s="72" t="str">
        <f t="shared" si="2"/>
        <v>--</v>
      </c>
      <c r="H20" s="72">
        <f t="shared" si="2"/>
        <v>0.95107376283846867</v>
      </c>
      <c r="I20" s="72" t="str">
        <f t="shared" si="2"/>
        <v>--</v>
      </c>
      <c r="J20" s="73">
        <f t="shared" si="2"/>
        <v>2.7297499771599107</v>
      </c>
    </row>
    <row r="21" spans="2:10" ht="15" customHeight="1" x14ac:dyDescent="0.25">
      <c r="B21" s="71" t="s">
        <v>10</v>
      </c>
      <c r="C21" s="72">
        <f t="shared" si="2"/>
        <v>1</v>
      </c>
      <c r="D21" s="72">
        <f t="shared" si="2"/>
        <v>3.4992690699646229</v>
      </c>
      <c r="E21" s="72" t="str">
        <f t="shared" si="2"/>
        <v>--</v>
      </c>
      <c r="F21" s="72" t="str">
        <f t="shared" si="2"/>
        <v>--</v>
      </c>
      <c r="G21" s="72" t="str">
        <f t="shared" si="2"/>
        <v>--</v>
      </c>
      <c r="H21" s="72" t="str">
        <f t="shared" si="2"/>
        <v>--</v>
      </c>
      <c r="I21" s="72" t="str">
        <f t="shared" si="2"/>
        <v>--</v>
      </c>
      <c r="J21" s="73">
        <f t="shared" si="2"/>
        <v>2.0043618713411933</v>
      </c>
    </row>
    <row r="22" spans="2:10" ht="15" customHeight="1" x14ac:dyDescent="0.25">
      <c r="B22" s="71" t="s">
        <v>11</v>
      </c>
      <c r="C22" s="72">
        <f t="shared" si="2"/>
        <v>1</v>
      </c>
      <c r="D22" s="72">
        <f t="shared" si="2"/>
        <v>9.4263381422173733</v>
      </c>
      <c r="E22" s="72">
        <f t="shared" si="2"/>
        <v>2.2143478260869567</v>
      </c>
      <c r="F22" s="72" t="str">
        <f t="shared" si="2"/>
        <v>--</v>
      </c>
      <c r="G22" s="72" t="str">
        <f t="shared" si="2"/>
        <v>--</v>
      </c>
      <c r="H22" s="72">
        <f t="shared" si="2"/>
        <v>4.3418584825234445</v>
      </c>
      <c r="I22" s="72" t="str">
        <f t="shared" si="2"/>
        <v>--</v>
      </c>
      <c r="J22" s="73">
        <f t="shared" si="2"/>
        <v>6.6085844308713266</v>
      </c>
    </row>
    <row r="23" spans="2:10" ht="15" customHeight="1" x14ac:dyDescent="0.25">
      <c r="B23" s="71" t="s">
        <v>97</v>
      </c>
      <c r="C23" s="72">
        <f t="shared" si="2"/>
        <v>1</v>
      </c>
      <c r="D23" s="72">
        <f t="shared" si="2"/>
        <v>4.4439761183257982</v>
      </c>
      <c r="E23" s="72">
        <f t="shared" si="2"/>
        <v>0.39634241245136187</v>
      </c>
      <c r="F23" s="72">
        <f t="shared" si="2"/>
        <v>0.13690584195211117</v>
      </c>
      <c r="G23" s="72" t="str">
        <f t="shared" si="2"/>
        <v>--</v>
      </c>
      <c r="H23" s="72" t="str">
        <f t="shared" si="2"/>
        <v>--</v>
      </c>
      <c r="I23" s="72" t="str">
        <f t="shared" si="2"/>
        <v>--</v>
      </c>
      <c r="J23" s="73">
        <f t="shared" si="2"/>
        <v>2.6360868191179896</v>
      </c>
    </row>
    <row r="24" spans="2:10" ht="15" customHeight="1" x14ac:dyDescent="0.25">
      <c r="B24" s="71" t="s">
        <v>13</v>
      </c>
      <c r="C24" s="72">
        <f t="shared" si="2"/>
        <v>1</v>
      </c>
      <c r="D24" s="72">
        <f t="shared" si="2"/>
        <v>6.2912390725959719</v>
      </c>
      <c r="E24" s="72">
        <f t="shared" si="2"/>
        <v>0.37894345238095239</v>
      </c>
      <c r="F24" s="72" t="str">
        <f t="shared" si="2"/>
        <v>--</v>
      </c>
      <c r="G24" s="72" t="str">
        <f t="shared" si="2"/>
        <v>--</v>
      </c>
      <c r="H24" s="72" t="str">
        <f t="shared" si="2"/>
        <v>--</v>
      </c>
      <c r="I24" s="72" t="str">
        <f t="shared" si="2"/>
        <v>--</v>
      </c>
      <c r="J24" s="73">
        <f t="shared" si="2"/>
        <v>3.6319116646871925</v>
      </c>
    </row>
    <row r="25" spans="2:10" ht="15" customHeight="1" x14ac:dyDescent="0.25">
      <c r="B25" s="71" t="s">
        <v>14</v>
      </c>
      <c r="C25" s="72">
        <f t="shared" si="2"/>
        <v>1</v>
      </c>
      <c r="D25" s="72">
        <f t="shared" si="2"/>
        <v>5.2023707715697451</v>
      </c>
      <c r="E25" s="72">
        <f t="shared" si="2"/>
        <v>0.397890625</v>
      </c>
      <c r="F25" s="72" t="str">
        <f t="shared" si="2"/>
        <v>--</v>
      </c>
      <c r="G25" s="72" t="str">
        <f t="shared" si="2"/>
        <v>--</v>
      </c>
      <c r="H25" s="72" t="str">
        <f t="shared" si="2"/>
        <v>--</v>
      </c>
      <c r="I25" s="72" t="str">
        <f t="shared" si="2"/>
        <v>--</v>
      </c>
      <c r="J25" s="73">
        <f t="shared" si="2"/>
        <v>3.0082827044695519</v>
      </c>
    </row>
    <row r="26" spans="2:10" ht="25.5" customHeight="1" x14ac:dyDescent="0.25">
      <c r="B26" s="71" t="s">
        <v>15</v>
      </c>
      <c r="C26" s="72">
        <f t="shared" si="2"/>
        <v>1</v>
      </c>
      <c r="D26" s="72">
        <f t="shared" si="2"/>
        <v>7.8065312073574207</v>
      </c>
      <c r="E26" s="72">
        <f t="shared" si="2"/>
        <v>2.2960245901639342</v>
      </c>
      <c r="F26" s="72" t="str">
        <f t="shared" si="2"/>
        <v>--</v>
      </c>
      <c r="G26" s="72" t="str">
        <f t="shared" si="2"/>
        <v>--</v>
      </c>
      <c r="H26" s="72" t="str">
        <f t="shared" si="2"/>
        <v>--</v>
      </c>
      <c r="I26" s="72" t="str">
        <f t="shared" si="2"/>
        <v>--</v>
      </c>
      <c r="J26" s="73">
        <f t="shared" si="2"/>
        <v>6.2294033569688727</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98</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t="str">
        <f>'Black or African-American'!B16</f>
        <v>release 10/17/05</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101</v>
      </c>
    </row>
    <row r="4" spans="1:10" ht="103.5" customHeight="1" x14ac:dyDescent="0.25">
      <c r="A4" s="222" t="s">
        <v>102</v>
      </c>
      <c r="B4" s="222"/>
      <c r="C4" s="222"/>
      <c r="D4" s="222"/>
      <c r="E4" s="222"/>
      <c r="F4" s="222"/>
      <c r="G4" s="222"/>
      <c r="H4" s="222"/>
      <c r="I4" s="222"/>
      <c r="J4" s="222"/>
    </row>
    <row r="6" spans="1:10" ht="15" customHeight="1" x14ac:dyDescent="0.25">
      <c r="A6" s="1" t="s">
        <v>103</v>
      </c>
      <c r="B6" s="1">
        <v>0.05</v>
      </c>
    </row>
    <row r="7" spans="1:10" ht="15" hidden="1" customHeight="1" x14ac:dyDescent="0.25">
      <c r="D7" s="21">
        <f>IF(B6=0.01,6.636,IF(B6=0.1,2.706,3.841))</f>
        <v>3.8410000000000002</v>
      </c>
      <c r="E7" s="21" t="s">
        <v>104</v>
      </c>
      <c r="F7" s="21"/>
    </row>
    <row r="8" spans="1:10" ht="15" customHeight="1" x14ac:dyDescent="0.25">
      <c r="D8" s="21"/>
      <c r="E8" s="21"/>
      <c r="F8" s="21"/>
    </row>
    <row r="9" spans="1:10" ht="15.75" customHeight="1" x14ac:dyDescent="0.25">
      <c r="A9" s="89" t="s">
        <v>105</v>
      </c>
    </row>
    <row r="10" spans="1:10" ht="85.5" customHeight="1" x14ac:dyDescent="0.25">
      <c r="A10" s="221" t="s">
        <v>106</v>
      </c>
      <c r="B10" s="221"/>
      <c r="C10" s="221"/>
      <c r="D10" s="221"/>
      <c r="E10" s="221"/>
      <c r="F10" s="221"/>
      <c r="G10" s="221"/>
      <c r="H10" s="221"/>
      <c r="I10" s="221"/>
      <c r="J10" s="221"/>
    </row>
    <row r="11" spans="1:10" ht="15.75" customHeight="1" x14ac:dyDescent="0.25">
      <c r="A11" s="90"/>
    </row>
    <row r="12" spans="1:10" ht="15.75" customHeight="1" x14ac:dyDescent="0.25">
      <c r="A12" s="90" t="s">
        <v>107</v>
      </c>
      <c r="B12" s="57">
        <v>5</v>
      </c>
    </row>
    <row r="13" spans="1:10" ht="15.75" customHeight="1" x14ac:dyDescent="0.25">
      <c r="A13" s="90" t="s">
        <v>108</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30"/>
  <sheetViews>
    <sheetView showGridLines="0" zoomScaleNormal="100" workbookViewId="0">
      <selection activeCell="B20" sqref="B20"/>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8" t="s">
        <v>115</v>
      </c>
      <c r="C2" s="179"/>
      <c r="D2" s="179"/>
      <c r="E2" s="179"/>
      <c r="F2" s="179"/>
      <c r="G2" s="179"/>
      <c r="H2" s="179"/>
      <c r="I2" s="179"/>
      <c r="J2" s="179"/>
      <c r="K2" s="179"/>
      <c r="L2" s="179"/>
      <c r="M2" s="179"/>
      <c r="N2" s="179"/>
      <c r="O2" s="179"/>
      <c r="P2" s="179"/>
      <c r="Q2" s="180"/>
    </row>
    <row r="3" spans="2:26" s="1" customFormat="1" ht="19.5" thickTop="1" x14ac:dyDescent="0.35">
      <c r="B3" s="97" t="str">
        <f>'Data Entry'!A2</f>
        <v>State: Michigan</v>
      </c>
      <c r="C3" s="95"/>
      <c r="D3" s="95"/>
      <c r="E3" s="95"/>
      <c r="F3" s="95"/>
      <c r="G3" s="95"/>
      <c r="H3" s="95"/>
      <c r="I3" s="95"/>
      <c r="J3" s="95"/>
      <c r="K3" s="95"/>
      <c r="L3" s="95"/>
      <c r="M3" s="95"/>
      <c r="N3" s="186" t="str">
        <f>'Data Entry'!C3</f>
        <v xml:space="preserve">Reporting Period:  </v>
      </c>
      <c r="O3" s="187"/>
      <c r="P3" s="187"/>
      <c r="Q3" s="188"/>
      <c r="R3"/>
    </row>
    <row r="4" spans="2:26" s="1" customFormat="1" ht="19.5" thickBot="1" x14ac:dyDescent="0.4">
      <c r="B4" s="101" t="str">
        <f>'Data Entry'!A3</f>
        <v>County: Washtenaw</v>
      </c>
      <c r="C4" s="102"/>
      <c r="D4" s="102"/>
      <c r="E4" s="102"/>
      <c r="F4" s="102"/>
      <c r="G4" s="102"/>
      <c r="H4" s="102"/>
      <c r="I4" s="102"/>
      <c r="J4" s="102"/>
      <c r="K4" s="102"/>
      <c r="L4" s="102"/>
      <c r="M4" s="102"/>
      <c r="N4" s="183" t="str">
        <f>'Data Entry'!C4</f>
        <v>1/1/13 through 12/31/13</v>
      </c>
      <c r="O4" s="184"/>
      <c r="P4" s="184"/>
      <c r="Q4" s="185"/>
      <c r="R4"/>
    </row>
    <row r="5" spans="2:26" s="92" customFormat="1" ht="71.25" customHeight="1" x14ac:dyDescent="0.35">
      <c r="B5" s="99"/>
      <c r="C5" s="174" t="s">
        <v>3</v>
      </c>
      <c r="D5" s="181" t="str">
        <f>'Black or African-American'!$F$1</f>
        <v>Black or African American</v>
      </c>
      <c r="E5" s="182"/>
      <c r="F5" s="181" t="str">
        <f>Hispanic!F1</f>
        <v>Hispanic or Latino</v>
      </c>
      <c r="G5" s="182"/>
      <c r="H5" s="181" t="str">
        <f>Asian!F1</f>
        <v>Asian</v>
      </c>
      <c r="I5" s="182"/>
      <c r="J5" s="181" t="str">
        <f>Hawaiian!F1</f>
        <v>Native Hawaiian or Other Pacific Islanders</v>
      </c>
      <c r="K5" s="182"/>
      <c r="L5" s="181" t="str">
        <f>'Data Entry'!H5</f>
        <v>American Indian or Alaska Native</v>
      </c>
      <c r="M5" s="182"/>
      <c r="N5" s="181" t="str">
        <f>'Data Entry'!I5</f>
        <v>Biracial or Other</v>
      </c>
      <c r="O5" s="182"/>
      <c r="P5" s="181" t="str">
        <f>'Data Entry'!J5</f>
        <v>All Minorities</v>
      </c>
      <c r="Q5" s="189"/>
      <c r="T5" s="69"/>
      <c r="U5" s="69"/>
      <c r="V5" s="69"/>
      <c r="W5" s="69"/>
    </row>
    <row r="6" spans="2:26" s="92" customFormat="1" ht="18" customHeight="1" x14ac:dyDescent="0.35">
      <c r="B6" s="164" t="s">
        <v>113</v>
      </c>
      <c r="C6" s="152" t="s">
        <v>111</v>
      </c>
      <c r="D6" s="153" t="s">
        <v>111</v>
      </c>
      <c r="E6" s="154" t="s">
        <v>112</v>
      </c>
      <c r="F6" s="153" t="s">
        <v>111</v>
      </c>
      <c r="G6" s="154" t="s">
        <v>112</v>
      </c>
      <c r="H6" s="153" t="s">
        <v>111</v>
      </c>
      <c r="I6" s="154" t="s">
        <v>112</v>
      </c>
      <c r="J6" s="153" t="s">
        <v>111</v>
      </c>
      <c r="K6" s="154" t="s">
        <v>112</v>
      </c>
      <c r="L6" s="153" t="s">
        <v>111</v>
      </c>
      <c r="M6" s="154" t="s">
        <v>112</v>
      </c>
      <c r="N6" s="153" t="s">
        <v>111</v>
      </c>
      <c r="O6" s="154" t="s">
        <v>112</v>
      </c>
      <c r="P6" s="153" t="s">
        <v>111</v>
      </c>
      <c r="Q6" s="155" t="s">
        <v>112</v>
      </c>
    </row>
    <row r="7" spans="2:26" s="134" customFormat="1" ht="18" customHeight="1" x14ac:dyDescent="0.3">
      <c r="B7" s="149" t="str">
        <f>'Data Entry'!A6</f>
        <v xml:space="preserve">1. Population at Risk (age 10 through 16) </v>
      </c>
      <c r="C7" s="103">
        <f>'Data Entry'!C6</f>
        <v>20372</v>
      </c>
      <c r="D7" s="104">
        <f>'Data Entry'!D6</f>
        <v>5262</v>
      </c>
      <c r="E7" s="105"/>
      <c r="F7" s="106">
        <f>'Data Entry'!E6</f>
        <v>1600</v>
      </c>
      <c r="G7" s="105"/>
      <c r="H7" s="106">
        <f>'Data Entry'!F6</f>
        <v>2316</v>
      </c>
      <c r="I7" s="105"/>
      <c r="J7" s="106">
        <f>'Data Entry'!G6</f>
        <v>0</v>
      </c>
      <c r="K7" s="105"/>
      <c r="L7" s="106">
        <f>'Data Entry'!H6</f>
        <v>204</v>
      </c>
      <c r="M7" s="105"/>
      <c r="N7" s="106">
        <f>'Data Entry'!I6</f>
        <v>0</v>
      </c>
      <c r="O7" s="105"/>
      <c r="P7" s="106">
        <f>'Data Entry'!J6</f>
        <v>9382</v>
      </c>
      <c r="Q7" s="107"/>
    </row>
    <row r="8" spans="2:26" s="1" customFormat="1" ht="15" customHeight="1" x14ac:dyDescent="0.3">
      <c r="B8" s="148" t="s">
        <v>8</v>
      </c>
      <c r="C8" s="103">
        <f>'Data Entry'!C7</f>
        <v>140</v>
      </c>
      <c r="D8" s="104">
        <f>'Data Entry'!D7</f>
        <v>181</v>
      </c>
      <c r="E8" s="105">
        <f>'Black or African-American'!$G7</f>
        <v>5.0053374599554763</v>
      </c>
      <c r="F8" s="106">
        <f>'Data Entry'!E7</f>
        <v>1</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183</v>
      </c>
      <c r="Q8" s="107">
        <f>'All Minorities'!G7</f>
        <v>2.8383195785242257</v>
      </c>
      <c r="R8"/>
      <c r="T8" s="1">
        <f>'Black or African-American'!L7</f>
        <v>1</v>
      </c>
      <c r="U8" s="1">
        <f>Hispanic!L7</f>
        <v>20</v>
      </c>
      <c r="V8" s="1">
        <f>Asian!L7</f>
        <v>20</v>
      </c>
      <c r="W8" s="1" t="e">
        <f>Hawaiian!L7</f>
        <v>#VALUE!</v>
      </c>
      <c r="X8" s="1">
        <f>'Am Indian'!L7</f>
        <v>139</v>
      </c>
      <c r="Y8" s="1" t="e">
        <f>'Other - Mixed'!L7</f>
        <v>#VALUE!</v>
      </c>
      <c r="Z8" s="1">
        <f>'All Minorities'!L7</f>
        <v>1</v>
      </c>
    </row>
    <row r="9" spans="2:26" s="1" customFormat="1" ht="15" customHeight="1" x14ac:dyDescent="0.3">
      <c r="B9" s="148" t="s">
        <v>128</v>
      </c>
      <c r="C9" s="103">
        <f>'Data Entry'!C8</f>
        <v>210</v>
      </c>
      <c r="D9" s="108">
        <f>'Data Entry'!D8</f>
        <v>255</v>
      </c>
      <c r="E9" s="109">
        <f>'Black or African-American'!$G8</f>
        <v>0.93922651933701651</v>
      </c>
      <c r="F9" s="110">
        <f>'Data Entry'!E8</f>
        <v>4</v>
      </c>
      <c r="G9" s="109" t="str">
        <f>Hispanic!G8</f>
        <v>**</v>
      </c>
      <c r="H9" s="110">
        <f>'Data Entry'!F8</f>
        <v>3</v>
      </c>
      <c r="I9" s="109" t="str">
        <f>Asian!G8</f>
        <v>**</v>
      </c>
      <c r="J9" s="110">
        <f>'Data Entry'!G8</f>
        <v>0</v>
      </c>
      <c r="K9" s="109" t="str">
        <f>Hawaiian!G8</f>
        <v>*</v>
      </c>
      <c r="L9" s="110">
        <f>'Data Entry'!H8</f>
        <v>2</v>
      </c>
      <c r="M9" s="109" t="str">
        <f>'Am Indian'!G8</f>
        <v>*</v>
      </c>
      <c r="N9" s="110">
        <f>'Data Entry'!I8</f>
        <v>0</v>
      </c>
      <c r="O9" s="109" t="str">
        <f>'Other - Mixed'!G8</f>
        <v>*</v>
      </c>
      <c r="P9" s="110">
        <f>'Data Entry'!J8</f>
        <v>264</v>
      </c>
      <c r="Q9" s="111">
        <f>'All Minorities'!G8</f>
        <v>0.96174863387978138</v>
      </c>
      <c r="R9"/>
      <c r="T9" s="1">
        <f>'Black or African-American'!L8</f>
        <v>2</v>
      </c>
      <c r="U9" s="1">
        <f>Hispanic!L8</f>
        <v>20</v>
      </c>
      <c r="V9" s="1">
        <f>Asian!L8</f>
        <v>40</v>
      </c>
      <c r="W9" s="1">
        <f>Hawaiian!L8</f>
        <v>139</v>
      </c>
      <c r="X9" s="1">
        <f>'Am Indian'!L8</f>
        <v>119</v>
      </c>
      <c r="Y9" s="1">
        <f>'Other - Mixed'!L8</f>
        <v>139</v>
      </c>
      <c r="Z9" s="1">
        <f>'All Minorities'!L8</f>
        <v>2</v>
      </c>
    </row>
    <row r="10" spans="2:26" s="1" customFormat="1" ht="15" customHeight="1" x14ac:dyDescent="0.3">
      <c r="B10" s="148" t="s">
        <v>10</v>
      </c>
      <c r="C10" s="103">
        <f>'Data Entry'!C9</f>
        <v>52</v>
      </c>
      <c r="D10" s="112">
        <f>'Data Entry'!D9</f>
        <v>47</v>
      </c>
      <c r="E10" s="113">
        <f>'Black or African-American'!$G9</f>
        <v>0.74434389140271506</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48</v>
      </c>
      <c r="Q10" s="115">
        <f>'All Minorities'!G9</f>
        <v>0.73426573426573427</v>
      </c>
      <c r="R10"/>
      <c r="T10" s="1">
        <f>'Black or African-American'!L9</f>
        <v>2</v>
      </c>
      <c r="U10" s="1">
        <f>Hispanic!L9</f>
        <v>40</v>
      </c>
      <c r="V10" s="1">
        <f>Asian!L9</f>
        <v>40</v>
      </c>
      <c r="W10" s="1" t="e">
        <f>Hawaiian!L9</f>
        <v>#VALUE!</v>
      </c>
      <c r="X10" s="1">
        <f>'Am Indian'!L9</f>
        <v>139</v>
      </c>
      <c r="Y10" s="1" t="e">
        <f>'Other - Mixed'!L9</f>
        <v>#DIV/0!</v>
      </c>
      <c r="Z10" s="1">
        <f>'All Minorities'!L9</f>
        <v>2</v>
      </c>
    </row>
    <row r="11" spans="2:26" s="1" customFormat="1" ht="15" customHeight="1" x14ac:dyDescent="0.3">
      <c r="B11" s="148" t="s">
        <v>11</v>
      </c>
      <c r="C11" s="103">
        <f>'Data Entry'!C10</f>
        <v>23</v>
      </c>
      <c r="D11" s="108">
        <f>'Data Entry'!D10</f>
        <v>56</v>
      </c>
      <c r="E11" s="109">
        <f>'Black or African-American'!$G10</f>
        <v>2.0051150895140664</v>
      </c>
      <c r="F11" s="110">
        <f>'Data Entry'!E10</f>
        <v>4</v>
      </c>
      <c r="G11" s="109" t="str">
        <f>Hispanic!G10</f>
        <v>**</v>
      </c>
      <c r="H11" s="110">
        <f>'Data Entry'!F10</f>
        <v>0</v>
      </c>
      <c r="I11" s="109" t="str">
        <f>Asian!G10</f>
        <v>**</v>
      </c>
      <c r="J11" s="110">
        <f>'Data Entry'!G10</f>
        <v>0</v>
      </c>
      <c r="K11" s="109" t="str">
        <f>Hawaiian!G10</f>
        <v>*</v>
      </c>
      <c r="L11" s="110">
        <f>'Data Entry'!H10</f>
        <v>1</v>
      </c>
      <c r="M11" s="109" t="str">
        <f>'Am Indian'!G10</f>
        <v>*</v>
      </c>
      <c r="N11" s="110">
        <f>'Data Entry'!I10</f>
        <v>9</v>
      </c>
      <c r="O11" s="109" t="str">
        <f>'Other - Mixed'!G10</f>
        <v>*</v>
      </c>
      <c r="P11" s="110">
        <f>'Data Entry'!J10</f>
        <v>70</v>
      </c>
      <c r="Q11" s="111">
        <f>'All Minorities'!G10</f>
        <v>2.4209486166007905</v>
      </c>
      <c r="R11"/>
      <c r="T11" s="1">
        <f>'Black or African-American'!L10</f>
        <v>1</v>
      </c>
      <c r="U11" s="1">
        <f>Hispanic!L10</f>
        <v>20</v>
      </c>
      <c r="V11" s="1">
        <f>Asian!L10</f>
        <v>40</v>
      </c>
      <c r="W11" s="1" t="e">
        <f>Hawaiian!L10</f>
        <v>#VALUE!</v>
      </c>
      <c r="X11" s="1">
        <f>'Am Indian'!L10</f>
        <v>139</v>
      </c>
      <c r="Y11" s="1" t="e">
        <f>'Other - Mixed'!L10</f>
        <v>#DIV/0!</v>
      </c>
      <c r="Z11" s="1">
        <f>'All Minorities'!L10</f>
        <v>1</v>
      </c>
    </row>
    <row r="12" spans="2:26" s="1" customFormat="1" ht="15" customHeight="1" x14ac:dyDescent="0.3">
      <c r="B12" s="148" t="s">
        <v>97</v>
      </c>
      <c r="C12" s="103">
        <f>'Data Entry'!C11</f>
        <v>257</v>
      </c>
      <c r="D12" s="112">
        <f>'Data Entry'!D11</f>
        <v>295</v>
      </c>
      <c r="E12" s="113">
        <f>'Black or African-American'!$G11</f>
        <v>0.9452964065003433</v>
      </c>
      <c r="F12" s="114">
        <f>'Data Entry'!E11</f>
        <v>8</v>
      </c>
      <c r="G12" s="113" t="str">
        <f>Hispanic!G11</f>
        <v>**</v>
      </c>
      <c r="H12" s="114">
        <f>'Data Entry'!F11</f>
        <v>4</v>
      </c>
      <c r="I12" s="113" t="str">
        <f>Asian!G11</f>
        <v>**</v>
      </c>
      <c r="J12" s="114">
        <f>'Data Entry'!G11</f>
        <v>0</v>
      </c>
      <c r="K12" s="113" t="str">
        <f>Hawaiian!G11</f>
        <v>*</v>
      </c>
      <c r="L12" s="114">
        <f>'Data Entry'!H11</f>
        <v>0</v>
      </c>
      <c r="M12" s="113" t="str">
        <f>'Am Indian'!G11</f>
        <v>*</v>
      </c>
      <c r="N12" s="114">
        <f>'Data Entry'!I11</f>
        <v>5</v>
      </c>
      <c r="O12" s="113" t="str">
        <f>'Other - Mixed'!G11</f>
        <v>*</v>
      </c>
      <c r="P12" s="114">
        <f>'Data Entry'!J11</f>
        <v>312</v>
      </c>
      <c r="Q12" s="115">
        <f>'All Minorities'!G11</f>
        <v>0.96568800848956482</v>
      </c>
      <c r="R12"/>
      <c r="T12" s="1">
        <f>'Black or African-American'!L11</f>
        <v>2</v>
      </c>
      <c r="U12" s="1">
        <f>Hispanic!L11</f>
        <v>20</v>
      </c>
      <c r="V12" s="1">
        <f>Asian!L11</f>
        <v>40</v>
      </c>
      <c r="W12" s="1" t="e">
        <f>Hawaiian!L11</f>
        <v>#VALUE!</v>
      </c>
      <c r="X12" s="1">
        <f>'Am Indian'!L11</f>
        <v>119</v>
      </c>
      <c r="Y12" s="1" t="e">
        <f>'Other - Mixed'!L11</f>
        <v>#DIV/0!</v>
      </c>
      <c r="Z12" s="1">
        <f>'All Minorities'!L11</f>
        <v>2</v>
      </c>
    </row>
    <row r="13" spans="2:26" s="1" customFormat="1" ht="15" customHeight="1" x14ac:dyDescent="0.3">
      <c r="B13" s="148" t="s">
        <v>13</v>
      </c>
      <c r="C13" s="103">
        <f>'Data Entry'!C12</f>
        <v>168</v>
      </c>
      <c r="D13" s="108">
        <f>'Data Entry'!D12</f>
        <v>273</v>
      </c>
      <c r="E13" s="109">
        <f>'Black or African-American'!$G12</f>
        <v>1.4156779661016947</v>
      </c>
      <c r="F13" s="110">
        <f>'Data Entry'!E12</f>
        <v>5</v>
      </c>
      <c r="G13" s="109" t="str">
        <f>Hispanic!G12</f>
        <v>**</v>
      </c>
      <c r="H13" s="110">
        <f>'Data Entry'!F12</f>
        <v>0</v>
      </c>
      <c r="I13" s="109" t="str">
        <f>Asian!G12</f>
        <v>**</v>
      </c>
      <c r="J13" s="110">
        <f>'Data Entry'!G12</f>
        <v>0</v>
      </c>
      <c r="K13" s="109" t="str">
        <f>Hawaiian!G12</f>
        <v>*</v>
      </c>
      <c r="L13" s="110">
        <f>'Data Entry'!H12</f>
        <v>0</v>
      </c>
      <c r="M13" s="109" t="str">
        <f>'Am Indian'!G12</f>
        <v>*</v>
      </c>
      <c r="N13" s="110">
        <f>'Data Entry'!I12</f>
        <v>3</v>
      </c>
      <c r="O13" s="109" t="str">
        <f>'Other - Mixed'!G12</f>
        <v>*</v>
      </c>
      <c r="P13" s="110">
        <f>'Data Entry'!J12</f>
        <v>281</v>
      </c>
      <c r="Q13" s="111">
        <f>'All Minorities'!G12</f>
        <v>1.3777663308913306</v>
      </c>
      <c r="R13"/>
      <c r="T13" s="1">
        <f>'Black or African-American'!L12</f>
        <v>1</v>
      </c>
      <c r="U13" s="1">
        <f>Hispanic!L12</f>
        <v>40</v>
      </c>
      <c r="V13" s="1">
        <f>Asian!L12</f>
        <v>20</v>
      </c>
      <c r="W13" s="1" t="e">
        <f>Hawaiian!L12</f>
        <v>#VALUE!</v>
      </c>
      <c r="X13" s="1" t="e">
        <f>'Am Indian'!L12</f>
        <v>#VALUE!</v>
      </c>
      <c r="Y13" s="1">
        <f>'Other - Mixed'!L12</f>
        <v>139</v>
      </c>
      <c r="Z13" s="1">
        <f>'All Minorities'!L12</f>
        <v>1</v>
      </c>
    </row>
    <row r="14" spans="2:26" s="1" customFormat="1" ht="15" customHeight="1" x14ac:dyDescent="0.3">
      <c r="B14" s="148" t="s">
        <v>127</v>
      </c>
      <c r="C14" s="103">
        <f>'Data Entry'!C13</f>
        <v>96</v>
      </c>
      <c r="D14" s="112">
        <f>'Data Entry'!D13</f>
        <v>129</v>
      </c>
      <c r="E14" s="113">
        <f>'Black or African-American'!$G13</f>
        <v>0.82692307692307687</v>
      </c>
      <c r="F14" s="114">
        <f>'Data Entry'!E13</f>
        <v>3</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133</v>
      </c>
      <c r="Q14" s="115">
        <f>'All Minorities'!G13</f>
        <v>0.82829181494661908</v>
      </c>
      <c r="R14"/>
      <c r="T14" s="1">
        <f>'Black or African-American'!L13</f>
        <v>1</v>
      </c>
      <c r="U14" s="1">
        <f>Hispanic!L13</f>
        <v>40</v>
      </c>
      <c r="V14" s="1" t="e">
        <f>Asian!L13</f>
        <v>#VALUE!</v>
      </c>
      <c r="W14" s="1" t="e">
        <f>Hawaiian!L13</f>
        <v>#VALUE!</v>
      </c>
      <c r="X14" s="1" t="e">
        <f>'Am Indian'!L13</f>
        <v>#VALUE!</v>
      </c>
      <c r="Y14" s="1">
        <f>'Other - Mixed'!L13</f>
        <v>139</v>
      </c>
      <c r="Z14" s="1">
        <f>'All Minorities'!L13</f>
        <v>1</v>
      </c>
    </row>
    <row r="15" spans="2:26" s="1" customFormat="1" ht="33" x14ac:dyDescent="0.3">
      <c r="B15" s="150" t="s">
        <v>117</v>
      </c>
      <c r="C15" s="103">
        <f>'Data Entry'!C14</f>
        <v>61</v>
      </c>
      <c r="D15" s="108">
        <f>'Data Entry'!D14</f>
        <v>123</v>
      </c>
      <c r="E15" s="109">
        <f>'Black or African-American'!$G14</f>
        <v>1.2408575031525853</v>
      </c>
      <c r="F15" s="110">
        <f>'Data Entry'!E14</f>
        <v>11</v>
      </c>
      <c r="G15" s="109" t="str">
        <f>Hispanic!G14</f>
        <v>**</v>
      </c>
      <c r="H15" s="110">
        <f>'Data Entry'!F14</f>
        <v>0</v>
      </c>
      <c r="I15" s="109" t="str">
        <f>Asian!G14</f>
        <v>--</v>
      </c>
      <c r="J15" s="110">
        <f>'Data Entry'!G14</f>
        <v>0</v>
      </c>
      <c r="K15" s="109" t="str">
        <f>Hawaiian!G14</f>
        <v>*</v>
      </c>
      <c r="L15" s="110">
        <f>'Data Entry'!H14</f>
        <v>0</v>
      </c>
      <c r="M15" s="109" t="str">
        <f>'Am Indian'!G14</f>
        <v>*</v>
      </c>
      <c r="N15" s="110">
        <f>'Data Entry'!I14</f>
        <v>41</v>
      </c>
      <c r="O15" s="109" t="str">
        <f>'Other - Mixed'!G14</f>
        <v>*</v>
      </c>
      <c r="P15" s="110">
        <f>'Data Entry'!J14</f>
        <v>175</v>
      </c>
      <c r="Q15" s="111">
        <f>'All Minorities'!G14</f>
        <v>1.7151858117962779</v>
      </c>
      <c r="R15"/>
      <c r="T15" s="1">
        <f>'Black or African-American'!L14</f>
        <v>2</v>
      </c>
      <c r="U15" s="1">
        <f>Hispanic!L14</f>
        <v>20</v>
      </c>
      <c r="V15" s="1" t="e">
        <f>Asian!L14</f>
        <v>#VALUE!</v>
      </c>
      <c r="W15" s="1" t="e">
        <f>Hawaiian!L14</f>
        <v>#VALUE!</v>
      </c>
      <c r="X15" s="1" t="e">
        <f>'Am Indian'!L14</f>
        <v>#VALUE!</v>
      </c>
      <c r="Y15" s="1">
        <f>'Other - Mixed'!L14</f>
        <v>119</v>
      </c>
      <c r="Z15" s="1">
        <f>'All Minorities'!L14</f>
        <v>1</v>
      </c>
    </row>
    <row r="16" spans="2:26" s="1" customFormat="1" ht="15" customHeight="1" x14ac:dyDescent="0.3">
      <c r="B16" s="148"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1" t="s">
        <v>98</v>
      </c>
      <c r="C17" s="98" t="str">
        <f>'Data Entry'!C16</f>
        <v>Yes</v>
      </c>
      <c r="D17" s="132"/>
      <c r="E17" s="145" t="str">
        <f>'Data Entry'!$D$16</f>
        <v>Yes</v>
      </c>
      <c r="F17" s="132"/>
      <c r="G17" s="145" t="str">
        <f>'Data Entry'!$E$16</f>
        <v>Yes</v>
      </c>
      <c r="H17" s="132"/>
      <c r="I17" s="145" t="str">
        <f>'Data Entry'!F16</f>
        <v>Yes</v>
      </c>
      <c r="J17" s="132"/>
      <c r="K17" s="145" t="str">
        <f>'Data Entry'!G16</f>
        <v>No</v>
      </c>
      <c r="L17" s="132"/>
      <c r="M17" s="145" t="str">
        <f>'Data Entry'!H16</f>
        <v>No</v>
      </c>
      <c r="N17" s="132"/>
      <c r="O17" s="145" t="str">
        <f>'Data Entry'!I16</f>
        <v>No</v>
      </c>
      <c r="P17" s="132"/>
      <c r="Q17" s="146"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3"/>
      <c r="D19" s="135"/>
      <c r="E19" s="135"/>
      <c r="F19" s="135"/>
      <c r="G19" s="135"/>
      <c r="H19" s="137" t="s">
        <v>122</v>
      </c>
      <c r="I19" s="138" t="s">
        <v>52</v>
      </c>
      <c r="J19" s="135"/>
      <c r="K19" s="135"/>
      <c r="L19" s="135"/>
      <c r="M19" s="135"/>
      <c r="N19" s="135"/>
      <c r="O19" s="136"/>
      <c r="P19" s="93"/>
      <c r="Q19" s="93"/>
    </row>
    <row r="20" spans="2:18" ht="16.5" x14ac:dyDescent="0.3">
      <c r="B20" s="93"/>
      <c r="C20" s="159" t="s">
        <v>119</v>
      </c>
      <c r="D20" s="165"/>
      <c r="E20" s="166"/>
      <c r="F20" s="167"/>
      <c r="G20" s="168" t="s">
        <v>54</v>
      </c>
      <c r="H20" s="165"/>
      <c r="I20" s="159" t="s">
        <v>57</v>
      </c>
      <c r="J20" s="165"/>
      <c r="K20" s="165"/>
      <c r="L20" s="165"/>
      <c r="M20" s="165"/>
      <c r="N20" s="165"/>
      <c r="O20" s="160" t="s">
        <v>58</v>
      </c>
      <c r="Q20" s="93"/>
    </row>
    <row r="21" spans="2:18" ht="15" customHeight="1" x14ac:dyDescent="0.3">
      <c r="B21" s="93"/>
      <c r="C21" s="161" t="s">
        <v>121</v>
      </c>
      <c r="D21" s="165"/>
      <c r="E21" s="169"/>
      <c r="F21" s="165"/>
      <c r="G21" s="170" t="s">
        <v>56</v>
      </c>
      <c r="H21" s="165"/>
      <c r="I21" s="161" t="s">
        <v>59</v>
      </c>
      <c r="J21" s="165"/>
      <c r="K21" s="165"/>
      <c r="L21" s="165"/>
      <c r="M21" s="165"/>
      <c r="N21" s="165"/>
      <c r="O21" s="162" t="s">
        <v>60</v>
      </c>
      <c r="Q21" s="93"/>
    </row>
    <row r="22" spans="2:18" ht="15" customHeight="1" thickBot="1" x14ac:dyDescent="0.35">
      <c r="B22" s="93"/>
      <c r="C22" s="171"/>
      <c r="D22" s="172"/>
      <c r="E22" s="172"/>
      <c r="F22" s="172"/>
      <c r="G22" s="172"/>
      <c r="H22" s="172"/>
      <c r="I22" s="173" t="s">
        <v>61</v>
      </c>
      <c r="J22" s="172"/>
      <c r="K22" s="172"/>
      <c r="L22" s="172"/>
      <c r="M22" s="172"/>
      <c r="N22" s="172"/>
      <c r="O22" s="163" t="s">
        <v>62</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(figures for 2013): U.S. Census estimate (from "Easy Access to Juvenile Populations: 1990-2013," C. Puzzanchera, A. Sladky, and W. Kang, Office of Juvenile Justice and Delinquency Prevention, August 2014, accessed November 19, 2012, http://www.ojjdp.gov/ojstatbb/ezapop/)</v>
      </c>
      <c r="E26" s="1" t="str">
        <f>'Data Entry'!D19</f>
        <v>Item 2.Arrest: Michigan State Police (figures for 2013)</v>
      </c>
      <c r="I26" s="96"/>
      <c r="J26" s="96"/>
    </row>
    <row r="27" spans="2:18" ht="12.75" customHeight="1" x14ac:dyDescent="0.25">
      <c r="B27" s="1" t="str">
        <f>'Data Entry'!A20</f>
        <v>Item 3.Referral: DMC Steering Committee</v>
      </c>
      <c r="E27" s="1" t="str">
        <f>'Data Entry'!D20</f>
        <v>Item 4.Diversion: DMC Steering Committee</v>
      </c>
      <c r="I27" s="96"/>
      <c r="J27" s="96"/>
    </row>
    <row r="28" spans="2:18" ht="12.75" customHeight="1" x14ac:dyDescent="0.25">
      <c r="B28" s="1" t="str">
        <f>'Data Entry'!A21</f>
        <v>Item 5.Detention: DMC Steering Committee</v>
      </c>
      <c r="E28" s="1" t="str">
        <f>'Data Entry'!D21</f>
        <v>Item 6.Petitioned: DMC Steering Committee</v>
      </c>
      <c r="I28" s="96"/>
      <c r="J28" s="96"/>
    </row>
    <row r="29" spans="2:18" ht="12.75" customHeight="1" x14ac:dyDescent="0.25">
      <c r="B29" s="1" t="str">
        <f>'Data Entry'!A22</f>
        <v>Item 7.Delinquent: DMC Steering Committee</v>
      </c>
      <c r="E29" s="1" t="str">
        <f>'Data Entry'!D22</f>
        <v>Item 8.Probation: DMC Steering Committee</v>
      </c>
      <c r="I29" s="96"/>
      <c r="J29" s="96"/>
    </row>
    <row r="30" spans="2:18" ht="12.75" customHeight="1" x14ac:dyDescent="0.25">
      <c r="B30" s="1" t="str">
        <f>'Data Entry'!A23</f>
        <v>Item 9.Confinement: DMC Steering Committee</v>
      </c>
      <c r="E30" s="1" t="str">
        <f>'Data Entry'!D23</f>
        <v>Item 10.Transferred: DMC Steering Committee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17"/>
  <sheetViews>
    <sheetView topLeftCell="A4" workbookViewId="0">
      <selection activeCell="C11" sqref="C11"/>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Washtenaw</v>
      </c>
      <c r="B5" s="140"/>
      <c r="C5" s="140"/>
      <c r="D5" s="140"/>
      <c r="E5" s="140"/>
      <c r="F5" s="140"/>
      <c r="G5" s="140"/>
      <c r="H5" s="140"/>
      <c r="I5" s="140"/>
    </row>
    <row r="6" spans="1:12" x14ac:dyDescent="0.2">
      <c r="A6" s="139" t="str">
        <f>CONCATENATE("Percentage of Minorities at Stages of the Juvenile Justice System, ", A5, " 2012")</f>
        <v>Percentage of Minorities at Stages of the Juvenile Justice System, County: Washtenaw 2012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31" t="s">
        <v>124</v>
      </c>
      <c r="I6" s="96" t="str">
        <f>'Data Entry'!C5</f>
        <v>White</v>
      </c>
      <c r="K6" s="142" t="s">
        <v>125</v>
      </c>
      <c r="L6" s="142" t="s">
        <v>123</v>
      </c>
    </row>
    <row r="7" spans="1:12" x14ac:dyDescent="0.2">
      <c r="A7" s="131" t="str">
        <f>CONCATENATE("Waivers, total N=", 'Data Entry'!B15)</f>
        <v>Waivers, total N=0</v>
      </c>
      <c r="B7" s="156" t="e">
        <f>'Data Entry'!D15/'Data Entry'!B15</f>
        <v>#DIV/0!</v>
      </c>
      <c r="C7" s="156" t="e">
        <f>'Data Entry'!E15/'Data Entry'!B15</f>
        <v>#DIV/0!</v>
      </c>
      <c r="D7" s="156" t="e">
        <f>'Data Entry'!F15/'Data Entry'!B15</f>
        <v>#DIV/0!</v>
      </c>
      <c r="E7" s="156" t="e">
        <f>'Data Entry'!G15/'Data Entry'!B15</f>
        <v>#DIV/0!</v>
      </c>
      <c r="F7" s="156" t="e">
        <f>'Data Entry'!H15/'Data Entry'!B15</f>
        <v>#DIV/0!</v>
      </c>
      <c r="G7" s="156" t="e">
        <f>'Data Entry'!I15/'Data Entry'!B15</f>
        <v>#DIV/0!</v>
      </c>
      <c r="H7" s="156" t="e">
        <f>SUM(D7:G7)/'Data Entry'!B15</f>
        <v>#DIV/0!</v>
      </c>
      <c r="I7" s="156" t="e">
        <f>'Data Entry'!C15/'Data Entry'!B15</f>
        <v>#DIV/0!</v>
      </c>
      <c r="K7" s="96" t="str">
        <f t="shared" ref="K7:K14" si="0">A7</f>
        <v>Waivers, total N=0</v>
      </c>
      <c r="L7">
        <f>I14/(SUM(B14:G14))</f>
        <v>2.1713920272862932</v>
      </c>
    </row>
    <row r="8" spans="1:12" ht="25.5" customHeight="1" x14ac:dyDescent="0.2">
      <c r="A8" s="157" t="str">
        <f>CONCATENATE("Confinement, total N=", 'Data Entry'!B14)</f>
        <v>Confinement, total N=236</v>
      </c>
      <c r="B8" s="156">
        <f>'Data Entry'!D14/'Data Entry'!B14</f>
        <v>0.52118644067796616</v>
      </c>
      <c r="C8" s="156">
        <f>'Data Entry'!E14/'Data Entry'!B14</f>
        <v>4.6610169491525424E-2</v>
      </c>
      <c r="D8" s="156">
        <f>'Data Entry'!F14/'Data Entry'!B14</f>
        <v>0</v>
      </c>
      <c r="E8" s="156">
        <f>'Data Entry'!G14/'Data Entry'!B14</f>
        <v>0</v>
      </c>
      <c r="F8" s="156">
        <f>'Data Entry'!H14/'Data Entry'!B14</f>
        <v>0</v>
      </c>
      <c r="G8" s="156">
        <f>'Data Entry'!I14/'Data Entry'!B14</f>
        <v>0.17372881355932204</v>
      </c>
      <c r="H8" s="156">
        <f>SUM(D8:G8)/'Data Entry'!B14</f>
        <v>7.3613904050560182E-4</v>
      </c>
      <c r="I8" s="156">
        <f>'Data Entry'!C14/'Data Entry'!B14</f>
        <v>0.25847457627118642</v>
      </c>
      <c r="K8" s="96" t="str">
        <f>A8</f>
        <v>Confinement, total N=236</v>
      </c>
      <c r="L8">
        <f>I14/(SUM(B14:G14))</f>
        <v>2.1713920272862932</v>
      </c>
    </row>
    <row r="9" spans="1:12" x14ac:dyDescent="0.2">
      <c r="A9" s="131" t="str">
        <f>CONCATENATE("Delinquent Findings, total N=", 'Data Entry'!B12)</f>
        <v>Delinquent Findings, total N=452</v>
      </c>
      <c r="B9" s="156">
        <f>'Data Entry'!D12/'Data Entry'!B12</f>
        <v>0.60398230088495575</v>
      </c>
      <c r="C9" s="156">
        <f>'Data Entry'!E12/'Data Entry'!B12</f>
        <v>1.1061946902654867E-2</v>
      </c>
      <c r="D9" s="156">
        <f>'Data Entry'!F12/'Data Entry'!B12</f>
        <v>0</v>
      </c>
      <c r="E9" s="156">
        <f>'Data Entry'!G12/'Data Entry'!B12</f>
        <v>0</v>
      </c>
      <c r="F9" s="156">
        <f>'Data Entry'!H12/'Data Entry'!B12</f>
        <v>0</v>
      </c>
      <c r="G9" s="156">
        <f>'Data Entry'!I12/'Data Entry'!B12</f>
        <v>6.6371681415929203E-3</v>
      </c>
      <c r="H9" s="156">
        <f>SUM(D9:G9)/'Data Entry'!B12</f>
        <v>1.4684000313258673E-5</v>
      </c>
      <c r="I9" s="156">
        <f>'Data Entry'!C12/'Data Entry'!B12</f>
        <v>0.37168141592920356</v>
      </c>
      <c r="K9" s="96" t="str">
        <f t="shared" si="0"/>
        <v>Delinquent Findings, total N=452</v>
      </c>
      <c r="L9">
        <f>I14/(SUM(B14:G14))</f>
        <v>2.1713920272862932</v>
      </c>
    </row>
    <row r="10" spans="1:12" x14ac:dyDescent="0.2">
      <c r="A10" s="131" t="str">
        <f>CONCATENATE("Petitions, total N=", 'Data Entry'!B11)</f>
        <v>Petitions, total N=577</v>
      </c>
      <c r="B10" s="156">
        <f>'Data Entry'!D11/'Data Entry'!B11</f>
        <v>0.51126516464471405</v>
      </c>
      <c r="C10" s="156">
        <f>'Data Entry'!E11/'Data Entry'!B11</f>
        <v>1.3864818024263431E-2</v>
      </c>
      <c r="D10" s="156">
        <f>'Data Entry'!F11/'Data Entry'!B11</f>
        <v>6.9324090121317154E-3</v>
      </c>
      <c r="E10" s="156">
        <f>'Data Entry'!G11/'Data Entry'!B11</f>
        <v>0</v>
      </c>
      <c r="F10" s="156">
        <f>'Data Entry'!H11/'Data Entry'!B11</f>
        <v>0</v>
      </c>
      <c r="G10" s="156">
        <f>'Data Entry'!I11/'Data Entry'!B11</f>
        <v>8.6655112651646445E-3</v>
      </c>
      <c r="H10" s="156">
        <f>SUM(D10:G10)/'Data Entry'!B11</f>
        <v>2.7032790775210329E-5</v>
      </c>
      <c r="I10" s="156">
        <f>'Data Entry'!C11/'Data Entry'!B11</f>
        <v>0.44540727902946275</v>
      </c>
      <c r="K10" s="96" t="str">
        <f t="shared" si="0"/>
        <v>Petitions, total N=577</v>
      </c>
      <c r="L10">
        <f>I14/(SUM(B14:G14))</f>
        <v>2.1713920272862932</v>
      </c>
    </row>
    <row r="11" spans="1:12" x14ac:dyDescent="0.2">
      <c r="A11" s="131" t="str">
        <f>CONCATENATE("Detentions, total N=", 'Data Entry'!B10)</f>
        <v>Detentions, total N=94</v>
      </c>
      <c r="B11" s="156">
        <f>'Data Entry'!D10/'Data Entry'!B10</f>
        <v>0.5957446808510638</v>
      </c>
      <c r="C11" s="156">
        <f>'Data Entry'!E10/'Data Entry'!B10</f>
        <v>4.2553191489361701E-2</v>
      </c>
      <c r="D11" s="156">
        <f>'Data Entry'!F10/'Data Entry'!B10</f>
        <v>0</v>
      </c>
      <c r="E11" s="156">
        <f>'Data Entry'!G10/'Data Entry'!B10</f>
        <v>0</v>
      </c>
      <c r="F11" s="156">
        <f>'Data Entry'!H10/'Data Entry'!B10</f>
        <v>1.0638297872340425E-2</v>
      </c>
      <c r="G11" s="156">
        <f>'Data Entry'!I10/'Data Entry'!B10</f>
        <v>9.5744680851063829E-2</v>
      </c>
      <c r="H11" s="156">
        <f>SUM(D11:G11)/'Data Entry'!B10</f>
        <v>1.1317338162064282E-3</v>
      </c>
      <c r="I11" s="156">
        <f>'Data Entry'!C10/'Data Entry'!B10</f>
        <v>0.24468085106382978</v>
      </c>
      <c r="K11" s="96" t="str">
        <f t="shared" si="0"/>
        <v>Detentions, total N=94</v>
      </c>
      <c r="L11">
        <f>I14/(SUM(B14:G14))</f>
        <v>2.1713920272862932</v>
      </c>
    </row>
    <row r="12" spans="1:12" x14ac:dyDescent="0.2">
      <c r="A12" s="131" t="str">
        <f>CONCATENATE("Referrals, total N=", 'Data Entry'!B8)</f>
        <v>Referrals, total N=483</v>
      </c>
      <c r="B12" s="156">
        <f>'Data Entry'!D8/'Data Entry'!B8</f>
        <v>0.52795031055900621</v>
      </c>
      <c r="C12" s="156">
        <f>'Data Entry'!E8/'Data Entry'!B8</f>
        <v>8.2815734989648039E-3</v>
      </c>
      <c r="D12" s="156">
        <f>'Data Entry'!F8/'Data Entry'!B8</f>
        <v>6.2111801242236021E-3</v>
      </c>
      <c r="E12" s="156">
        <f>'Data Entry'!G8/'Data Entry'!B8</f>
        <v>0</v>
      </c>
      <c r="F12" s="156">
        <f>'Data Entry'!H8/'Data Entry'!B8</f>
        <v>4.140786749482402E-3</v>
      </c>
      <c r="G12" s="156">
        <f>'Data Entry'!I8/'Data Entry'!B8</f>
        <v>0</v>
      </c>
      <c r="H12" s="156">
        <f>SUM(D12:G12)/'Data Entry'!B8</f>
        <v>2.1432643630861292E-5</v>
      </c>
      <c r="I12" s="156">
        <f>'Data Entry'!C8/'Data Entry'!B8</f>
        <v>0.43478260869565216</v>
      </c>
      <c r="K12" s="96" t="str">
        <f t="shared" si="0"/>
        <v>Referrals, total N=483</v>
      </c>
      <c r="L12">
        <f>I14/(SUM(B14:G14))</f>
        <v>2.1713920272862932</v>
      </c>
    </row>
    <row r="13" spans="1:12" x14ac:dyDescent="0.2">
      <c r="A13" s="131" t="str">
        <f>CONCATENATE("Arrests, total N=", 'Data Entry'!B7)</f>
        <v>Arrests, total N=340</v>
      </c>
      <c r="B13" s="156">
        <f>'Data Entry'!D7/'Data Entry'!B7</f>
        <v>0.53235294117647058</v>
      </c>
      <c r="C13" s="156">
        <f>'Data Entry'!E7/'Data Entry'!B7</f>
        <v>2.9411764705882353E-3</v>
      </c>
      <c r="D13" s="156">
        <f>'Data Entry'!F7/'Data Entry'!B7</f>
        <v>2.9411764705882353E-3</v>
      </c>
      <c r="E13" s="156">
        <f>'Data Entry'!G7/'Data Entry'!B7</f>
        <v>0</v>
      </c>
      <c r="F13" s="156">
        <f>'Data Entry'!H7/'Data Entry'!B7</f>
        <v>0</v>
      </c>
      <c r="G13" s="156">
        <f>'Data Entry'!I7/'Data Entry'!B7</f>
        <v>0</v>
      </c>
      <c r="H13" s="156">
        <f>SUM(D13:G13)/'Data Entry'!B7</f>
        <v>8.6505190311418676E-6</v>
      </c>
      <c r="I13" s="156">
        <f>'Data Entry'!C7/'Data Entry'!B7</f>
        <v>0.41176470588235292</v>
      </c>
      <c r="K13" s="96" t="str">
        <f t="shared" si="0"/>
        <v>Arrests, total N=340</v>
      </c>
      <c r="L13">
        <f>I14/(SUM(B14:G14))</f>
        <v>2.1713920272862932</v>
      </c>
    </row>
    <row r="14" spans="1:12" x14ac:dyDescent="0.2">
      <c r="A14" s="131" t="str">
        <f>CONCATENATE("Population, total N=", 'Data Entry'!B6)</f>
        <v>Population, total N=28154</v>
      </c>
      <c r="B14" s="156">
        <f>'Data Entry'!D6/'Data Entry'!B6</f>
        <v>0.18690061802940969</v>
      </c>
      <c r="C14" s="156">
        <f>'Data Entry'!E6/'Data Entry'!B6</f>
        <v>5.6830290544860412E-2</v>
      </c>
      <c r="D14" s="156">
        <f>'Data Entry'!F6/'Data Entry'!B6</f>
        <v>8.2261845563685446E-2</v>
      </c>
      <c r="E14" s="156">
        <f>'Data Entry'!G6/'Data Entry'!B6</f>
        <v>0</v>
      </c>
      <c r="F14" s="156">
        <f>'Data Entry'!H6/'Data Entry'!B6</f>
        <v>7.2458620444697027E-3</v>
      </c>
      <c r="G14" s="156">
        <f>'Data Entry'!I6/'Data Entry'!B6</f>
        <v>0</v>
      </c>
      <c r="H14" s="156">
        <f>SUM(D14:G14)/'Data Entry'!B6</f>
        <v>3.1792181433599185E-6</v>
      </c>
      <c r="I14" s="156">
        <f>'Data Entry'!C6/'Data Entry'!B6</f>
        <v>0.72359167436243521</v>
      </c>
      <c r="K14" s="96" t="str">
        <f t="shared" si="0"/>
        <v>Population, total N=28154</v>
      </c>
      <c r="L14">
        <f>I14/(SUM(B14:G14))</f>
        <v>2.1713920272862932</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30"/>
  <sheetViews>
    <sheetView showGridLines="0" zoomScaleNormal="100" workbookViewId="0">
      <selection activeCell="X15" sqref="X15"/>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8" t="s">
        <v>115</v>
      </c>
      <c r="C2" s="179"/>
      <c r="D2" s="179"/>
      <c r="E2" s="179"/>
      <c r="F2" s="179"/>
      <c r="G2" s="179"/>
      <c r="H2" s="179"/>
      <c r="I2" s="179"/>
      <c r="J2" s="179"/>
      <c r="K2" s="180"/>
    </row>
    <row r="3" spans="2:30" s="1" customFormat="1" ht="19.5" thickTop="1" x14ac:dyDescent="0.35">
      <c r="B3" s="97" t="str">
        <f>'Data Entry'!A2</f>
        <v>State: Michigan</v>
      </c>
      <c r="C3" s="121"/>
      <c r="D3" s="121"/>
      <c r="H3" s="211" t="str">
        <f>'Data Entry'!C3</f>
        <v xml:space="preserve">Reporting Period:  </v>
      </c>
      <c r="I3" s="212"/>
      <c r="J3" s="212"/>
      <c r="K3" s="213"/>
    </row>
    <row r="4" spans="2:30" s="1" customFormat="1" ht="19.5" thickBot="1" x14ac:dyDescent="0.4">
      <c r="B4" s="101" t="str">
        <f>'Data Entry'!A3</f>
        <v>County: Washtenaw</v>
      </c>
      <c r="C4" s="120"/>
      <c r="D4" s="120"/>
      <c r="E4" s="123"/>
      <c r="F4" s="123"/>
      <c r="G4" s="123"/>
      <c r="H4" s="183" t="str">
        <f>'Data Entry'!C4</f>
        <v>1/1/13 through 12/31/13</v>
      </c>
      <c r="I4" s="214"/>
      <c r="J4" s="214"/>
      <c r="K4" s="215"/>
    </row>
    <row r="5" spans="2:30" s="122" customFormat="1" ht="69" customHeight="1" x14ac:dyDescent="0.35">
      <c r="B5" s="99"/>
      <c r="C5" s="100" t="s">
        <v>3</v>
      </c>
      <c r="D5" s="208" t="str">
        <f>'Black or African-American'!$F$1</f>
        <v>Black or African American</v>
      </c>
      <c r="E5" s="209"/>
      <c r="F5" s="208" t="str">
        <f>Hispanic!F1</f>
        <v>Hispanic or Latino</v>
      </c>
      <c r="G5" s="209"/>
      <c r="H5" s="208" t="str">
        <f>Asian!F1</f>
        <v>Asian</v>
      </c>
      <c r="I5" s="209"/>
      <c r="J5" s="208" t="str">
        <f>'Data Entry'!J5</f>
        <v>All Minorities</v>
      </c>
      <c r="K5" s="210"/>
      <c r="N5" s="69"/>
      <c r="O5" s="69"/>
      <c r="P5" s="69"/>
      <c r="Q5" s="69"/>
    </row>
    <row r="6" spans="2:30" s="122" customFormat="1" ht="18" customHeight="1" x14ac:dyDescent="0.35">
      <c r="B6" s="158" t="s">
        <v>113</v>
      </c>
      <c r="C6" s="125" t="s">
        <v>111</v>
      </c>
      <c r="D6" s="126" t="s">
        <v>111</v>
      </c>
      <c r="E6" s="127" t="s">
        <v>112</v>
      </c>
      <c r="F6" s="126" t="s">
        <v>111</v>
      </c>
      <c r="G6" s="127" t="s">
        <v>112</v>
      </c>
      <c r="H6" s="126" t="s">
        <v>111</v>
      </c>
      <c r="I6" s="127" t="s">
        <v>112</v>
      </c>
      <c r="J6" s="126" t="s">
        <v>111</v>
      </c>
      <c r="K6" s="128" t="s">
        <v>112</v>
      </c>
    </row>
    <row r="7" spans="2:30" s="134" customFormat="1" ht="18" customHeight="1" x14ac:dyDescent="0.3">
      <c r="B7" s="147" t="str">
        <f>'Data Entry'!A6</f>
        <v xml:space="preserve">1. Population at Risk (age 10 through 16) </v>
      </c>
      <c r="C7" s="103">
        <f>'Data Entry'!C6</f>
        <v>20372</v>
      </c>
      <c r="D7" s="104">
        <f>'Data Entry'!D6</f>
        <v>5262</v>
      </c>
      <c r="E7" s="105"/>
      <c r="F7" s="106">
        <f>'Data Entry'!E6</f>
        <v>1600</v>
      </c>
      <c r="G7" s="105"/>
      <c r="H7" s="106">
        <f>'Data Entry'!F6</f>
        <v>2316</v>
      </c>
      <c r="I7" s="105"/>
      <c r="J7" s="106">
        <f>'Data Entry'!J6</f>
        <v>9382</v>
      </c>
      <c r="K7" s="107"/>
    </row>
    <row r="8" spans="2:30" s="1" customFormat="1" ht="15" customHeight="1" x14ac:dyDescent="0.3">
      <c r="B8" s="124" t="s">
        <v>8</v>
      </c>
      <c r="C8" s="103">
        <f>'Data Entry'!C7</f>
        <v>140</v>
      </c>
      <c r="D8" s="104">
        <f>'Data Entry'!D7</f>
        <v>181</v>
      </c>
      <c r="E8" s="105">
        <f>'Black or African-American'!$G7</f>
        <v>5.0053374599554763</v>
      </c>
      <c r="F8" s="106">
        <f>'Data Entry'!E7</f>
        <v>1</v>
      </c>
      <c r="G8" s="105" t="str">
        <f>Hispanic!G7</f>
        <v>**</v>
      </c>
      <c r="H8" s="106">
        <f>'Data Entry'!F7</f>
        <v>1</v>
      </c>
      <c r="I8" s="105" t="str">
        <f>Asian!G7</f>
        <v>**</v>
      </c>
      <c r="J8" s="106">
        <f>'Data Entry'!J7</f>
        <v>183</v>
      </c>
      <c r="K8" s="107">
        <f>'All Minorities'!G7</f>
        <v>2.8383195785242257</v>
      </c>
      <c r="L8"/>
      <c r="N8" s="1">
        <f>'Black or African-American'!L7</f>
        <v>1</v>
      </c>
      <c r="O8" s="1">
        <f>Hispanic!L7</f>
        <v>20</v>
      </c>
      <c r="P8" s="1">
        <f>Asian!L7</f>
        <v>20</v>
      </c>
      <c r="Q8" s="1" t="e">
        <f>Hawaiian!L7</f>
        <v>#VALUE!</v>
      </c>
      <c r="R8" s="1">
        <f>'Am Indian'!L7</f>
        <v>139</v>
      </c>
      <c r="S8" s="1" t="e">
        <f>'Other - Mixed'!L7</f>
        <v>#VALUE!</v>
      </c>
      <c r="T8" s="1">
        <f>'All Minorities'!L7</f>
        <v>1</v>
      </c>
    </row>
    <row r="9" spans="2:30" s="1" customFormat="1" ht="15" customHeight="1" x14ac:dyDescent="0.3">
      <c r="B9" s="124" t="s">
        <v>128</v>
      </c>
      <c r="C9" s="103">
        <f>'Data Entry'!C8</f>
        <v>210</v>
      </c>
      <c r="D9" s="108">
        <f>'Data Entry'!D8</f>
        <v>255</v>
      </c>
      <c r="E9" s="109">
        <f>'Black or African-American'!$G8</f>
        <v>0.93922651933701651</v>
      </c>
      <c r="F9" s="110">
        <f>'Data Entry'!E8</f>
        <v>4</v>
      </c>
      <c r="G9" s="109" t="str">
        <f>Hispanic!G8</f>
        <v>**</v>
      </c>
      <c r="H9" s="110">
        <f>'Data Entry'!F8</f>
        <v>3</v>
      </c>
      <c r="I9" s="109" t="str">
        <f>Asian!G8</f>
        <v>**</v>
      </c>
      <c r="J9" s="110">
        <f>'Data Entry'!J8</f>
        <v>264</v>
      </c>
      <c r="K9" s="111">
        <f>'All Minorities'!G8</f>
        <v>0.96174863387978138</v>
      </c>
      <c r="L9"/>
      <c r="N9" s="1">
        <f>'Black or African-American'!L8</f>
        <v>2</v>
      </c>
      <c r="O9" s="1">
        <f>Hispanic!L8</f>
        <v>20</v>
      </c>
      <c r="P9" s="1">
        <f>Asian!L8</f>
        <v>40</v>
      </c>
      <c r="Q9" s="1">
        <f>Hawaiian!L8</f>
        <v>139</v>
      </c>
      <c r="R9" s="1">
        <f>'Am Indian'!L8</f>
        <v>119</v>
      </c>
      <c r="S9" s="1">
        <f>'Other - Mixed'!L8</f>
        <v>139</v>
      </c>
      <c r="T9" s="1">
        <f>'All Minorities'!L8</f>
        <v>2</v>
      </c>
    </row>
    <row r="10" spans="2:30" s="1" customFormat="1" ht="15" customHeight="1" x14ac:dyDescent="0.3">
      <c r="B10" s="124" t="s">
        <v>10</v>
      </c>
      <c r="C10" s="103">
        <f>'Data Entry'!C9</f>
        <v>52</v>
      </c>
      <c r="D10" s="112">
        <f>'Data Entry'!D9</f>
        <v>47</v>
      </c>
      <c r="E10" s="113">
        <f>'Black or African-American'!$G9</f>
        <v>0.74434389140271506</v>
      </c>
      <c r="F10" s="114">
        <f>'Data Entry'!E9</f>
        <v>0</v>
      </c>
      <c r="G10" s="113" t="str">
        <f>Hispanic!G9</f>
        <v>**</v>
      </c>
      <c r="H10" s="114">
        <f>'Data Entry'!F9</f>
        <v>0</v>
      </c>
      <c r="I10" s="113" t="str">
        <f>Asian!G9</f>
        <v>**</v>
      </c>
      <c r="J10" s="114">
        <f>'Data Entry'!J9</f>
        <v>48</v>
      </c>
      <c r="K10" s="115">
        <f>'All Minorities'!G9</f>
        <v>0.73426573426573427</v>
      </c>
      <c r="L10"/>
      <c r="N10" s="1">
        <f>'Black or African-American'!L9</f>
        <v>2</v>
      </c>
      <c r="O10" s="1">
        <f>Hispanic!L9</f>
        <v>40</v>
      </c>
      <c r="P10" s="1">
        <f>Asian!L9</f>
        <v>40</v>
      </c>
      <c r="Q10" s="1" t="e">
        <f>Hawaiian!L9</f>
        <v>#VALUE!</v>
      </c>
      <c r="R10" s="1">
        <f>'Am Indian'!L9</f>
        <v>139</v>
      </c>
      <c r="S10" s="1" t="e">
        <f>'Other - Mixed'!L9</f>
        <v>#DIV/0!</v>
      </c>
      <c r="T10" s="1">
        <f>'All Minorities'!L9</f>
        <v>2</v>
      </c>
    </row>
    <row r="11" spans="2:30" s="1" customFormat="1" ht="15" customHeight="1" x14ac:dyDescent="0.3">
      <c r="B11" s="124" t="s">
        <v>11</v>
      </c>
      <c r="C11" s="103">
        <f>'Data Entry'!C10</f>
        <v>23</v>
      </c>
      <c r="D11" s="108">
        <f>'Data Entry'!D10</f>
        <v>56</v>
      </c>
      <c r="E11" s="109">
        <f>'Black or African-American'!$G10</f>
        <v>2.0051150895140664</v>
      </c>
      <c r="F11" s="110">
        <f>'Data Entry'!E10</f>
        <v>4</v>
      </c>
      <c r="G11" s="109" t="str">
        <f>Hispanic!G10</f>
        <v>**</v>
      </c>
      <c r="H11" s="110">
        <f>'Data Entry'!F10</f>
        <v>0</v>
      </c>
      <c r="I11" s="109" t="str">
        <f>Asian!G10</f>
        <v>**</v>
      </c>
      <c r="J11" s="110">
        <f>'Data Entry'!J10</f>
        <v>70</v>
      </c>
      <c r="K11" s="111">
        <f>'All Minorities'!G10</f>
        <v>2.4209486166007905</v>
      </c>
      <c r="L11"/>
      <c r="N11" s="1">
        <f>'Black or African-American'!L10</f>
        <v>1</v>
      </c>
      <c r="O11" s="1">
        <f>Hispanic!L10</f>
        <v>20</v>
      </c>
      <c r="P11" s="1">
        <f>Asian!L10</f>
        <v>40</v>
      </c>
      <c r="Q11" s="1" t="e">
        <f>Hawaiian!L10</f>
        <v>#VALUE!</v>
      </c>
      <c r="R11" s="1">
        <f>'Am Indian'!L10</f>
        <v>139</v>
      </c>
      <c r="S11" s="1" t="e">
        <f>'Other - Mixed'!L10</f>
        <v>#DIV/0!</v>
      </c>
      <c r="T11" s="1">
        <f>'All Minorities'!L10</f>
        <v>1</v>
      </c>
    </row>
    <row r="12" spans="2:30" s="1" customFormat="1" ht="15" customHeight="1" x14ac:dyDescent="0.3">
      <c r="B12" s="124" t="s">
        <v>97</v>
      </c>
      <c r="C12" s="103">
        <f>'Data Entry'!C11</f>
        <v>257</v>
      </c>
      <c r="D12" s="112">
        <f>'Data Entry'!D11</f>
        <v>295</v>
      </c>
      <c r="E12" s="113">
        <f>'Black or African-American'!$G11</f>
        <v>0.9452964065003433</v>
      </c>
      <c r="F12" s="114">
        <f>'Data Entry'!E11</f>
        <v>8</v>
      </c>
      <c r="G12" s="113" t="str">
        <f>Hispanic!G11</f>
        <v>**</v>
      </c>
      <c r="H12" s="114">
        <f>'Data Entry'!F11</f>
        <v>4</v>
      </c>
      <c r="I12" s="113" t="str">
        <f>Asian!G11</f>
        <v>**</v>
      </c>
      <c r="J12" s="114">
        <f>'Data Entry'!J11</f>
        <v>312</v>
      </c>
      <c r="K12" s="115">
        <f>'All Minorities'!G11</f>
        <v>0.96568800848956482</v>
      </c>
      <c r="L12"/>
      <c r="N12" s="1">
        <f>'Black or African-American'!L11</f>
        <v>2</v>
      </c>
      <c r="O12" s="1">
        <f>Hispanic!L11</f>
        <v>20</v>
      </c>
      <c r="P12" s="1">
        <f>Asian!L11</f>
        <v>40</v>
      </c>
      <c r="Q12" s="1" t="e">
        <f>Hawaiian!L11</f>
        <v>#VALUE!</v>
      </c>
      <c r="R12" s="1">
        <f>'Am Indian'!L11</f>
        <v>119</v>
      </c>
      <c r="S12" s="1" t="e">
        <f>'Other - Mixed'!L11</f>
        <v>#DIV/0!</v>
      </c>
      <c r="T12" s="1">
        <f>'All Minorities'!L11</f>
        <v>2</v>
      </c>
    </row>
    <row r="13" spans="2:30" s="1" customFormat="1" ht="15" customHeight="1" x14ac:dyDescent="0.3">
      <c r="B13" s="124" t="s">
        <v>13</v>
      </c>
      <c r="C13" s="103">
        <f>'Data Entry'!C12</f>
        <v>168</v>
      </c>
      <c r="D13" s="108">
        <f>'Data Entry'!D12</f>
        <v>273</v>
      </c>
      <c r="E13" s="109">
        <f>'Black or African-American'!$G12</f>
        <v>1.4156779661016947</v>
      </c>
      <c r="F13" s="110">
        <f>'Data Entry'!E12</f>
        <v>5</v>
      </c>
      <c r="G13" s="109" t="str">
        <f>Hispanic!G12</f>
        <v>**</v>
      </c>
      <c r="H13" s="110">
        <f>'Data Entry'!F12</f>
        <v>0</v>
      </c>
      <c r="I13" s="109" t="str">
        <f>Asian!G12</f>
        <v>**</v>
      </c>
      <c r="J13" s="110">
        <f>'Data Entry'!J12</f>
        <v>281</v>
      </c>
      <c r="K13" s="111">
        <f>'All Minorities'!G12</f>
        <v>1.3777663308913306</v>
      </c>
      <c r="L13"/>
      <c r="N13" s="1">
        <f>'Black or African-American'!L12</f>
        <v>1</v>
      </c>
      <c r="O13" s="1">
        <f>Hispanic!L12</f>
        <v>40</v>
      </c>
      <c r="P13" s="1">
        <f>Asian!L12</f>
        <v>20</v>
      </c>
      <c r="Q13" s="1" t="e">
        <f>Hawaiian!L12</f>
        <v>#VALUE!</v>
      </c>
      <c r="R13" s="1" t="e">
        <f>'Am Indian'!L12</f>
        <v>#VALUE!</v>
      </c>
      <c r="S13" s="1">
        <f>'Other - Mixed'!L12</f>
        <v>139</v>
      </c>
      <c r="T13" s="1">
        <f>'All Minorities'!L12</f>
        <v>1</v>
      </c>
      <c r="W13" s="134"/>
      <c r="X13" s="134"/>
      <c r="Y13" s="134"/>
      <c r="Z13" s="134"/>
      <c r="AA13" s="134"/>
      <c r="AB13" s="134"/>
      <c r="AC13" s="134"/>
      <c r="AD13" s="134"/>
    </row>
    <row r="14" spans="2:30" s="1" customFormat="1" ht="15" customHeight="1" x14ac:dyDescent="0.3">
      <c r="B14" s="124" t="s">
        <v>14</v>
      </c>
      <c r="C14" s="103">
        <f>'Data Entry'!C13</f>
        <v>96</v>
      </c>
      <c r="D14" s="112">
        <f>'Data Entry'!D13</f>
        <v>129</v>
      </c>
      <c r="E14" s="113">
        <f>'Black or African-American'!$G13</f>
        <v>0.82692307692307687</v>
      </c>
      <c r="F14" s="114">
        <f>'Data Entry'!E13</f>
        <v>3</v>
      </c>
      <c r="G14" s="113" t="str">
        <f>Hispanic!G13</f>
        <v>**</v>
      </c>
      <c r="H14" s="114">
        <f>'Data Entry'!F13</f>
        <v>0</v>
      </c>
      <c r="I14" s="113" t="str">
        <f>Asian!G13</f>
        <v>--</v>
      </c>
      <c r="J14" s="114">
        <f>'Data Entry'!J13</f>
        <v>133</v>
      </c>
      <c r="K14" s="115">
        <f>'All Minorities'!G13</f>
        <v>0.82829181494661908</v>
      </c>
      <c r="L14"/>
      <c r="N14" s="1">
        <f>'Black or African-American'!L13</f>
        <v>1</v>
      </c>
      <c r="O14" s="1">
        <f>Hispanic!L13</f>
        <v>40</v>
      </c>
      <c r="P14" s="1" t="e">
        <f>Asian!L13</f>
        <v>#VALUE!</v>
      </c>
      <c r="Q14" s="1" t="e">
        <f>Hawaiian!L13</f>
        <v>#VALUE!</v>
      </c>
      <c r="R14" s="1" t="e">
        <f>'Am Indian'!L13</f>
        <v>#VALUE!</v>
      </c>
      <c r="S14" s="1">
        <f>'Other - Mixed'!L13</f>
        <v>139</v>
      </c>
      <c r="T14" s="1">
        <f>'All Minorities'!L13</f>
        <v>1</v>
      </c>
      <c r="W14" s="134"/>
      <c r="X14" s="134"/>
      <c r="Y14" s="134"/>
      <c r="Z14" s="134"/>
      <c r="AA14" s="134"/>
      <c r="AB14" s="134"/>
      <c r="AC14" s="134"/>
      <c r="AD14" s="134"/>
    </row>
    <row r="15" spans="2:30" s="1" customFormat="1" ht="33" x14ac:dyDescent="0.3">
      <c r="B15" s="129" t="s">
        <v>117</v>
      </c>
      <c r="C15" s="103">
        <f>'Data Entry'!C14</f>
        <v>61</v>
      </c>
      <c r="D15" s="108">
        <f>'Data Entry'!D14</f>
        <v>123</v>
      </c>
      <c r="E15" s="109">
        <f>'Black or African-American'!$G14</f>
        <v>1.2408575031525853</v>
      </c>
      <c r="F15" s="110">
        <f>'Data Entry'!E14</f>
        <v>11</v>
      </c>
      <c r="G15" s="109" t="str">
        <f>Hispanic!G14</f>
        <v>**</v>
      </c>
      <c r="H15" s="110">
        <f>'Data Entry'!F14</f>
        <v>0</v>
      </c>
      <c r="I15" s="109" t="str">
        <f>Asian!G14</f>
        <v>--</v>
      </c>
      <c r="J15" s="110">
        <f>'Data Entry'!J14</f>
        <v>175</v>
      </c>
      <c r="K15" s="111">
        <f>'All Minorities'!G14</f>
        <v>1.7151858117962779</v>
      </c>
      <c r="L15"/>
      <c r="N15" s="1">
        <f>'Black or African-American'!L14</f>
        <v>2</v>
      </c>
      <c r="O15" s="1">
        <f>Hispanic!L14</f>
        <v>20</v>
      </c>
      <c r="P15" s="1" t="e">
        <f>Asian!L14</f>
        <v>#VALUE!</v>
      </c>
      <c r="Q15" s="1" t="e">
        <f>Hawaiian!L14</f>
        <v>#VALUE!</v>
      </c>
      <c r="R15" s="1" t="e">
        <f>'Am Indian'!L14</f>
        <v>#VALUE!</v>
      </c>
      <c r="S15" s="1">
        <f>'Other - Mixed'!L14</f>
        <v>119</v>
      </c>
      <c r="T15" s="1">
        <f>'All Minorities'!L14</f>
        <v>1</v>
      </c>
      <c r="W15" s="134"/>
      <c r="X15" s="134"/>
      <c r="Y15" s="134"/>
      <c r="Z15" s="134"/>
      <c r="AA15" s="134"/>
      <c r="AB15" s="134"/>
      <c r="AC15" s="134"/>
      <c r="AD15" s="134"/>
    </row>
    <row r="16" spans="2:30" s="1" customFormat="1" ht="15" customHeight="1" x14ac:dyDescent="0.3">
      <c r="B16" s="124"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4"/>
      <c r="X16" s="134"/>
      <c r="Y16" s="134"/>
      <c r="Z16" s="134"/>
      <c r="AA16" s="134"/>
      <c r="AB16" s="134"/>
      <c r="AC16" s="134"/>
      <c r="AD16" s="134"/>
    </row>
    <row r="17" spans="2:30" s="1" customFormat="1" ht="15" customHeight="1" thickBot="1" x14ac:dyDescent="0.4">
      <c r="B17" s="130" t="s">
        <v>98</v>
      </c>
      <c r="C17" s="98" t="str">
        <f>'Data Entry'!C16</f>
        <v>Yes</v>
      </c>
      <c r="D17" s="132"/>
      <c r="E17" s="144" t="str">
        <f>'Data Entry'!$D$16</f>
        <v>Yes</v>
      </c>
      <c r="F17" s="132"/>
      <c r="G17" s="144" t="str">
        <f>'Data Entry'!$E$16</f>
        <v>Yes</v>
      </c>
      <c r="H17" s="132"/>
      <c r="I17" s="144" t="str">
        <f>'Data Entry'!F16</f>
        <v>Yes</v>
      </c>
      <c r="J17" s="132"/>
      <c r="K17" s="143" t="str">
        <f>'Data Entry'!J16</f>
        <v>Yes</v>
      </c>
      <c r="L17"/>
      <c r="W17" s="134"/>
      <c r="X17" s="134"/>
      <c r="Y17" s="134"/>
      <c r="Z17" s="134"/>
      <c r="AA17" s="134"/>
      <c r="AB17" s="134"/>
      <c r="AC17" s="134"/>
      <c r="AD17" s="134"/>
    </row>
    <row r="18" spans="2:30" ht="15" customHeight="1" thickTop="1" thickBot="1" x14ac:dyDescent="0.35">
      <c r="B18" s="93"/>
      <c r="C18" s="93"/>
      <c r="D18" s="93"/>
      <c r="E18" s="93"/>
      <c r="F18" s="93"/>
      <c r="G18" s="93"/>
      <c r="H18" s="93"/>
      <c r="I18" s="93"/>
      <c r="J18" s="93"/>
      <c r="K18" s="93"/>
      <c r="W18" s="134"/>
      <c r="X18" s="134"/>
      <c r="Y18" s="134"/>
      <c r="Z18" s="134"/>
      <c r="AA18" s="134"/>
      <c r="AB18" s="134"/>
      <c r="AC18" s="134"/>
      <c r="AD18" s="134"/>
    </row>
    <row r="19" spans="2:30" ht="18" customHeight="1" thickBot="1" x14ac:dyDescent="0.4">
      <c r="B19" s="198" t="s">
        <v>114</v>
      </c>
      <c r="C19" s="199"/>
      <c r="D19" s="199"/>
      <c r="E19" s="199"/>
      <c r="F19" s="199"/>
      <c r="G19" s="199"/>
      <c r="H19" s="199"/>
      <c r="I19" s="200"/>
      <c r="J19" s="201"/>
      <c r="K19" s="202"/>
    </row>
    <row r="20" spans="2:30" ht="15.75" x14ac:dyDescent="0.3">
      <c r="B20" s="159" t="s">
        <v>119</v>
      </c>
      <c r="C20" s="206" t="s">
        <v>54</v>
      </c>
      <c r="D20" s="207"/>
      <c r="E20" s="190" t="s">
        <v>57</v>
      </c>
      <c r="F20" s="191"/>
      <c r="G20" s="191"/>
      <c r="H20" s="191"/>
      <c r="I20" s="191"/>
      <c r="J20" s="191"/>
      <c r="K20" s="160" t="s">
        <v>58</v>
      </c>
    </row>
    <row r="21" spans="2:30" ht="15" customHeight="1" x14ac:dyDescent="0.3">
      <c r="B21" s="161" t="s">
        <v>120</v>
      </c>
      <c r="C21" s="192" t="s">
        <v>56</v>
      </c>
      <c r="D21" s="193"/>
      <c r="E21" s="194" t="s">
        <v>59</v>
      </c>
      <c r="F21" s="195"/>
      <c r="G21" s="195"/>
      <c r="H21" s="195"/>
      <c r="I21" s="195"/>
      <c r="J21" s="195"/>
      <c r="K21" s="162" t="s">
        <v>60</v>
      </c>
    </row>
    <row r="22" spans="2:30" ht="15" customHeight="1" thickBot="1" x14ac:dyDescent="0.35">
      <c r="B22" s="203"/>
      <c r="C22" s="204"/>
      <c r="D22" s="205"/>
      <c r="E22" s="196" t="s">
        <v>61</v>
      </c>
      <c r="F22" s="197"/>
      <c r="G22" s="197"/>
      <c r="H22" s="197"/>
      <c r="I22" s="197"/>
      <c r="J22" s="197"/>
      <c r="K22" s="163" t="s">
        <v>62</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(figures for 2013): U.S. Census estimate (from "Easy Access to Juvenile Populations: 1990-2013," C. Puzzanchera, A. Sladky, and W. Kang, Office of Juvenile Justice and Delinquency Prevention, August 2014, accessed November 19, 2012, http://www.ojjdp.gov/ojstatbb/ezapop/)</v>
      </c>
      <c r="E26" s="1" t="str">
        <f>'Data Entry'!D19</f>
        <v>Item 2.Arrest: Michigan State Police (figures for 2013)</v>
      </c>
      <c r="I26" s="96"/>
    </row>
    <row r="27" spans="2:30" ht="12.75" customHeight="1" x14ac:dyDescent="0.25">
      <c r="B27" s="1" t="str">
        <f>'Data Entry'!A20</f>
        <v>Item 3.Referral: DMC Steering Committee</v>
      </c>
      <c r="E27" s="1" t="str">
        <f>'Data Entry'!D20</f>
        <v>Item 4.Diversion: DMC Steering Committee</v>
      </c>
      <c r="I27" s="96"/>
    </row>
    <row r="28" spans="2:30" ht="12.75" customHeight="1" x14ac:dyDescent="0.25">
      <c r="B28" s="1" t="str">
        <f>'Data Entry'!A21</f>
        <v>Item 5.Detention: DMC Steering Committee</v>
      </c>
      <c r="E28" s="1" t="str">
        <f>'Data Entry'!D21</f>
        <v>Item 6.Petitioned: DMC Steering Committee</v>
      </c>
      <c r="I28" s="96"/>
    </row>
    <row r="29" spans="2:30" ht="12.75" customHeight="1" x14ac:dyDescent="0.25">
      <c r="B29" s="1" t="str">
        <f>'Data Entry'!A22</f>
        <v>Item 7.Delinquent: DMC Steering Committee</v>
      </c>
      <c r="E29" s="1" t="str">
        <f>'Data Entry'!D22</f>
        <v>Item 8.Probation: DMC Steering Committee</v>
      </c>
      <c r="I29" s="96"/>
    </row>
    <row r="30" spans="2:30" ht="12.75" customHeight="1" x14ac:dyDescent="0.25">
      <c r="B30" s="1" t="str">
        <f>'Data Entry'!A23</f>
        <v>Item 9.Confinement: DMC Steering Committee</v>
      </c>
      <c r="E30" s="1" t="str">
        <f>'Data Entry'!D23</f>
        <v>Item 10.Transferred: DMC Steering Committee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8" t="str">
        <f>'Data Entry'!D5</f>
        <v>Black or African American</v>
      </c>
      <c r="G1" s="218"/>
      <c r="H1" s="218"/>
      <c r="I1" s="218"/>
      <c r="J1" s="218"/>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Entry'!D6</f>
        <v>5262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Entry'!D7</f>
        <v>181</v>
      </c>
      <c r="F7" s="34">
        <f>IF((AND($E$7&gt;0,$D$66&gt;0)),($E$7/$D$66),0)</f>
        <v>34.397567464842268</v>
      </c>
      <c r="G7" s="39">
        <f>IF(L$6=100,"*",IF(M7=FALSE,"--",IF(K7=20,"**",($F7/$D7))))</f>
        <v>5.0053374599554763</v>
      </c>
      <c r="H7" s="40"/>
      <c r="I7" s="41"/>
      <c r="J7" s="40">
        <f>IF((ABS($U7)&gt;Defaults!D$7),1,2)</f>
        <v>1</v>
      </c>
      <c r="K7" s="39">
        <f>IF((AND(N7&gt;Defaults!B$12,(N7+O7)&gt;Defaults!B$13, P7 &gt; Defaults!B$12, (P7+Q7) &gt; Defaults!B$13)),1,20)</f>
        <v>1</v>
      </c>
      <c r="L7" s="1">
        <f>(J7*K7+L$6)-1</f>
        <v>1</v>
      </c>
      <c r="M7" s="1" t="b">
        <f t="shared" ref="M7:M15" si="0">(ISNUMBER(J7))</f>
        <v>1</v>
      </c>
      <c r="N7" s="42">
        <f t="shared" ref="N7:N15" si="1">E7</f>
        <v>181</v>
      </c>
      <c r="O7" s="42">
        <f>E6-E7</f>
        <v>5081</v>
      </c>
      <c r="P7" s="42">
        <f t="shared" ref="P7:P15" si="2">C7</f>
        <v>140</v>
      </c>
      <c r="Q7" s="42">
        <f>C6-C7</f>
        <v>20232</v>
      </c>
      <c r="R7" s="42">
        <f t="shared" ref="R7:R15" si="3">SUM(N7:Q7)</f>
        <v>25634</v>
      </c>
      <c r="S7" s="30">
        <f t="shared" ref="S7:S15" si="4">R7*((((N7*Q7)-(O7*P7))^2))</f>
        <v>2.2317850476831594E+17</v>
      </c>
      <c r="T7" s="30">
        <f t="shared" ref="T7:T15" si="5">(N7+O7)*(P7+Q7)*(N7+P7)*(O7+Q7)</f>
        <v>871030099400472</v>
      </c>
      <c r="U7" s="31">
        <f t="shared" ref="U7:U15" si="6">IF((S7&gt;0),S7/T7,"- -")</f>
        <v>256.22364246876106</v>
      </c>
    </row>
    <row r="8" spans="2:21" ht="18" customHeight="1" x14ac:dyDescent="0.25">
      <c r="B8" s="32" t="str">
        <f>'Data Entry'!A8</f>
        <v>3. Refer to Juvenile Court</v>
      </c>
      <c r="C8" s="33">
        <f>'Data Entry'!C8</f>
        <v>210</v>
      </c>
      <c r="D8" s="34">
        <f>IF((AND(C67&gt;0,C8&gt;0)),(C8/C67),0)</f>
        <v>150</v>
      </c>
      <c r="E8" s="33">
        <f>'Data Entry'!D8</f>
        <v>255</v>
      </c>
      <c r="F8" s="34">
        <f>IF((AND($E$8&gt;0,$D$67&gt;0)),($E8/$D67),0)</f>
        <v>140.88397790055248</v>
      </c>
      <c r="G8" s="39">
        <f t="shared" ref="G8:G15" si="7">IF(L$6=100,"*",IF(M8=FALSE,"--",IF(K8=20,"**",($F8/$D8))))</f>
        <v>0.93922651933701651</v>
      </c>
      <c r="H8" s="40"/>
      <c r="I8" s="41"/>
      <c r="J8" s="40">
        <f>IF((ABS($U8)&gt;Defaults!D$7),1,2)</f>
        <v>2</v>
      </c>
      <c r="K8" s="39">
        <f>IF((AND(N8&gt;Defaults!B$12,(N8+O8)&gt;Defaults!B$13, P8 &gt; Defaults!B$12, (P8+Q8) &gt; Defaults!B$13)),1,20)</f>
        <v>1</v>
      </c>
      <c r="L8" s="1">
        <f t="shared" ref="L8:L15" si="8">(J8*K8+L$6)-1</f>
        <v>2</v>
      </c>
      <c r="M8" s="1" t="b">
        <f t="shared" si="0"/>
        <v>1</v>
      </c>
      <c r="N8" s="42">
        <f t="shared" si="1"/>
        <v>255</v>
      </c>
      <c r="O8" s="42">
        <f>((D67*L67)-E8)+0.05</f>
        <v>-73.95</v>
      </c>
      <c r="P8" s="42">
        <f t="shared" si="2"/>
        <v>210</v>
      </c>
      <c r="Q8" s="42">
        <f>(C$67*L67)-C8</f>
        <v>-70</v>
      </c>
      <c r="R8" s="42">
        <f t="shared" si="3"/>
        <v>321.05</v>
      </c>
      <c r="S8" s="30">
        <f t="shared" si="4"/>
        <v>1728764436.2625</v>
      </c>
      <c r="T8" s="30">
        <f t="shared" si="5"/>
        <v>-1696645802.2499998</v>
      </c>
      <c r="U8" s="31">
        <f t="shared" si="6"/>
        <v>-1.0189306654163799</v>
      </c>
    </row>
    <row r="9" spans="2:21" ht="18" customHeight="1" x14ac:dyDescent="0.25">
      <c r="B9" s="32" t="str">
        <f>'Data Entry'!A9</f>
        <v xml:space="preserve">4. Cases Diverted </v>
      </c>
      <c r="C9" s="33">
        <f>'Data Entry'!C9</f>
        <v>52</v>
      </c>
      <c r="D9" s="34">
        <f>IF((AND(C68&gt;0,C9&gt;0)),((C9/C68)),0)</f>
        <v>24.761904761904759</v>
      </c>
      <c r="E9" s="33">
        <f>'Data Entry'!D9</f>
        <v>47</v>
      </c>
      <c r="F9" s="34">
        <f>IF((AND($E$9&gt;0,$D$68&gt;0)),(($E$9/$D$68)),0)</f>
        <v>18.43137254901961</v>
      </c>
      <c r="G9" s="39">
        <f t="shared" si="7"/>
        <v>0.74434389140271506</v>
      </c>
      <c r="H9" s="40"/>
      <c r="I9" s="41"/>
      <c r="J9" s="40">
        <f>IF((ABS($U9)&gt;Defaults!D$7),1,2)</f>
        <v>2</v>
      </c>
      <c r="K9" s="39">
        <f>IF((AND(N9&gt;Defaults!B$12,(N9+O9)&gt;Defaults!B$13, P9 &gt; Defaults!B$12, (P9+Q9) &gt; Defaults!B$13)),1,20)</f>
        <v>1</v>
      </c>
      <c r="L9" s="1">
        <f t="shared" si="8"/>
        <v>2</v>
      </c>
      <c r="M9" s="1" t="b">
        <f t="shared" si="0"/>
        <v>1</v>
      </c>
      <c r="N9" s="42">
        <f t="shared" si="1"/>
        <v>47</v>
      </c>
      <c r="O9" s="42">
        <f>(D$68*L68)-E9</f>
        <v>207.99999999999997</v>
      </c>
      <c r="P9" s="42">
        <f t="shared" si="2"/>
        <v>52</v>
      </c>
      <c r="Q9" s="42">
        <f>(C$68*L68)-C9</f>
        <v>158</v>
      </c>
      <c r="R9" s="42">
        <f t="shared" si="3"/>
        <v>465</v>
      </c>
      <c r="S9" s="30">
        <f t="shared" si="4"/>
        <v>5343826499.9999943</v>
      </c>
      <c r="T9" s="30">
        <f t="shared" si="5"/>
        <v>1940330699.9999998</v>
      </c>
      <c r="U9" s="31">
        <f t="shared" si="6"/>
        <v>2.7540802709558712</v>
      </c>
    </row>
    <row r="10" spans="2:21" ht="18" customHeight="1" x14ac:dyDescent="0.25">
      <c r="B10" s="32" t="str">
        <f>'Data Entry'!A10</f>
        <v>5. Cases Involving Secure Detention</v>
      </c>
      <c r="C10" s="33">
        <f>'Data Entry'!C10</f>
        <v>23</v>
      </c>
      <c r="D10" s="34">
        <f>IF(((AND(C68&gt;0,C10&gt;0))),(C10/(C68)),0)</f>
        <v>10.952380952380953</v>
      </c>
      <c r="E10" s="33">
        <f>'Data Entry'!D10</f>
        <v>56</v>
      </c>
      <c r="F10" s="34">
        <f>IF(((AND($E$10&gt;0,$D$68&gt;0))),($E$10/($D$68)),0)</f>
        <v>21.96078431372549</v>
      </c>
      <c r="G10" s="39">
        <f t="shared" si="7"/>
        <v>2.0051150895140664</v>
      </c>
      <c r="H10" s="40"/>
      <c r="I10" s="41"/>
      <c r="J10" s="40">
        <f>IF((ABS($U10)&gt;Defaults!D$7),1,2)</f>
        <v>1</v>
      </c>
      <c r="K10" s="39">
        <f>IF((AND(N10&gt;Defaults!B$12,(N10+O10)&gt;Defaults!B$13, P10 &gt; Defaults!B$12, (P10+Q10) &gt; Defaults!B$13)),1,20)</f>
        <v>1</v>
      </c>
      <c r="L10" s="1">
        <f t="shared" si="8"/>
        <v>1</v>
      </c>
      <c r="M10" s="1" t="b">
        <f t="shared" si="0"/>
        <v>1</v>
      </c>
      <c r="N10" s="42">
        <f t="shared" si="1"/>
        <v>56</v>
      </c>
      <c r="O10" s="42">
        <f>(D$68*L68)-E10</f>
        <v>198.99999999999997</v>
      </c>
      <c r="P10" s="42">
        <f t="shared" si="2"/>
        <v>23</v>
      </c>
      <c r="Q10" s="42">
        <f>(C$68*L68)-C10</f>
        <v>187</v>
      </c>
      <c r="R10" s="42">
        <f t="shared" si="3"/>
        <v>465</v>
      </c>
      <c r="S10" s="30">
        <f t="shared" si="4"/>
        <v>16159226625.000004</v>
      </c>
      <c r="T10" s="30">
        <f t="shared" si="5"/>
        <v>1632953699.9999995</v>
      </c>
      <c r="U10" s="31">
        <f t="shared" si="6"/>
        <v>9.8957041004898105</v>
      </c>
    </row>
    <row r="11" spans="2:21" ht="18" customHeight="1" x14ac:dyDescent="0.25">
      <c r="B11" s="32" t="str">
        <f>'Data Entry'!A11</f>
        <v>6. Cases Petitioned (Charge Filed)</v>
      </c>
      <c r="C11" s="33">
        <f>'Data Entry'!C11</f>
        <v>257</v>
      </c>
      <c r="D11" s="34">
        <f>IF(((AND(C68&gt;0,C11&gt;0))),(C11/(C68)),0)</f>
        <v>122.38095238095238</v>
      </c>
      <c r="E11" s="33">
        <f>'Data Entry'!D11</f>
        <v>295</v>
      </c>
      <c r="F11" s="34">
        <f>IF(((AND($E$11&gt;0,$D$68&gt;0))),($E$11/($D$68)),0)</f>
        <v>115.68627450980392</v>
      </c>
      <c r="G11" s="39">
        <f t="shared" si="7"/>
        <v>0.9452964065003433</v>
      </c>
      <c r="H11" s="40"/>
      <c r="I11" s="41"/>
      <c r="J11" s="40">
        <f>IF((ABS($U11)&gt;Defaults!D$7),1,2)</f>
        <v>2</v>
      </c>
      <c r="K11" s="39">
        <f>IF((AND(N11&gt;Defaults!B$12,(N11+O11)&gt;Defaults!B$13, P11 &gt; Defaults!B$12, (P11+Q11) &gt; Defaults!B$13)),1,20)</f>
        <v>1</v>
      </c>
      <c r="L11" s="1">
        <f t="shared" si="8"/>
        <v>2</v>
      </c>
      <c r="M11" s="1" t="b">
        <f t="shared" si="0"/>
        <v>1</v>
      </c>
      <c r="N11" s="42">
        <f t="shared" si="1"/>
        <v>295</v>
      </c>
      <c r="O11" s="42">
        <f>(D$68*L68)-E11</f>
        <v>-40.000000000000028</v>
      </c>
      <c r="P11" s="42">
        <f t="shared" si="2"/>
        <v>257</v>
      </c>
      <c r="Q11" s="42">
        <f>(C$68*L68)-C11</f>
        <v>-47</v>
      </c>
      <c r="R11" s="42">
        <f t="shared" si="3"/>
        <v>465</v>
      </c>
      <c r="S11" s="30">
        <f t="shared" si="4"/>
        <v>5976284624.9999762</v>
      </c>
      <c r="T11" s="30">
        <f t="shared" si="5"/>
        <v>-2571685200.0000005</v>
      </c>
      <c r="U11" s="31">
        <f t="shared" si="6"/>
        <v>-2.3238787643993031</v>
      </c>
    </row>
    <row r="12" spans="2:21" ht="18" customHeight="1" x14ac:dyDescent="0.25">
      <c r="B12" s="32" t="str">
        <f>'Data Entry'!A12</f>
        <v>7. Cases Resulting in Delinquent Findings</v>
      </c>
      <c r="C12" s="33">
        <f>'Data Entry'!C12</f>
        <v>168</v>
      </c>
      <c r="D12" s="34">
        <f>IF(((AND(C69&gt;0,C12&gt;0))),(C12/(C69)),0)</f>
        <v>65.36964980544748</v>
      </c>
      <c r="E12" s="33">
        <f>'Data Entry'!D12</f>
        <v>273</v>
      </c>
      <c r="F12" s="34">
        <f>IF(((AND($D$69&gt;0,$E$12&gt;0))),(E12/(D69)),0)</f>
        <v>92.542372881355931</v>
      </c>
      <c r="G12" s="39">
        <f t="shared" si="7"/>
        <v>1.4156779661016947</v>
      </c>
      <c r="H12" s="40"/>
      <c r="I12" s="41"/>
      <c r="J12" s="40">
        <f>IF((ABS($U12)&gt;Defaults!D$7),1,2)</f>
        <v>1</v>
      </c>
      <c r="K12" s="39">
        <f>IF((AND(N12&gt;Defaults!B$12,(N12+O12)&gt;Defaults!B$13, P12 &gt; Defaults!B$12, (P12+Q12) &gt; Defaults!B$13)),1,20)</f>
        <v>1</v>
      </c>
      <c r="L12" s="1">
        <f t="shared" si="8"/>
        <v>1</v>
      </c>
      <c r="M12" s="1" t="b">
        <f t="shared" si="0"/>
        <v>1</v>
      </c>
      <c r="N12" s="42">
        <f t="shared" si="1"/>
        <v>273</v>
      </c>
      <c r="O12" s="42">
        <f>(D69*L69)-E12</f>
        <v>22</v>
      </c>
      <c r="P12" s="42">
        <f t="shared" si="2"/>
        <v>168</v>
      </c>
      <c r="Q12" s="42">
        <f>(C69*L69)-C12</f>
        <v>89</v>
      </c>
      <c r="R12" s="42">
        <f t="shared" si="3"/>
        <v>552</v>
      </c>
      <c r="S12" s="30">
        <f t="shared" si="4"/>
        <v>234269462952</v>
      </c>
      <c r="T12" s="30">
        <f t="shared" si="5"/>
        <v>3711220065</v>
      </c>
      <c r="U12" s="31">
        <f t="shared" si="6"/>
        <v>63.124648727075687</v>
      </c>
    </row>
    <row r="13" spans="2:21" ht="18" customHeight="1" x14ac:dyDescent="0.25">
      <c r="B13" s="32" t="str">
        <f>'Data Entry'!A13</f>
        <v>8. Cases Resulting in Probation Placement</v>
      </c>
      <c r="C13" s="33">
        <f>'Data Entry'!C13</f>
        <v>96</v>
      </c>
      <c r="D13" s="34">
        <f>IF(((AND(C70&gt;0,C13&gt;0))),(C13/(C70)),0)</f>
        <v>57.142857142857146</v>
      </c>
      <c r="E13" s="33">
        <f>'Data Entry'!D13</f>
        <v>129</v>
      </c>
      <c r="F13" s="34">
        <f>IF(((AND($D$70&gt;0,$E$13&gt;0))),($E$13/($D$70)),0)</f>
        <v>47.252747252747255</v>
      </c>
      <c r="G13" s="39">
        <f t="shared" si="7"/>
        <v>0.82692307692307687</v>
      </c>
      <c r="H13" s="40"/>
      <c r="I13" s="41"/>
      <c r="J13" s="40">
        <f>IF((ABS($U13)&gt;Defaults!D$7),1,2)</f>
        <v>1</v>
      </c>
      <c r="K13" s="39">
        <f>IF((AND(N13&gt;Defaults!B$12,(N13+O13)&gt;Defaults!B$13, P13 &gt; Defaults!B$12, (P13+Q13) &gt; Defaults!B$13)),1,20)</f>
        <v>1</v>
      </c>
      <c r="L13" s="1">
        <f t="shared" si="8"/>
        <v>1</v>
      </c>
      <c r="M13" s="1" t="b">
        <f t="shared" si="0"/>
        <v>1</v>
      </c>
      <c r="N13" s="42">
        <f t="shared" si="1"/>
        <v>129</v>
      </c>
      <c r="O13" s="42">
        <f>(D70*L70)-E13</f>
        <v>144</v>
      </c>
      <c r="P13" s="42">
        <f t="shared" si="2"/>
        <v>96</v>
      </c>
      <c r="Q13" s="42">
        <f>(C70*L70)-C13</f>
        <v>72</v>
      </c>
      <c r="R13" s="42">
        <f t="shared" si="3"/>
        <v>441</v>
      </c>
      <c r="S13" s="30">
        <f t="shared" si="4"/>
        <v>9073705536</v>
      </c>
      <c r="T13" s="30">
        <f t="shared" si="5"/>
        <v>2228990400</v>
      </c>
      <c r="U13" s="31">
        <f t="shared" si="6"/>
        <v>4.0707692307692307</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Entry'!D14</f>
        <v>123</v>
      </c>
      <c r="F14" s="34">
        <f>IF(((AND($D$70&gt;0,$E$14&gt;0))), (($E$14/($D$70))),0)</f>
        <v>45.054945054945058</v>
      </c>
      <c r="G14" s="39">
        <f t="shared" si="7"/>
        <v>1.2408575031525853</v>
      </c>
      <c r="H14" s="40"/>
      <c r="I14" s="41"/>
      <c r="J14" s="40">
        <f>IF((ABS($U14)&gt;Defaults!D$7),1,2)</f>
        <v>2</v>
      </c>
      <c r="K14" s="39">
        <f>IF((AND(N14&gt;Defaults!B$12,(N14+O14)&gt;Defaults!B$13, P14 &gt; Defaults!B$12, (P14+Q14) &gt; Defaults!B$13)),1,20)</f>
        <v>1</v>
      </c>
      <c r="L14" s="1">
        <f t="shared" si="8"/>
        <v>2</v>
      </c>
      <c r="M14" s="1" t="b">
        <f t="shared" si="0"/>
        <v>1</v>
      </c>
      <c r="N14" s="42">
        <f t="shared" si="1"/>
        <v>123</v>
      </c>
      <c r="O14" s="42">
        <f>(D70*L70)-E14</f>
        <v>150</v>
      </c>
      <c r="P14" s="42">
        <f t="shared" si="2"/>
        <v>61</v>
      </c>
      <c r="Q14" s="42">
        <f>(C70*L70)-C14</f>
        <v>107</v>
      </c>
      <c r="R14" s="42">
        <f t="shared" si="3"/>
        <v>441</v>
      </c>
      <c r="S14" s="30">
        <f t="shared" si="4"/>
        <v>7094861361</v>
      </c>
      <c r="T14" s="30">
        <f t="shared" si="5"/>
        <v>2168816832</v>
      </c>
      <c r="U14" s="31">
        <f t="shared" si="6"/>
        <v>3.2713050066369092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295</v>
      </c>
      <c r="P15" s="42">
        <f t="shared" si="2"/>
        <v>0</v>
      </c>
      <c r="Q15" s="42">
        <f>(C69*L69)-C15</f>
        <v>257</v>
      </c>
      <c r="R15" s="42">
        <f t="shared" si="3"/>
        <v>552</v>
      </c>
      <c r="S15" s="30">
        <f t="shared" si="4"/>
        <v>0</v>
      </c>
      <c r="T15" s="30">
        <f t="shared" si="5"/>
        <v>0</v>
      </c>
      <c r="U15" s="31" t="str">
        <f t="shared" si="6"/>
        <v>- -</v>
      </c>
    </row>
    <row r="16" spans="2:21" ht="12" customHeight="1" x14ac:dyDescent="0.25">
      <c r="B16" s="43" t="s">
        <v>51</v>
      </c>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5.2619999999999996</v>
      </c>
      <c r="E42" s="56">
        <f>MAX(C42:D42)</f>
        <v>20.372</v>
      </c>
      <c r="G42" s="1" t="str">
        <f>B42</f>
        <v>per 1000 youth</v>
      </c>
      <c r="L42" s="57">
        <v>1000</v>
      </c>
      <c r="M42" s="57"/>
      <c r="R42" s="49"/>
    </row>
    <row r="43" spans="2:18" ht="15" hidden="1" customHeight="1" x14ac:dyDescent="0.25">
      <c r="B43" s="49" t="s">
        <v>88</v>
      </c>
      <c r="C43" s="56">
        <f>C7/100</f>
        <v>1.4</v>
      </c>
      <c r="D43" s="56">
        <f>E7/100</f>
        <v>1.81</v>
      </c>
      <c r="E43" s="56">
        <f>MAX(C43:D43,0)</f>
        <v>1.81</v>
      </c>
      <c r="G43" s="1" t="str">
        <f>B43</f>
        <v>per 100 arrests</v>
      </c>
      <c r="L43" s="57">
        <v>100</v>
      </c>
      <c r="M43" s="57"/>
      <c r="R43" s="49"/>
    </row>
    <row r="44" spans="2:18" ht="15" hidden="1" customHeight="1" x14ac:dyDescent="0.25">
      <c r="B44" s="49" t="s">
        <v>89</v>
      </c>
      <c r="C44" s="56">
        <f>C8/100</f>
        <v>2.1</v>
      </c>
      <c r="D44" s="56">
        <f>E8/100</f>
        <v>2.5499999999999998</v>
      </c>
      <c r="E44" s="56">
        <f>MAX(C44:D44,0)</f>
        <v>2.5499999999999998</v>
      </c>
      <c r="G44" s="1" t="str">
        <f>B44</f>
        <v>per 100 referrals</v>
      </c>
      <c r="L44" s="57">
        <v>100</v>
      </c>
      <c r="M44" s="57"/>
      <c r="R44" s="49"/>
    </row>
    <row r="45" spans="2:18" ht="15" hidden="1" customHeight="1" x14ac:dyDescent="0.25">
      <c r="B45" s="49" t="s">
        <v>90</v>
      </c>
      <c r="C45" s="49">
        <f>C11/100</f>
        <v>2.57</v>
      </c>
      <c r="D45" s="49">
        <f>E11/100</f>
        <v>2.95</v>
      </c>
      <c r="E45" s="56">
        <f>MAX(C45:D45,0)</f>
        <v>2.95</v>
      </c>
      <c r="G45" s="1" t="str">
        <f>B45</f>
        <v>per 100 youth petitioned</v>
      </c>
      <c r="L45" s="57">
        <v>100</v>
      </c>
      <c r="M45" s="57"/>
      <c r="R45" s="49"/>
    </row>
    <row r="46" spans="2:18" ht="15" hidden="1" customHeight="1" x14ac:dyDescent="0.25">
      <c r="B46" s="49" t="s">
        <v>91</v>
      </c>
      <c r="C46" s="49">
        <f>C12/100</f>
        <v>1.68</v>
      </c>
      <c r="D46" s="49">
        <f>E12/100</f>
        <v>2.73</v>
      </c>
      <c r="E46" s="56">
        <f>MAX(C46:D46)</f>
        <v>2.73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5.2619999999999996</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1.4</v>
      </c>
      <c r="D49" s="49">
        <f t="shared" si="9"/>
        <v>1.81</v>
      </c>
      <c r="E49" s="49">
        <f>MAX(C49:D49)</f>
        <v>1.81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2.5499999999999998</v>
      </c>
      <c r="E50" s="49">
        <f>MAX(C50:D50)</f>
        <v>2.5499999999999998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2.95</v>
      </c>
      <c r="E51" s="49">
        <f>MAX(C51:D51)</f>
        <v>2.95</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2.73</v>
      </c>
      <c r="E52" s="56">
        <f>MAX(C52:D52)</f>
        <v>2.73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5.2619999999999996</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1.81</v>
      </c>
      <c r="E55" s="49">
        <f>MAX(C55:D55)</f>
        <v>1.81</v>
      </c>
      <c r="G55" s="1" t="str">
        <f>G49</f>
        <v>per 100 arrests</v>
      </c>
      <c r="L55" s="58">
        <f>IF(($E49&gt;0),L49,L48)</f>
        <v>100</v>
      </c>
      <c r="M55" s="58"/>
    </row>
    <row r="56" spans="2:18" ht="15" hidden="1" customHeight="1" x14ac:dyDescent="0.25">
      <c r="B56" s="49" t="str">
        <f t="shared" si="10"/>
        <v>per 100 referrals</v>
      </c>
      <c r="C56" s="49">
        <f t="shared" si="10"/>
        <v>2.1</v>
      </c>
      <c r="D56" s="49">
        <f t="shared" si="10"/>
        <v>2.5499999999999998</v>
      </c>
      <c r="E56" s="49">
        <f>MAX(C56:D56)</f>
        <v>2.5499999999999998</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2.95</v>
      </c>
      <c r="E57" s="49">
        <f>MAX(C57:D57)</f>
        <v>2.95</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2.73</v>
      </c>
      <c r="E58" s="56">
        <f>MAX(C58:D58)</f>
        <v>2.73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5.2619999999999996</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1.81</v>
      </c>
      <c r="E61" s="49">
        <f>MAX(C61:D61)</f>
        <v>1.81</v>
      </c>
      <c r="G61" s="1" t="str">
        <f>G55</f>
        <v>per 100 arrests</v>
      </c>
      <c r="L61" s="58">
        <f>IF(($E55&gt;0),L55,L54)</f>
        <v>100</v>
      </c>
      <c r="M61" s="58"/>
    </row>
    <row r="62" spans="2:18" ht="15" hidden="1" customHeight="1" x14ac:dyDescent="0.25">
      <c r="B62" s="49" t="str">
        <f t="shared" si="11"/>
        <v>per 100 referrals</v>
      </c>
      <c r="C62" s="49">
        <f t="shared" si="11"/>
        <v>2.1</v>
      </c>
      <c r="D62" s="49">
        <f t="shared" si="11"/>
        <v>2.5499999999999998</v>
      </c>
      <c r="E62" s="49">
        <f>MAX(C62:D62)</f>
        <v>2.5499999999999998</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2.95</v>
      </c>
      <c r="E63" s="49">
        <f>MAX(C63:D63)</f>
        <v>2.95</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2.73</v>
      </c>
      <c r="E64" s="56">
        <f>MAX(C64:D64)</f>
        <v>2.73</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5.2619999999999996</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1.81</v>
      </c>
      <c r="E67" s="49">
        <f>MAX(C67:D67)</f>
        <v>1.81</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2.5499999999999998</v>
      </c>
      <c r="E68" s="49">
        <f>MAX(C68:D68)</f>
        <v>2.5499999999999998</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2.95</v>
      </c>
      <c r="E69" s="49">
        <f>MAX(C69:D69)</f>
        <v>2.95</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2.73</v>
      </c>
      <c r="E70" s="56">
        <f>MAX(C70:D70)</f>
        <v>2.73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8" t="str">
        <f>'Data Entry'!F5</f>
        <v>Asian</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Entry'!F6</f>
        <v>2316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Entry'!F7</f>
        <v>1</v>
      </c>
      <c r="F7" s="34">
        <f>IF((AND($E$7&gt;0,$D$66&gt;0)),($E$7/$D$66),0)</f>
        <v>0.43177892918825567</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2315</v>
      </c>
      <c r="P7" s="42">
        <f t="shared" ref="P7:P15" si="4">C7</f>
        <v>140</v>
      </c>
      <c r="Q7" s="42">
        <f>C6-C7</f>
        <v>20232</v>
      </c>
      <c r="R7" s="42">
        <f t="shared" ref="R7:R15" si="5">SUM(N7:Q7)</f>
        <v>22688</v>
      </c>
      <c r="S7" s="30">
        <f t="shared" ref="S7:S15" si="6">R7*((((N7*Q7)-(O7*P7))^2))</f>
        <v>2094913755187712</v>
      </c>
      <c r="T7" s="30">
        <f t="shared" ref="T7:T15" si="7">(N7+O7)*(P7+Q7)*(N7+P7)*(O7+Q7)</f>
        <v>149996145865104</v>
      </c>
      <c r="U7" s="31">
        <f t="shared" ref="U7:U15" si="8">IF((S7&gt;0),S7/T7,"- -")</f>
        <v>13.966450558481219</v>
      </c>
    </row>
    <row r="8" spans="2:21" ht="18" customHeight="1" x14ac:dyDescent="0.25">
      <c r="B8" s="32" t="str">
        <f>'Data Entry'!A8</f>
        <v>3. Refer to Juvenile Court</v>
      </c>
      <c r="C8" s="33">
        <f>'Data Entry'!C8</f>
        <v>210</v>
      </c>
      <c r="D8" s="34">
        <f>IF((AND(C67&gt;0,C8&gt;0)),(C8/C67),0)</f>
        <v>150</v>
      </c>
      <c r="E8" s="33">
        <f>'Data Entry'!F8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210</v>
      </c>
      <c r="Q8" s="42">
        <f>(C$67*L67)-C8</f>
        <v>-70</v>
      </c>
      <c r="R8" s="42">
        <f t="shared" si="5"/>
        <v>141.05000000000001</v>
      </c>
      <c r="S8" s="30">
        <f t="shared" si="6"/>
        <v>5613825.2625000002</v>
      </c>
      <c r="T8" s="30">
        <f t="shared" si="7"/>
        <v>-2252826.4500000002</v>
      </c>
      <c r="U8" s="31">
        <f t="shared" si="8"/>
        <v>-2.4919031212990239</v>
      </c>
    </row>
    <row r="9" spans="2:21" ht="18" customHeight="1" x14ac:dyDescent="0.25">
      <c r="B9" s="32" t="str">
        <f>'Data Entry'!A9</f>
        <v xml:space="preserve">4. Cases Diverted </v>
      </c>
      <c r="C9" s="33">
        <f>'Data Entry'!C9</f>
        <v>52</v>
      </c>
      <c r="D9" s="34">
        <f>IF((AND(C68&gt;0,C9&gt;0)),((C9/C68)),0)</f>
        <v>24.761904761904759</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52</v>
      </c>
      <c r="Q9" s="42">
        <f>(C$68*L68)-C9</f>
        <v>158</v>
      </c>
      <c r="R9" s="42">
        <f t="shared" si="5"/>
        <v>213</v>
      </c>
      <c r="S9" s="30">
        <f t="shared" si="6"/>
        <v>5183568</v>
      </c>
      <c r="T9" s="30">
        <f t="shared" si="7"/>
        <v>5274360</v>
      </c>
      <c r="U9" s="31">
        <f t="shared" si="8"/>
        <v>0.98278615794143742</v>
      </c>
    </row>
    <row r="10" spans="2:21" ht="18" customHeight="1" x14ac:dyDescent="0.25">
      <c r="B10" s="32" t="str">
        <f>'Data Entry'!A10</f>
        <v>5. Cases Involving Secure Detention</v>
      </c>
      <c r="C10" s="33">
        <f>'Data Entry'!C10</f>
        <v>23</v>
      </c>
      <c r="D10" s="34">
        <f>IF(((AND(C68&gt;0,C10&gt;0))),(C10/(C68)),0)</f>
        <v>10.952380952380953</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23</v>
      </c>
      <c r="Q10" s="42">
        <f>(C$68*L68)-C10</f>
        <v>187</v>
      </c>
      <c r="R10" s="42">
        <f t="shared" si="5"/>
        <v>213</v>
      </c>
      <c r="S10" s="30">
        <f t="shared" si="6"/>
        <v>1014093</v>
      </c>
      <c r="T10" s="30">
        <f t="shared" si="7"/>
        <v>2753100</v>
      </c>
      <c r="U10" s="31">
        <f t="shared" si="8"/>
        <v>0.36834586466165414</v>
      </c>
    </row>
    <row r="11" spans="2:21" ht="18" customHeight="1" x14ac:dyDescent="0.25">
      <c r="B11" s="32" t="str">
        <f>'Data Entry'!A11</f>
        <v>6. Cases Petitioned (Charge Filed)</v>
      </c>
      <c r="C11" s="33">
        <f>'Data Entry'!C11</f>
        <v>257</v>
      </c>
      <c r="D11" s="34">
        <f>IF(((AND(C68&gt;0,C11&gt;0))),(C11/(C68)),0)</f>
        <v>122.38095238095238</v>
      </c>
      <c r="E11" s="33">
        <f>'Data Entry'!F11</f>
        <v>4</v>
      </c>
      <c r="F11" s="34">
        <f>IF(((AND($E$11&gt;0,$D$68&gt;0))),($E$11/($D$68)),0)</f>
        <v>133.33333333333334</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-1</v>
      </c>
      <c r="P11" s="42">
        <f t="shared" si="4"/>
        <v>257</v>
      </c>
      <c r="Q11" s="42">
        <f>(C$68*L68)-C11</f>
        <v>-47</v>
      </c>
      <c r="R11" s="42">
        <f t="shared" si="5"/>
        <v>213</v>
      </c>
      <c r="S11" s="30">
        <f t="shared" si="6"/>
        <v>1014093</v>
      </c>
      <c r="T11" s="30">
        <f t="shared" si="7"/>
        <v>-7892640</v>
      </c>
      <c r="U11" s="31">
        <f t="shared" si="8"/>
        <v>-0.1284859058565955</v>
      </c>
    </row>
    <row r="12" spans="2:21" ht="18" customHeight="1" x14ac:dyDescent="0.25">
      <c r="B12" s="32" t="str">
        <f>'Data Entry'!A12</f>
        <v>7. Cases Resulting in Delinquent Findings</v>
      </c>
      <c r="C12" s="33">
        <f>'Data Entry'!C12</f>
        <v>168</v>
      </c>
      <c r="D12" s="34">
        <f>IF(((AND(C69&gt;0,C12&gt;0))),(C12/(C69)),0)</f>
        <v>65.36964980544748</v>
      </c>
      <c r="E12" s="33">
        <f>'Data Entry'!F12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0</v>
      </c>
      <c r="O12" s="42">
        <f>(D69*L69)-E12</f>
        <v>4</v>
      </c>
      <c r="P12" s="42">
        <f t="shared" si="4"/>
        <v>168</v>
      </c>
      <c r="Q12" s="42">
        <f>(C69*L69)-C12</f>
        <v>89</v>
      </c>
      <c r="R12" s="42">
        <f t="shared" si="5"/>
        <v>261</v>
      </c>
      <c r="S12" s="30">
        <f t="shared" si="6"/>
        <v>117863424</v>
      </c>
      <c r="T12" s="30">
        <f t="shared" si="7"/>
        <v>16061472</v>
      </c>
      <c r="U12" s="31">
        <f t="shared" si="8"/>
        <v>7.3382703652566841</v>
      </c>
    </row>
    <row r="13" spans="2:21" ht="18" customHeight="1" x14ac:dyDescent="0.25">
      <c r="B13" s="32" t="str">
        <f>'Data Entry'!A13</f>
        <v>8. Cases Resulting in Probation Placement</v>
      </c>
      <c r="C13" s="33">
        <f>'Data Entry'!C13</f>
        <v>96</v>
      </c>
      <c r="D13" s="34">
        <f>IF(((AND(C70&gt;0,C13&gt;0))),(C13/(C70)),0)</f>
        <v>57.142857142857146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96</v>
      </c>
      <c r="Q13" s="42">
        <f>(C70*L70)-C13</f>
        <v>72</v>
      </c>
      <c r="R13" s="42">
        <f t="shared" si="5"/>
        <v>168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61</v>
      </c>
      <c r="Q14" s="42">
        <f>(C70*L70)-C14</f>
        <v>107</v>
      </c>
      <c r="R14" s="42">
        <f t="shared" si="5"/>
        <v>168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257</v>
      </c>
      <c r="R15" s="42">
        <f t="shared" si="5"/>
        <v>261</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0</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2.3159999999999998</v>
      </c>
      <c r="E42" s="56">
        <f>MAX(C42:D42)</f>
        <v>20.372</v>
      </c>
      <c r="G42" s="1" t="str">
        <f>B42</f>
        <v>per 1000 youth</v>
      </c>
      <c r="L42" s="57">
        <v>1000</v>
      </c>
      <c r="M42" s="57"/>
      <c r="R42" s="49"/>
    </row>
    <row r="43" spans="2:18" ht="15" hidden="1" customHeight="1" x14ac:dyDescent="0.25">
      <c r="B43" s="49" t="s">
        <v>88</v>
      </c>
      <c r="C43" s="56">
        <f>C7/100</f>
        <v>1.4</v>
      </c>
      <c r="D43" s="56">
        <f>E7/100</f>
        <v>0.01</v>
      </c>
      <c r="E43" s="56">
        <f>MAX(C43:D43,0)</f>
        <v>1.4</v>
      </c>
      <c r="G43" s="1" t="str">
        <f>B43</f>
        <v>per 100 arrests</v>
      </c>
      <c r="L43" s="57">
        <v>100</v>
      </c>
      <c r="M43" s="57"/>
      <c r="R43" s="49"/>
    </row>
    <row r="44" spans="2:18" ht="15" hidden="1" customHeight="1" x14ac:dyDescent="0.25">
      <c r="B44" s="49" t="s">
        <v>89</v>
      </c>
      <c r="C44" s="56">
        <f>C8/100</f>
        <v>2.1</v>
      </c>
      <c r="D44" s="56">
        <f>E8/100</f>
        <v>0.03</v>
      </c>
      <c r="E44" s="56">
        <f>MAX(C44:D44,0)</f>
        <v>2.1</v>
      </c>
      <c r="G44" s="1" t="str">
        <f>B44</f>
        <v>per 100 referrals</v>
      </c>
      <c r="L44" s="57">
        <v>100</v>
      </c>
      <c r="M44" s="57"/>
      <c r="R44" s="49"/>
    </row>
    <row r="45" spans="2:18" ht="15" hidden="1" customHeight="1" x14ac:dyDescent="0.25">
      <c r="B45" s="49" t="s">
        <v>90</v>
      </c>
      <c r="C45" s="49">
        <f>C11/100</f>
        <v>2.57</v>
      </c>
      <c r="D45" s="49">
        <f>E11/100</f>
        <v>0.04</v>
      </c>
      <c r="E45" s="56">
        <f>MAX(C45:D45,0)</f>
        <v>2.57</v>
      </c>
      <c r="G45" s="1" t="str">
        <f>B45</f>
        <v>per 100 youth petitioned</v>
      </c>
      <c r="L45" s="57">
        <v>100</v>
      </c>
      <c r="M45" s="57"/>
      <c r="R45" s="49"/>
    </row>
    <row r="46" spans="2:18" ht="15" hidden="1" customHeight="1" x14ac:dyDescent="0.25">
      <c r="B46" s="49" t="s">
        <v>91</v>
      </c>
      <c r="C46" s="49">
        <f>C12/100</f>
        <v>1.68</v>
      </c>
      <c r="D46" s="49">
        <f>E12/100</f>
        <v>0</v>
      </c>
      <c r="E46" s="56">
        <f>MAX(C46:D46)</f>
        <v>1.68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2.3159999999999998</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0.01</v>
      </c>
      <c r="E49" s="49">
        <f>MAX(C49:D49)</f>
        <v>1.4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0.03</v>
      </c>
      <c r="E50" s="49">
        <f>MAX(C50:D50)</f>
        <v>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0.04</v>
      </c>
      <c r="E51" s="49">
        <f>MAX(C51:D51)</f>
        <v>2.57</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0</v>
      </c>
      <c r="E52" s="56">
        <f>MAX(C52:D52)</f>
        <v>1.68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2.3159999999999998</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0.01</v>
      </c>
      <c r="E55" s="49">
        <f>MAX(C55:D55)</f>
        <v>1.4</v>
      </c>
      <c r="G55" s="1" t="str">
        <f>G49</f>
        <v>per 100 arrests</v>
      </c>
      <c r="L55" s="58">
        <f>IF(($E49&gt;0),L49,L48)</f>
        <v>100</v>
      </c>
      <c r="M55" s="58"/>
    </row>
    <row r="56" spans="2:18" ht="15" hidden="1" customHeight="1" x14ac:dyDescent="0.25">
      <c r="B56" s="49" t="str">
        <f t="shared" si="10"/>
        <v>per 100 referrals</v>
      </c>
      <c r="C56" s="49">
        <f t="shared" si="10"/>
        <v>2.1</v>
      </c>
      <c r="D56" s="49">
        <f t="shared" si="10"/>
        <v>0.03</v>
      </c>
      <c r="E56" s="49">
        <f>MAX(C56:D56)</f>
        <v>2.1</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0.04</v>
      </c>
      <c r="E57" s="49">
        <f>MAX(C57:D57)</f>
        <v>2.57</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0</v>
      </c>
      <c r="E58" s="56">
        <f>MAX(C58:D58)</f>
        <v>1.68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2.3159999999999998</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0.01</v>
      </c>
      <c r="E61" s="49">
        <f>MAX(C61:D61)</f>
        <v>1.4</v>
      </c>
      <c r="G61" s="1" t="str">
        <f>G55</f>
        <v>per 100 arrests</v>
      </c>
      <c r="L61" s="58">
        <f>IF(($E55&gt;0),L55,L54)</f>
        <v>100</v>
      </c>
      <c r="M61" s="58"/>
    </row>
    <row r="62" spans="2:18" ht="15" hidden="1" customHeight="1" x14ac:dyDescent="0.25">
      <c r="B62" s="49" t="str">
        <f t="shared" si="11"/>
        <v>per 100 referrals</v>
      </c>
      <c r="C62" s="49">
        <f t="shared" si="11"/>
        <v>2.1</v>
      </c>
      <c r="D62" s="49">
        <f t="shared" si="11"/>
        <v>0.03</v>
      </c>
      <c r="E62" s="49">
        <f>MAX(C62:D62)</f>
        <v>2.1</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0.04</v>
      </c>
      <c r="E63" s="49">
        <f>MAX(C63:D63)</f>
        <v>2.57</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0</v>
      </c>
      <c r="E64" s="56">
        <f>MAX(C64:D64)</f>
        <v>1.68</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2.3159999999999998</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0.01</v>
      </c>
      <c r="E67" s="49">
        <f>MAX(C67:D67)</f>
        <v>1.4</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0.03</v>
      </c>
      <c r="E68" s="49">
        <f>MAX(C68:D68)</f>
        <v>2.1</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0.04</v>
      </c>
      <c r="E69" s="49">
        <f>MAX(C69:D69)</f>
        <v>2.57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0</v>
      </c>
      <c r="E70" s="56">
        <f>MAX(C70:D70)</f>
        <v>1.68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8" t="str">
        <f>'Data Entry'!E5</f>
        <v>Hispanic or Latino</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24.7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Entry'!E6</f>
        <v>1600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Entry'!E7</f>
        <v>1</v>
      </c>
      <c r="F7" s="34">
        <f>IF((AND($E$7&gt;0,$D$66&gt;0)),($E$7/$D$66),0)</f>
        <v>0.625</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1599</v>
      </c>
      <c r="P7" s="42">
        <f t="shared" ref="P7:P15" si="4">C7</f>
        <v>140</v>
      </c>
      <c r="Q7" s="42">
        <f>C6-C7</f>
        <v>20232</v>
      </c>
      <c r="R7" s="42">
        <f t="shared" ref="R7:R15" si="5">SUM(N7:Q7)</f>
        <v>21972</v>
      </c>
      <c r="S7" s="30">
        <f t="shared" ref="S7:S15" si="6">R7*((((N7*Q7)-(O7*P7))^2))</f>
        <v>911054970301248</v>
      </c>
      <c r="T7" s="30">
        <f t="shared" ref="T7:T15" si="7">(N7+O7)*(P7+Q7)*(N7+P7)*(O7+Q7)</f>
        <v>100333599379200</v>
      </c>
      <c r="U7" s="31">
        <f t="shared" ref="U7:U15" si="8">IF((S7&gt;0),S7/T7,"- -")</f>
        <v>9.0802580186325628</v>
      </c>
    </row>
    <row r="8" spans="2:21" ht="18" customHeight="1" x14ac:dyDescent="0.25">
      <c r="B8" s="32" t="str">
        <f>'Data Entry'!A8</f>
        <v>3. Refer to Juvenile Court</v>
      </c>
      <c r="C8" s="33">
        <f>'Data Entry'!C8</f>
        <v>210</v>
      </c>
      <c r="D8" s="34">
        <f>IF((AND(C67&gt;0,C8&gt;0)),(C8/C67),0)</f>
        <v>150</v>
      </c>
      <c r="E8" s="33">
        <f>'Data Entry'!E8</f>
        <v>4</v>
      </c>
      <c r="F8" s="34">
        <f>IF((AND($E$8&gt;0,$D$67&gt;0)),($E8/$D67),0)</f>
        <v>400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-2.95</v>
      </c>
      <c r="P8" s="42">
        <f t="shared" si="4"/>
        <v>210</v>
      </c>
      <c r="Q8" s="42">
        <f>(C$67*L67)-C8</f>
        <v>-70</v>
      </c>
      <c r="R8" s="42">
        <f t="shared" si="5"/>
        <v>141.05000000000001</v>
      </c>
      <c r="S8" s="30">
        <f t="shared" si="6"/>
        <v>16257458.262500001</v>
      </c>
      <c r="T8" s="30">
        <f t="shared" si="7"/>
        <v>-2294861.0999999996</v>
      </c>
      <c r="U8" s="31">
        <f t="shared" si="8"/>
        <v>-7.0842885708856205</v>
      </c>
    </row>
    <row r="9" spans="2:21" ht="18" customHeight="1" x14ac:dyDescent="0.25">
      <c r="B9" s="32" t="str">
        <f>'Data Entry'!A9</f>
        <v xml:space="preserve">4. Cases Diverted </v>
      </c>
      <c r="C9" s="33">
        <f>'Data Entry'!C9</f>
        <v>52</v>
      </c>
      <c r="D9" s="34">
        <f>IF((AND(C68&gt;0,C9&gt;0)),((C9/C68)),0)</f>
        <v>24.761904761904759</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52</v>
      </c>
      <c r="Q9" s="42">
        <f>(C$68*L68)-C9</f>
        <v>158</v>
      </c>
      <c r="R9" s="42">
        <f t="shared" si="5"/>
        <v>214</v>
      </c>
      <c r="S9" s="30">
        <f t="shared" si="6"/>
        <v>9258496</v>
      </c>
      <c r="T9" s="30">
        <f t="shared" si="7"/>
        <v>7076160</v>
      </c>
      <c r="U9" s="31">
        <f t="shared" si="8"/>
        <v>1.3084068195179306</v>
      </c>
    </row>
    <row r="10" spans="2:21" ht="18" customHeight="1" x14ac:dyDescent="0.25">
      <c r="B10" s="32" t="str">
        <f>'Data Entry'!A10</f>
        <v>5. Cases Involving Secure Detention</v>
      </c>
      <c r="C10" s="33">
        <f>'Data Entry'!C10</f>
        <v>23</v>
      </c>
      <c r="D10" s="34">
        <f>IF(((AND(C68&gt;0,C10&gt;0))),(C10/(C68)),0)</f>
        <v>10.952380952380953</v>
      </c>
      <c r="E10" s="33">
        <f>'Data Entry'!E10</f>
        <v>4</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4</v>
      </c>
      <c r="O10" s="42">
        <f>(D$68*L68)-E10</f>
        <v>0</v>
      </c>
      <c r="P10" s="42">
        <f t="shared" si="4"/>
        <v>23</v>
      </c>
      <c r="Q10" s="42">
        <f>(C$68*L68)-C10</f>
        <v>187</v>
      </c>
      <c r="R10" s="42">
        <f t="shared" si="5"/>
        <v>214</v>
      </c>
      <c r="S10" s="30">
        <f t="shared" si="6"/>
        <v>119733856</v>
      </c>
      <c r="T10" s="30">
        <f t="shared" si="7"/>
        <v>4241160</v>
      </c>
      <c r="U10" s="31">
        <f t="shared" si="8"/>
        <v>28.231393298059963</v>
      </c>
    </row>
    <row r="11" spans="2:21" ht="18" customHeight="1" x14ac:dyDescent="0.25">
      <c r="B11" s="32" t="str">
        <f>'Data Entry'!A11</f>
        <v>6. Cases Petitioned (Charge Filed)</v>
      </c>
      <c r="C11" s="33">
        <f>'Data Entry'!C11</f>
        <v>257</v>
      </c>
      <c r="D11" s="34">
        <f>IF(((AND(C68&gt;0,C11&gt;0))),(C11/(C68)),0)</f>
        <v>122.38095238095238</v>
      </c>
      <c r="E11" s="33">
        <f>'Data Entry'!E11</f>
        <v>8</v>
      </c>
      <c r="F11" s="34">
        <f>IF(((AND($E$11&gt;0,$D$68&gt;0))),($E$11/($D$68)),0)</f>
        <v>200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8</v>
      </c>
      <c r="O11" s="42">
        <f>(D$68*L68)-E11</f>
        <v>-4</v>
      </c>
      <c r="P11" s="42">
        <f t="shared" si="4"/>
        <v>257</v>
      </c>
      <c r="Q11" s="42">
        <f>(C$68*L68)-C11</f>
        <v>-47</v>
      </c>
      <c r="R11" s="42">
        <f t="shared" si="5"/>
        <v>214</v>
      </c>
      <c r="S11" s="30">
        <f t="shared" si="6"/>
        <v>90972256</v>
      </c>
      <c r="T11" s="30">
        <f t="shared" si="7"/>
        <v>-11352600</v>
      </c>
      <c r="U11" s="31">
        <f t="shared" si="8"/>
        <v>-8.0133410848616169</v>
      </c>
    </row>
    <row r="12" spans="2:21" ht="18" customHeight="1" x14ac:dyDescent="0.25">
      <c r="B12" s="32" t="str">
        <f>'Data Entry'!A12</f>
        <v>7. Cases Resulting in Delinquent Findings</v>
      </c>
      <c r="C12" s="33">
        <f>'Data Entry'!C12</f>
        <v>168</v>
      </c>
      <c r="D12" s="34">
        <f>IF(((AND(C69&gt;0,C12&gt;0))),(C12/(C69)),0)</f>
        <v>65.36964980544748</v>
      </c>
      <c r="E12" s="33">
        <f>'Data Entry'!E12</f>
        <v>5</v>
      </c>
      <c r="F12" s="34">
        <f>IF(((AND($D$69&gt;0,$E$12&gt;0))),(E12/(D69)),0)</f>
        <v>62.5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3</v>
      </c>
      <c r="P12" s="42">
        <f t="shared" si="4"/>
        <v>168</v>
      </c>
      <c r="Q12" s="42">
        <f>(C69*L69)-C12</f>
        <v>89</v>
      </c>
      <c r="R12" s="42">
        <f t="shared" si="5"/>
        <v>265</v>
      </c>
      <c r="S12" s="30">
        <f t="shared" si="6"/>
        <v>922465</v>
      </c>
      <c r="T12" s="30">
        <f t="shared" si="7"/>
        <v>32723296</v>
      </c>
      <c r="U12" s="31">
        <f t="shared" si="8"/>
        <v>2.8189855936272434E-2</v>
      </c>
    </row>
    <row r="13" spans="2:21" ht="18" customHeight="1" x14ac:dyDescent="0.25">
      <c r="B13" s="32" t="str">
        <f>'Data Entry'!A13</f>
        <v>8. Cases Resulting in Probation Placement</v>
      </c>
      <c r="C13" s="33">
        <f>'Data Entry'!C13</f>
        <v>96</v>
      </c>
      <c r="D13" s="34">
        <f>IF(((AND(C70&gt;0,C13&gt;0))),(C13/(C70)),0)</f>
        <v>57.142857142857146</v>
      </c>
      <c r="E13" s="33">
        <f>'Data Entry'!E13</f>
        <v>3</v>
      </c>
      <c r="F13" s="34">
        <f>IF(((AND($D$70&gt;0,$E$13&gt;0))),($E$13/($D$70)),0)</f>
        <v>60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2</v>
      </c>
      <c r="P13" s="42">
        <f t="shared" si="4"/>
        <v>96</v>
      </c>
      <c r="Q13" s="42">
        <f>(C70*L70)-C13</f>
        <v>72</v>
      </c>
      <c r="R13" s="42">
        <f t="shared" si="5"/>
        <v>173</v>
      </c>
      <c r="S13" s="30">
        <f t="shared" si="6"/>
        <v>99648</v>
      </c>
      <c r="T13" s="30">
        <f t="shared" si="7"/>
        <v>6153840</v>
      </c>
      <c r="U13" s="31">
        <f t="shared" si="8"/>
        <v>1.6192816192816192E-2</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Entry'!E14</f>
        <v>11</v>
      </c>
      <c r="F14" s="34">
        <f>IF(((AND($D$70&gt;0,$E$14&gt;0))), (($E$14/($D$70))),0)</f>
        <v>220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11</v>
      </c>
      <c r="O14" s="42">
        <f>(D70*L70)-E14</f>
        <v>-6</v>
      </c>
      <c r="P14" s="42">
        <f t="shared" si="4"/>
        <v>61</v>
      </c>
      <c r="Q14" s="42">
        <f>(C70*L70)-C14</f>
        <v>107</v>
      </c>
      <c r="R14" s="42">
        <f t="shared" si="5"/>
        <v>173</v>
      </c>
      <c r="S14" s="30">
        <f t="shared" si="6"/>
        <v>411886877</v>
      </c>
      <c r="T14" s="30">
        <f t="shared" si="7"/>
        <v>6108480</v>
      </c>
      <c r="U14" s="31">
        <f t="shared" si="8"/>
        <v>67.428701902928381</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8</v>
      </c>
      <c r="P15" s="42">
        <f t="shared" si="4"/>
        <v>0</v>
      </c>
      <c r="Q15" s="42">
        <f>(C69*L69)-C15</f>
        <v>257</v>
      </c>
      <c r="R15" s="42">
        <f t="shared" si="5"/>
        <v>265</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1.25" customHeight="1" x14ac:dyDescent="0.25">
      <c r="B24" s="62"/>
      <c r="C24" s="62"/>
      <c r="D24" s="62"/>
      <c r="E24" s="62"/>
      <c r="F24" s="62"/>
      <c r="G24" s="62"/>
      <c r="H24" s="62"/>
      <c r="I24" s="62"/>
      <c r="K24" s="1" t="s">
        <v>94</v>
      </c>
      <c r="L24" s="1" t="s">
        <v>95</v>
      </c>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1.6</v>
      </c>
      <c r="E42" s="56">
        <f>MAX(C42:D42)</f>
        <v>20.372</v>
      </c>
      <c r="G42" s="1" t="str">
        <f>B42</f>
        <v>per 1000 youth</v>
      </c>
      <c r="L42" s="57">
        <v>1000</v>
      </c>
      <c r="M42" s="57"/>
      <c r="R42" s="49"/>
    </row>
    <row r="43" spans="2:18" ht="15" hidden="1" customHeight="1" x14ac:dyDescent="0.25">
      <c r="B43" s="49" t="s">
        <v>88</v>
      </c>
      <c r="C43" s="56">
        <f>C7/100</f>
        <v>1.4</v>
      </c>
      <c r="D43" s="56">
        <f>E7/100</f>
        <v>0.01</v>
      </c>
      <c r="E43" s="56">
        <f>MAX(C43:D43,0)</f>
        <v>1.4</v>
      </c>
      <c r="G43" s="1" t="str">
        <f>B43</f>
        <v>per 100 arrests</v>
      </c>
      <c r="L43" s="57">
        <v>100</v>
      </c>
      <c r="M43" s="57"/>
      <c r="R43" s="49"/>
    </row>
    <row r="44" spans="2:18" ht="15" hidden="1" customHeight="1" x14ac:dyDescent="0.25">
      <c r="B44" s="49" t="s">
        <v>89</v>
      </c>
      <c r="C44" s="56">
        <f>C8/100</f>
        <v>2.1</v>
      </c>
      <c r="D44" s="56">
        <f>E8/100</f>
        <v>0.04</v>
      </c>
      <c r="E44" s="56">
        <f>MAX(C44:D44,0)</f>
        <v>2.1</v>
      </c>
      <c r="G44" s="1" t="str">
        <f>B44</f>
        <v>per 100 referrals</v>
      </c>
      <c r="L44" s="57">
        <v>100</v>
      </c>
      <c r="M44" s="57"/>
      <c r="R44" s="49"/>
    </row>
    <row r="45" spans="2:18" ht="15" hidden="1" customHeight="1" x14ac:dyDescent="0.25">
      <c r="B45" s="49" t="s">
        <v>90</v>
      </c>
      <c r="C45" s="49">
        <f>C11/100</f>
        <v>2.57</v>
      </c>
      <c r="D45" s="49">
        <f>E11/100</f>
        <v>0.08</v>
      </c>
      <c r="E45" s="56">
        <f>MAX(C45:D45,0)</f>
        <v>2.57</v>
      </c>
      <c r="G45" s="1" t="str">
        <f>B45</f>
        <v>per 100 youth petitioned</v>
      </c>
      <c r="L45" s="57">
        <v>100</v>
      </c>
      <c r="M45" s="57"/>
      <c r="R45" s="49"/>
    </row>
    <row r="46" spans="2:18" ht="15" hidden="1" customHeight="1" x14ac:dyDescent="0.25">
      <c r="B46" s="49" t="s">
        <v>91</v>
      </c>
      <c r="C46" s="49">
        <f>C12/100</f>
        <v>1.68</v>
      </c>
      <c r="D46" s="49">
        <f>E12/100</f>
        <v>0.05</v>
      </c>
      <c r="E46" s="56">
        <f>MAX(C46:D46)</f>
        <v>1.68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1.6</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0.01</v>
      </c>
      <c r="E49" s="49">
        <f>MAX(C49:D49)</f>
        <v>1.4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0.04</v>
      </c>
      <c r="E50" s="49">
        <f>MAX(C50:D50)</f>
        <v>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0.08</v>
      </c>
      <c r="E51" s="49">
        <f>MAX(C51:D51)</f>
        <v>2.57</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0.05</v>
      </c>
      <c r="E52" s="56">
        <f>MAX(C52:D52)</f>
        <v>1.68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1.6</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0.01</v>
      </c>
      <c r="E55" s="49">
        <f>MAX(C55:D55)</f>
        <v>1.4</v>
      </c>
      <c r="G55" s="1" t="str">
        <f>G49</f>
        <v>per 100 arrests</v>
      </c>
      <c r="L55" s="58">
        <f>IF(($E49&gt;0),L49,L48)</f>
        <v>100</v>
      </c>
      <c r="M55" s="58"/>
    </row>
    <row r="56" spans="2:18" ht="15" hidden="1" customHeight="1" x14ac:dyDescent="0.25">
      <c r="B56" s="49" t="str">
        <f t="shared" si="10"/>
        <v>per 100 referrals</v>
      </c>
      <c r="C56" s="49">
        <f t="shared" si="10"/>
        <v>2.1</v>
      </c>
      <c r="D56" s="49">
        <f t="shared" si="10"/>
        <v>0.04</v>
      </c>
      <c r="E56" s="49">
        <f>MAX(C56:D56)</f>
        <v>2.1</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0.08</v>
      </c>
      <c r="E57" s="49">
        <f>MAX(C57:D57)</f>
        <v>2.57</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0.05</v>
      </c>
      <c r="E58" s="56">
        <f>MAX(C58:D58)</f>
        <v>1.68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1.6</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0.01</v>
      </c>
      <c r="E61" s="49">
        <f>MAX(C61:D61)</f>
        <v>1.4</v>
      </c>
      <c r="G61" s="1" t="str">
        <f>G55</f>
        <v>per 100 arrests</v>
      </c>
      <c r="L61" s="58">
        <f>IF(($E55&gt;0),L55,L54)</f>
        <v>100</v>
      </c>
      <c r="M61" s="58"/>
    </row>
    <row r="62" spans="2:18" ht="15" hidden="1" customHeight="1" x14ac:dyDescent="0.25">
      <c r="B62" s="49" t="str">
        <f t="shared" si="11"/>
        <v>per 100 referrals</v>
      </c>
      <c r="C62" s="49">
        <f t="shared" si="11"/>
        <v>2.1</v>
      </c>
      <c r="D62" s="49">
        <f t="shared" si="11"/>
        <v>0.04</v>
      </c>
      <c r="E62" s="49">
        <f>MAX(C62:D62)</f>
        <v>2.1</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0.08</v>
      </c>
      <c r="E63" s="49">
        <f>MAX(C63:D63)</f>
        <v>2.57</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0.05</v>
      </c>
      <c r="E64" s="56">
        <f>MAX(C64:D64)</f>
        <v>1.68</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1.6</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0.01</v>
      </c>
      <c r="E67" s="49">
        <f>MAX(C67:D67)</f>
        <v>1.4</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0.04</v>
      </c>
      <c r="E68" s="49">
        <f>MAX(C68:D68)</f>
        <v>2.1</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0.08</v>
      </c>
      <c r="E69" s="49">
        <f>MAX(C69:D69)</f>
        <v>2.57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0.05</v>
      </c>
      <c r="E70" s="56">
        <f>MAX(C70:D70)</f>
        <v>1.68</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8" t="str">
        <f>'Data Entry'!G5</f>
        <v>Native Hawaiian or Other Pacific Islanders</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140</v>
      </c>
      <c r="Q7" s="42">
        <f>C6-C7</f>
        <v>20232</v>
      </c>
      <c r="R7" s="42">
        <f t="shared" ref="R7:R15" si="5">SUM(N7:Q7)</f>
        <v>20372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210</v>
      </c>
      <c r="D8" s="34">
        <f>IF((AND(C67&gt;0,C8&gt;0)),(C8/C67),0)</f>
        <v>150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210</v>
      </c>
      <c r="Q8" s="42">
        <f>(C$67*L67)-C8</f>
        <v>-70</v>
      </c>
      <c r="R8" s="42">
        <f t="shared" si="5"/>
        <v>140.05000000000001</v>
      </c>
      <c r="S8" s="30">
        <f t="shared" si="6"/>
        <v>15440.512500000001</v>
      </c>
      <c r="T8" s="30">
        <f t="shared" si="7"/>
        <v>-102826.5</v>
      </c>
      <c r="U8" s="31">
        <f t="shared" si="8"/>
        <v>-0.15016082916368836</v>
      </c>
    </row>
    <row r="9" spans="2:21" ht="18" customHeight="1" x14ac:dyDescent="0.25">
      <c r="B9" s="32" t="str">
        <f>'Data Entry'!A9</f>
        <v xml:space="preserve">4. Cases Diverted </v>
      </c>
      <c r="C9" s="33">
        <f>'Data Entry'!C9</f>
        <v>52</v>
      </c>
      <c r="D9" s="34">
        <f>IF((AND(C68&gt;0,C9&gt;0)),((C9/C68)),0)</f>
        <v>24.761904761904759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52</v>
      </c>
      <c r="Q9" s="42">
        <f>(C$68*L68)-C9</f>
        <v>158</v>
      </c>
      <c r="R9" s="42">
        <f t="shared" si="5"/>
        <v>210</v>
      </c>
      <c r="S9" s="30">
        <f t="shared" si="6"/>
        <v>0</v>
      </c>
      <c r="T9" s="30">
        <f t="shared" si="7"/>
        <v>0</v>
      </c>
      <c r="U9" s="31" t="str">
        <f t="shared" si="8"/>
        <v>- -</v>
      </c>
    </row>
    <row r="10" spans="2:21" ht="18" customHeight="1" x14ac:dyDescent="0.25">
      <c r="B10" s="32" t="str">
        <f>'Data Entry'!A10</f>
        <v>5. Cases Involving Secure Detention</v>
      </c>
      <c r="C10" s="33">
        <f>'Data Entry'!C10</f>
        <v>23</v>
      </c>
      <c r="D10" s="34">
        <f>IF(((AND(C68&gt;0,C10&gt;0))),(C10/(C68)),0)</f>
        <v>10.952380952380953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23</v>
      </c>
      <c r="Q10" s="42">
        <f>(C$68*L68)-C10</f>
        <v>187</v>
      </c>
      <c r="R10" s="42">
        <f t="shared" si="5"/>
        <v>210</v>
      </c>
      <c r="S10" s="30">
        <f t="shared" si="6"/>
        <v>0</v>
      </c>
      <c r="T10" s="30">
        <f t="shared" si="7"/>
        <v>0</v>
      </c>
      <c r="U10" s="31" t="str">
        <f t="shared" si="8"/>
        <v>- -</v>
      </c>
    </row>
    <row r="11" spans="2:21" ht="18" customHeight="1" x14ac:dyDescent="0.25">
      <c r="B11" s="32" t="str">
        <f>'Data Entry'!A11</f>
        <v>6. Cases Petitioned (Charge Filed)</v>
      </c>
      <c r="C11" s="33">
        <f>'Data Entry'!C11</f>
        <v>257</v>
      </c>
      <c r="D11" s="34">
        <f>IF(((AND(C68&gt;0,C11&gt;0))),(C11/(C68)),0)</f>
        <v>122.38095238095238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257</v>
      </c>
      <c r="Q11" s="42">
        <f>(C$68*L68)-C11</f>
        <v>-47</v>
      </c>
      <c r="R11" s="42">
        <f t="shared" si="5"/>
        <v>210</v>
      </c>
      <c r="S11" s="30">
        <f t="shared" si="6"/>
        <v>0</v>
      </c>
      <c r="T11" s="30">
        <f t="shared" si="7"/>
        <v>0</v>
      </c>
      <c r="U11" s="31" t="str">
        <f t="shared" si="8"/>
        <v>- -</v>
      </c>
    </row>
    <row r="12" spans="2:21" ht="18" customHeight="1" x14ac:dyDescent="0.25">
      <c r="B12" s="32" t="str">
        <f>'Data Entry'!A12</f>
        <v>7. Cases Resulting in Delinquent Findings</v>
      </c>
      <c r="C12" s="33">
        <f>'Data Entry'!C12</f>
        <v>168</v>
      </c>
      <c r="D12" s="34">
        <f>IF(((AND(C69&gt;0,C12&gt;0))),(C12/(C69)),0)</f>
        <v>65.36964980544748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168</v>
      </c>
      <c r="Q12" s="42">
        <f>(C69*L69)-C12</f>
        <v>89</v>
      </c>
      <c r="R12" s="42">
        <f t="shared" si="5"/>
        <v>257</v>
      </c>
      <c r="S12" s="30">
        <f t="shared" si="6"/>
        <v>0</v>
      </c>
      <c r="T12" s="30">
        <f t="shared" si="7"/>
        <v>0</v>
      </c>
      <c r="U12" s="31" t="str">
        <f t="shared" si="8"/>
        <v>- -</v>
      </c>
    </row>
    <row r="13" spans="2:21" ht="18" customHeight="1" x14ac:dyDescent="0.25">
      <c r="B13" s="32" t="str">
        <f>'Data Entry'!A13</f>
        <v>8. Cases Resulting in Probation Placement</v>
      </c>
      <c r="C13" s="33">
        <f>'Data Entry'!C13</f>
        <v>96</v>
      </c>
      <c r="D13" s="34">
        <f>IF(((AND(C70&gt;0,C13&gt;0))),(C13/(C70)),0)</f>
        <v>57.142857142857146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96</v>
      </c>
      <c r="Q13" s="42">
        <f>(C70*L70)-C13</f>
        <v>72</v>
      </c>
      <c r="R13" s="42">
        <f t="shared" si="5"/>
        <v>168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61</v>
      </c>
      <c r="Q14" s="42">
        <f>(C70*L70)-C14</f>
        <v>107</v>
      </c>
      <c r="R14" s="42">
        <f t="shared" si="5"/>
        <v>168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257</v>
      </c>
      <c r="R15" s="42">
        <f t="shared" si="5"/>
        <v>257</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0</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0</v>
      </c>
      <c r="E42" s="56">
        <f>MAX(C42:D42)</f>
        <v>20.372</v>
      </c>
      <c r="G42" s="1" t="str">
        <f>B42</f>
        <v>per 1000 youth</v>
      </c>
      <c r="L42" s="57">
        <v>1000</v>
      </c>
      <c r="M42" s="57"/>
      <c r="R42" s="49"/>
    </row>
    <row r="43" spans="2:18" ht="15" hidden="1" customHeight="1" x14ac:dyDescent="0.25">
      <c r="B43" s="49" t="s">
        <v>88</v>
      </c>
      <c r="C43" s="56">
        <f>C7/100</f>
        <v>1.4</v>
      </c>
      <c r="D43" s="56">
        <f>E7/100</f>
        <v>0</v>
      </c>
      <c r="E43" s="56">
        <f>MAX(C43:D43,0)</f>
        <v>1.4</v>
      </c>
      <c r="G43" s="1" t="str">
        <f>B43</f>
        <v>per 100 arrests</v>
      </c>
      <c r="L43" s="57">
        <v>100</v>
      </c>
      <c r="M43" s="57"/>
      <c r="R43" s="49"/>
    </row>
    <row r="44" spans="2:18" ht="15" hidden="1" customHeight="1" x14ac:dyDescent="0.25">
      <c r="B44" s="49" t="s">
        <v>89</v>
      </c>
      <c r="C44" s="56">
        <f>C8/100</f>
        <v>2.1</v>
      </c>
      <c r="D44" s="56">
        <f>E8/100</f>
        <v>0</v>
      </c>
      <c r="E44" s="56">
        <f>MAX(C44:D44,0)</f>
        <v>2.1</v>
      </c>
      <c r="G44" s="1" t="str">
        <f>B44</f>
        <v>per 100 referrals</v>
      </c>
      <c r="L44" s="57">
        <v>100</v>
      </c>
      <c r="M44" s="57"/>
      <c r="R44" s="49"/>
    </row>
    <row r="45" spans="2:18" ht="15" hidden="1" customHeight="1" x14ac:dyDescent="0.25">
      <c r="B45" s="49" t="s">
        <v>90</v>
      </c>
      <c r="C45" s="49">
        <f>C11/100</f>
        <v>2.57</v>
      </c>
      <c r="D45" s="49">
        <f>E11/100</f>
        <v>0</v>
      </c>
      <c r="E45" s="56">
        <f>MAX(C45:D45,0)</f>
        <v>2.57</v>
      </c>
      <c r="G45" s="1" t="str">
        <f>B45</f>
        <v>per 100 youth petitioned</v>
      </c>
      <c r="L45" s="57">
        <v>100</v>
      </c>
      <c r="M45" s="57"/>
      <c r="R45" s="49"/>
    </row>
    <row r="46" spans="2:18" ht="15" hidden="1" customHeight="1" x14ac:dyDescent="0.25">
      <c r="B46" s="49" t="s">
        <v>91</v>
      </c>
      <c r="C46" s="49">
        <f>C12/100</f>
        <v>1.68</v>
      </c>
      <c r="D46" s="49">
        <f>E12/100</f>
        <v>0</v>
      </c>
      <c r="E46" s="56">
        <f>MAX(C46:D46)</f>
        <v>1.68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0</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0</v>
      </c>
      <c r="E49" s="49">
        <f>MAX(C49:D49)</f>
        <v>1.4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0</v>
      </c>
      <c r="E50" s="49">
        <f>MAX(C50:D50)</f>
        <v>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0</v>
      </c>
      <c r="E51" s="49">
        <f>MAX(C51:D51)</f>
        <v>2.57</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0</v>
      </c>
      <c r="E52" s="56">
        <f>MAX(C52:D52)</f>
        <v>1.68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0</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0</v>
      </c>
      <c r="E55" s="49">
        <f>MAX(C55:D55)</f>
        <v>1.4</v>
      </c>
      <c r="G55" s="1" t="str">
        <f>G49</f>
        <v>per 100 arrests</v>
      </c>
      <c r="L55" s="58">
        <f>IF(($E49&gt;0),L49,L48)</f>
        <v>100</v>
      </c>
      <c r="M55" s="58"/>
    </row>
    <row r="56" spans="2:18" ht="15" hidden="1" customHeight="1" x14ac:dyDescent="0.25">
      <c r="B56" s="49" t="str">
        <f t="shared" si="10"/>
        <v>per 100 referrals</v>
      </c>
      <c r="C56" s="49">
        <f t="shared" si="10"/>
        <v>2.1</v>
      </c>
      <c r="D56" s="49">
        <f t="shared" si="10"/>
        <v>0</v>
      </c>
      <c r="E56" s="49">
        <f>MAX(C56:D56)</f>
        <v>2.1</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0</v>
      </c>
      <c r="E57" s="49">
        <f>MAX(C57:D57)</f>
        <v>2.57</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0</v>
      </c>
      <c r="E58" s="56">
        <f>MAX(C58:D58)</f>
        <v>1.68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0</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0</v>
      </c>
      <c r="E61" s="49">
        <f>MAX(C61:D61)</f>
        <v>1.4</v>
      </c>
      <c r="G61" s="1" t="str">
        <f>G55</f>
        <v>per 100 arrests</v>
      </c>
      <c r="L61" s="58">
        <f>IF(($E55&gt;0),L55,L54)</f>
        <v>100</v>
      </c>
      <c r="M61" s="58"/>
    </row>
    <row r="62" spans="2:18" ht="15" hidden="1" customHeight="1" x14ac:dyDescent="0.25">
      <c r="B62" s="49" t="str">
        <f t="shared" si="11"/>
        <v>per 100 referrals</v>
      </c>
      <c r="C62" s="49">
        <f t="shared" si="11"/>
        <v>2.1</v>
      </c>
      <c r="D62" s="49">
        <f t="shared" si="11"/>
        <v>0</v>
      </c>
      <c r="E62" s="49">
        <f>MAX(C62:D62)</f>
        <v>2.1</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0</v>
      </c>
      <c r="E63" s="49">
        <f>MAX(C63:D63)</f>
        <v>2.57</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0</v>
      </c>
      <c r="E64" s="56">
        <f>MAX(C64:D64)</f>
        <v>1.68</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0</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0</v>
      </c>
      <c r="E67" s="49">
        <f>MAX(C67:D67)</f>
        <v>1.4</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0</v>
      </c>
      <c r="E68" s="49">
        <f>MAX(C68:D68)</f>
        <v>2.1</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0</v>
      </c>
      <c r="E69" s="49">
        <f>MAX(C69:D69)</f>
        <v>2.57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0</v>
      </c>
      <c r="E70" s="56">
        <f>MAX(C70:D70)</f>
        <v>1.68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8" t="str">
        <f>'Data Entry'!H5</f>
        <v>American Indian or Alaska Native</v>
      </c>
      <c r="G1" s="218"/>
      <c r="H1" s="218"/>
      <c r="I1" s="218"/>
      <c r="J1" s="218"/>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Washtenaw</v>
      </c>
      <c r="C3" s="22"/>
      <c r="D3" s="22"/>
      <c r="E3" s="22"/>
      <c r="F3" s="22"/>
      <c r="G3" s="7"/>
      <c r="H3" s="7"/>
      <c r="I3" s="7"/>
      <c r="J3" s="7"/>
      <c r="K3" s="7"/>
      <c r="N3" s="217" t="s">
        <v>31</v>
      </c>
      <c r="O3" s="217"/>
      <c r="P3" s="217"/>
      <c r="Q3" s="217"/>
      <c r="R3" s="217"/>
      <c r="S3" s="217"/>
      <c r="T3" s="217"/>
      <c r="U3" s="217"/>
    </row>
    <row r="4" spans="2:21" ht="8.25" customHeight="1" x14ac:dyDescent="0.25">
      <c r="B4" s="4"/>
      <c r="C4" s="23"/>
      <c r="D4" s="23"/>
      <c r="E4" s="23"/>
      <c r="F4" s="23"/>
      <c r="G4" s="8"/>
      <c r="H4" s="8"/>
      <c r="I4" s="8"/>
      <c r="N4" s="217"/>
      <c r="O4" s="217"/>
      <c r="P4" s="217"/>
      <c r="Q4" s="217"/>
      <c r="R4" s="217"/>
      <c r="S4" s="217"/>
      <c r="T4" s="217"/>
      <c r="U4" s="217"/>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20372</v>
      </c>
      <c r="D6" s="34"/>
      <c r="E6" s="33">
        <f>'Data Entry'!H6</f>
        <v>204</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140</v>
      </c>
      <c r="D7" s="34">
        <f>IF((AND(C66&gt;0,C7&gt;0)),(C7/C66),0)</f>
        <v>6.8721774985273907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204</v>
      </c>
      <c r="P7" s="42">
        <f t="shared" ref="P7:P15" si="4">C7</f>
        <v>140</v>
      </c>
      <c r="Q7" s="42">
        <f>C6-C7</f>
        <v>20232</v>
      </c>
      <c r="R7" s="42">
        <f t="shared" ref="R7:R15" si="5">SUM(N7:Q7)</f>
        <v>20576</v>
      </c>
      <c r="S7" s="30">
        <f t="shared" ref="S7:S15" si="6">R7*((((N7*Q7)-(O7*P7))^2))</f>
        <v>16783299993600</v>
      </c>
      <c r="T7" s="30">
        <f t="shared" ref="T7:T15" si="7">(N7+O7)*(P7+Q7)*(N7+P7)*(O7+Q7)</f>
        <v>11890161803520</v>
      </c>
      <c r="U7" s="31">
        <f t="shared" ref="U7:U15" si="8">IF((S7&gt;0),S7/T7,"- -")</f>
        <v>1.4115283097856095</v>
      </c>
    </row>
    <row r="8" spans="2:21" ht="18" customHeight="1" x14ac:dyDescent="0.25">
      <c r="B8" s="32" t="str">
        <f>'Data Entry'!A8</f>
        <v>3. Refer to Juvenile Court</v>
      </c>
      <c r="C8" s="33">
        <f>'Data Entry'!C8</f>
        <v>210</v>
      </c>
      <c r="D8" s="34">
        <f>IF((AND(C67&gt;0,C8&gt;0)),(C8/C67),0)</f>
        <v>150</v>
      </c>
      <c r="E8" s="33">
        <f>'Data Entry'!H8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210</v>
      </c>
      <c r="Q8" s="42">
        <f>(C$67*L67)-C8</f>
        <v>-70</v>
      </c>
      <c r="R8" s="42">
        <f t="shared" si="5"/>
        <v>140.05000000000001</v>
      </c>
      <c r="S8" s="30">
        <f t="shared" si="6"/>
        <v>10171866.512500001</v>
      </c>
      <c r="T8" s="30">
        <f t="shared" si="7"/>
        <v>-106773.8000000001</v>
      </c>
      <c r="U8" s="31">
        <f t="shared" si="8"/>
        <v>-95.265566201633646</v>
      </c>
    </row>
    <row r="9" spans="2:21" ht="18" customHeight="1" x14ac:dyDescent="0.25">
      <c r="B9" s="32" t="str">
        <f>'Data Entry'!A9</f>
        <v xml:space="preserve">4. Cases Diverted </v>
      </c>
      <c r="C9" s="33">
        <f>'Data Entry'!C9</f>
        <v>52</v>
      </c>
      <c r="D9" s="34">
        <f>IF((AND(C68&gt;0,C9&gt;0)),((C9/C68)),0)</f>
        <v>24.761904761904759</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52</v>
      </c>
      <c r="Q9" s="42">
        <f>(C$68*L68)-C9</f>
        <v>158</v>
      </c>
      <c r="R9" s="42">
        <f t="shared" si="5"/>
        <v>212</v>
      </c>
      <c r="S9" s="30">
        <f t="shared" si="6"/>
        <v>2292992</v>
      </c>
      <c r="T9" s="30">
        <f t="shared" si="7"/>
        <v>3494400</v>
      </c>
      <c r="U9" s="31">
        <f t="shared" si="8"/>
        <v>0.65619047619047621</v>
      </c>
    </row>
    <row r="10" spans="2:21" ht="18" customHeight="1" x14ac:dyDescent="0.25">
      <c r="B10" s="32" t="str">
        <f>'Data Entry'!A10</f>
        <v>5. Cases Involving Secure Detention</v>
      </c>
      <c r="C10" s="33">
        <f>'Data Entry'!C10</f>
        <v>23</v>
      </c>
      <c r="D10" s="34">
        <f>IF(((AND(C68&gt;0,C10&gt;0))),(C10/(C68)),0)</f>
        <v>10.952380952380953</v>
      </c>
      <c r="E10" s="33">
        <f>'Data Entry'!H10</f>
        <v>1</v>
      </c>
      <c r="F10" s="34">
        <f>IF(((AND($E$10&gt;0,$D$68&gt;0))),($E$10/($D$68)),0)</f>
        <v>50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1</v>
      </c>
      <c r="P10" s="42">
        <f t="shared" si="4"/>
        <v>23</v>
      </c>
      <c r="Q10" s="42">
        <f>(C$68*L68)-C10</f>
        <v>187</v>
      </c>
      <c r="R10" s="42">
        <f t="shared" si="5"/>
        <v>212</v>
      </c>
      <c r="S10" s="30">
        <f t="shared" si="6"/>
        <v>5701952</v>
      </c>
      <c r="T10" s="30">
        <f t="shared" si="7"/>
        <v>1895040</v>
      </c>
      <c r="U10" s="31">
        <f t="shared" si="8"/>
        <v>3.0088821344140495</v>
      </c>
    </row>
    <row r="11" spans="2:21" ht="18" customHeight="1" x14ac:dyDescent="0.25">
      <c r="B11" s="32" t="str">
        <f>'Data Entry'!A11</f>
        <v>6. Cases Petitioned (Charge Filed)</v>
      </c>
      <c r="C11" s="33">
        <f>'Data Entry'!C11</f>
        <v>257</v>
      </c>
      <c r="D11" s="34">
        <f>IF(((AND(C68&gt;0,C11&gt;0))),(C11/(C68)),0)</f>
        <v>122.38095238095238</v>
      </c>
      <c r="E11" s="33">
        <f>'Data Entry'!H11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0</v>
      </c>
      <c r="O11" s="42">
        <f>(D$68*L68)-E11</f>
        <v>2</v>
      </c>
      <c r="P11" s="42">
        <f t="shared" si="4"/>
        <v>257</v>
      </c>
      <c r="Q11" s="42">
        <f>(C$68*L68)-C11</f>
        <v>-47</v>
      </c>
      <c r="R11" s="42">
        <f t="shared" si="5"/>
        <v>212</v>
      </c>
      <c r="S11" s="30">
        <f t="shared" si="6"/>
        <v>56009552</v>
      </c>
      <c r="T11" s="30">
        <f t="shared" si="7"/>
        <v>-4857300</v>
      </c>
      <c r="U11" s="31">
        <f t="shared" si="8"/>
        <v>-11.531005291005291</v>
      </c>
    </row>
    <row r="12" spans="2:21" ht="18" customHeight="1" x14ac:dyDescent="0.25">
      <c r="B12" s="32" t="str">
        <f>'Data Entry'!A12</f>
        <v>7. Cases Resulting in Delinquent Findings</v>
      </c>
      <c r="C12" s="33">
        <f>'Data Entry'!C12</f>
        <v>168</v>
      </c>
      <c r="D12" s="34">
        <f>IF(((AND(C69&gt;0,C12&gt;0))),(C12/(C69)),0)</f>
        <v>65.36964980544748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168</v>
      </c>
      <c r="Q12" s="42">
        <f>(C69*L69)-C12</f>
        <v>89</v>
      </c>
      <c r="R12" s="42">
        <f t="shared" si="5"/>
        <v>257</v>
      </c>
      <c r="S12" s="30">
        <f t="shared" si="6"/>
        <v>0</v>
      </c>
      <c r="T12" s="30">
        <f t="shared" si="7"/>
        <v>0</v>
      </c>
      <c r="U12" s="31" t="str">
        <f t="shared" si="8"/>
        <v>- -</v>
      </c>
    </row>
    <row r="13" spans="2:21" ht="18" customHeight="1" x14ac:dyDescent="0.25">
      <c r="B13" s="32" t="str">
        <f>'Data Entry'!A13</f>
        <v>8. Cases Resulting in Probation Placement</v>
      </c>
      <c r="C13" s="33">
        <f>'Data Entry'!C13</f>
        <v>96</v>
      </c>
      <c r="D13" s="34">
        <f>IF(((AND(C70&gt;0,C13&gt;0))),(C13/(C70)),0)</f>
        <v>57.142857142857146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96</v>
      </c>
      <c r="Q13" s="42">
        <f>(C70*L70)-C13</f>
        <v>72</v>
      </c>
      <c r="R13" s="42">
        <f t="shared" si="5"/>
        <v>168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61</v>
      </c>
      <c r="D14" s="34">
        <f>IF(((AND(C70&gt;0,C14&gt;0))), ((C14/(C70))),0)</f>
        <v>36.30952380952381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61</v>
      </c>
      <c r="Q14" s="42">
        <f>(C70*L70)-C14</f>
        <v>107</v>
      </c>
      <c r="R14" s="42">
        <f t="shared" si="5"/>
        <v>168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257</v>
      </c>
      <c r="R15" s="42">
        <f t="shared" si="5"/>
        <v>257</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0</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6" t="s">
        <v>80</v>
      </c>
      <c r="C40" s="216"/>
      <c r="D40" s="216"/>
      <c r="E40" s="216"/>
      <c r="F40" s="216"/>
      <c r="G40" s="216"/>
      <c r="H40" s="216"/>
      <c r="I40" s="216"/>
      <c r="J40" s="216"/>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20.372</v>
      </c>
      <c r="D42" s="56">
        <f>E6/1000</f>
        <v>0.20399999999999999</v>
      </c>
      <c r="E42" s="56">
        <f>MAX(C42:D42)</f>
        <v>20.372</v>
      </c>
      <c r="G42" s="1" t="str">
        <f>B42</f>
        <v>per 1000 youth</v>
      </c>
      <c r="L42" s="57">
        <v>1000</v>
      </c>
      <c r="M42" s="57"/>
      <c r="R42" s="49"/>
    </row>
    <row r="43" spans="2:18" ht="15" hidden="1" customHeight="1" x14ac:dyDescent="0.25">
      <c r="B43" s="49" t="s">
        <v>88</v>
      </c>
      <c r="C43" s="56">
        <f>C7/100</f>
        <v>1.4</v>
      </c>
      <c r="D43" s="56">
        <f>E7/100</f>
        <v>0</v>
      </c>
      <c r="E43" s="56">
        <f>MAX(C43:D43,0)</f>
        <v>1.4</v>
      </c>
      <c r="G43" s="1" t="str">
        <f>B43</f>
        <v>per 100 arrests</v>
      </c>
      <c r="L43" s="57">
        <v>100</v>
      </c>
      <c r="M43" s="57"/>
      <c r="R43" s="49"/>
    </row>
    <row r="44" spans="2:18" ht="15" hidden="1" customHeight="1" x14ac:dyDescent="0.25">
      <c r="B44" s="49" t="s">
        <v>89</v>
      </c>
      <c r="C44" s="56">
        <f>C8/100</f>
        <v>2.1</v>
      </c>
      <c r="D44" s="56">
        <f>E8/100</f>
        <v>0.02</v>
      </c>
      <c r="E44" s="56">
        <f>MAX(C44:D44,0)</f>
        <v>2.1</v>
      </c>
      <c r="G44" s="1" t="str">
        <f>B44</f>
        <v>per 100 referrals</v>
      </c>
      <c r="L44" s="57">
        <v>100</v>
      </c>
      <c r="M44" s="57"/>
      <c r="R44" s="49"/>
    </row>
    <row r="45" spans="2:18" ht="15" hidden="1" customHeight="1" x14ac:dyDescent="0.25">
      <c r="B45" s="49" t="s">
        <v>90</v>
      </c>
      <c r="C45" s="49">
        <f>C11/100</f>
        <v>2.57</v>
      </c>
      <c r="D45" s="49">
        <f>E11/100</f>
        <v>0</v>
      </c>
      <c r="E45" s="56">
        <f>MAX(C45:D45,0)</f>
        <v>2.57</v>
      </c>
      <c r="G45" s="1" t="str">
        <f>B45</f>
        <v>per 100 youth petitioned</v>
      </c>
      <c r="L45" s="57">
        <v>100</v>
      </c>
      <c r="M45" s="57"/>
      <c r="R45" s="49"/>
    </row>
    <row r="46" spans="2:18" ht="15" hidden="1" customHeight="1" x14ac:dyDescent="0.25">
      <c r="B46" s="49" t="s">
        <v>91</v>
      </c>
      <c r="C46" s="49">
        <f>C12/100</f>
        <v>1.68</v>
      </c>
      <c r="D46" s="49">
        <f>E12/100</f>
        <v>0</v>
      </c>
      <c r="E46" s="56">
        <f>MAX(C46:D46)</f>
        <v>1.68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20.372</v>
      </c>
      <c r="D48" s="56">
        <f>D42</f>
        <v>0.20399999999999999</v>
      </c>
      <c r="E48" s="56">
        <f>MAX(C48:D48)</f>
        <v>20.372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v>
      </c>
      <c r="D49" s="49">
        <f t="shared" si="9"/>
        <v>0</v>
      </c>
      <c r="E49" s="49">
        <f>MAX(C49:D49)</f>
        <v>1.4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2.1</v>
      </c>
      <c r="D50" s="49">
        <f t="shared" si="9"/>
        <v>0.02</v>
      </c>
      <c r="E50" s="49">
        <f>MAX(C50:D50)</f>
        <v>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2.57</v>
      </c>
      <c r="D51" s="49">
        <f>IF(($E45&gt;0),D45,D44)</f>
        <v>0</v>
      </c>
      <c r="E51" s="49">
        <f>MAX(C51:D51)</f>
        <v>2.57</v>
      </c>
      <c r="G51" s="1" t="str">
        <f>G45</f>
        <v>per 100 youth petitioned</v>
      </c>
      <c r="L51" s="58">
        <f>IF(($E45&gt;0),L45,L44)</f>
        <v>100</v>
      </c>
      <c r="M51" s="58"/>
    </row>
    <row r="52" spans="2:18" ht="15" hidden="1" customHeight="1" x14ac:dyDescent="0.25">
      <c r="B52" s="49" t="str">
        <f>IF(($E46&gt;0),B46,B45)</f>
        <v>per 100 youth found delinquent</v>
      </c>
      <c r="C52" s="49">
        <f>IF(($E46&gt;0),C46,C45)</f>
        <v>1.68</v>
      </c>
      <c r="D52" s="49">
        <f>IF(($E46&gt;0),D46,D45)</f>
        <v>0</v>
      </c>
      <c r="E52" s="56">
        <f>MAX(C52:D52)</f>
        <v>1.68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20.372</v>
      </c>
      <c r="D54" s="56">
        <f>D48</f>
        <v>0.20399999999999999</v>
      </c>
      <c r="E54" s="56">
        <f>MAX(C54:D54)</f>
        <v>20.372</v>
      </c>
      <c r="G54" s="1" t="str">
        <f>G48</f>
        <v>per 1000 youth</v>
      </c>
      <c r="L54" s="58">
        <f>L48</f>
        <v>1000</v>
      </c>
      <c r="M54" s="58"/>
    </row>
    <row r="55" spans="2:18" ht="15" hidden="1" customHeight="1" x14ac:dyDescent="0.25">
      <c r="B55" s="49" t="str">
        <f t="shared" ref="B55:D56" si="10">IF(($E49&gt;0),B49,B48)</f>
        <v>per 100 arrests</v>
      </c>
      <c r="C55" s="49">
        <f t="shared" si="10"/>
        <v>1.4</v>
      </c>
      <c r="D55" s="49">
        <f t="shared" si="10"/>
        <v>0</v>
      </c>
      <c r="E55" s="49">
        <f>MAX(C55:D55)</f>
        <v>1.4</v>
      </c>
      <c r="G55" s="1" t="str">
        <f>G49</f>
        <v>per 100 arrests</v>
      </c>
      <c r="L55" s="58">
        <f>IF(($E49&gt;0),L49,L48)</f>
        <v>100</v>
      </c>
      <c r="M55" s="58"/>
    </row>
    <row r="56" spans="2:18" ht="15" hidden="1" customHeight="1" x14ac:dyDescent="0.25">
      <c r="B56" s="49" t="str">
        <f t="shared" si="10"/>
        <v>per 100 referrals</v>
      </c>
      <c r="C56" s="49">
        <f t="shared" si="10"/>
        <v>2.1</v>
      </c>
      <c r="D56" s="49">
        <f t="shared" si="10"/>
        <v>0.02</v>
      </c>
      <c r="E56" s="49">
        <f>MAX(C56:D56)</f>
        <v>2.1</v>
      </c>
      <c r="G56" s="1" t="str">
        <f>G50</f>
        <v>per 100 referrals</v>
      </c>
      <c r="L56" s="58">
        <f>IF(($E50&gt;0),L50,L49)</f>
        <v>100</v>
      </c>
      <c r="M56" s="58"/>
    </row>
    <row r="57" spans="2:18" ht="15" hidden="1" customHeight="1" x14ac:dyDescent="0.25">
      <c r="B57" s="49" t="str">
        <f>IF(($E51&gt;0),B51,B49)</f>
        <v>per 100 youth petitioned</v>
      </c>
      <c r="C57" s="49">
        <f>IF(($E51&gt;0),C51,C50)</f>
        <v>2.57</v>
      </c>
      <c r="D57" s="49">
        <f>IF(($E51&gt;0),D51,D50)</f>
        <v>0</v>
      </c>
      <c r="E57" s="49">
        <f>MAX(C57:D57)</f>
        <v>2.57</v>
      </c>
      <c r="G57" s="1" t="str">
        <f>G51</f>
        <v>per 100 youth petitioned</v>
      </c>
      <c r="L57" s="58">
        <f>IF(($E51&gt;0),L51,L50)</f>
        <v>100</v>
      </c>
      <c r="M57" s="58"/>
    </row>
    <row r="58" spans="2:18" ht="15" hidden="1" customHeight="1" x14ac:dyDescent="0.25">
      <c r="B58" s="49" t="str">
        <f>IF(($E52&gt;0),B52,B51)</f>
        <v>per 100 youth found delinquent</v>
      </c>
      <c r="C58" s="49">
        <f>IF(($E52&gt;0),C52,C51)</f>
        <v>1.68</v>
      </c>
      <c r="D58" s="49">
        <f>IF(($E52&gt;0),D52,D51)</f>
        <v>0</v>
      </c>
      <c r="E58" s="56">
        <f>MAX(C58:D58)</f>
        <v>1.68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20.372</v>
      </c>
      <c r="D60" s="56">
        <f>D54</f>
        <v>0.20399999999999999</v>
      </c>
      <c r="E60" s="56">
        <f>MAX(C60:D60)</f>
        <v>20.372</v>
      </c>
      <c r="G60" s="1" t="str">
        <f>G54</f>
        <v>per 1000 youth</v>
      </c>
      <c r="L60" s="58">
        <f>L54</f>
        <v>1000</v>
      </c>
      <c r="M60" s="58"/>
    </row>
    <row r="61" spans="2:18" ht="15" hidden="1" customHeight="1" x14ac:dyDescent="0.25">
      <c r="B61" s="49" t="str">
        <f t="shared" ref="B61:D62" si="11">IF(($E55&gt;0),B55,B54)</f>
        <v>per 100 arrests</v>
      </c>
      <c r="C61" s="49">
        <f t="shared" si="11"/>
        <v>1.4</v>
      </c>
      <c r="D61" s="49">
        <f t="shared" si="11"/>
        <v>0</v>
      </c>
      <c r="E61" s="49">
        <f>MAX(C61:D61)</f>
        <v>1.4</v>
      </c>
      <c r="G61" s="1" t="str">
        <f>G55</f>
        <v>per 100 arrests</v>
      </c>
      <c r="L61" s="58">
        <f>IF(($E55&gt;0),L55,L54)</f>
        <v>100</v>
      </c>
      <c r="M61" s="58"/>
    </row>
    <row r="62" spans="2:18" ht="15" hidden="1" customHeight="1" x14ac:dyDescent="0.25">
      <c r="B62" s="49" t="str">
        <f t="shared" si="11"/>
        <v>per 100 referrals</v>
      </c>
      <c r="C62" s="49">
        <f t="shared" si="11"/>
        <v>2.1</v>
      </c>
      <c r="D62" s="49">
        <f t="shared" si="11"/>
        <v>0.02</v>
      </c>
      <c r="E62" s="49">
        <f>MAX(C62:D62)</f>
        <v>2.1</v>
      </c>
      <c r="G62" s="1" t="str">
        <f>G56</f>
        <v>per 100 referrals</v>
      </c>
      <c r="L62" s="58">
        <f>IF(($E56&gt;0),L56,L55)</f>
        <v>100</v>
      </c>
      <c r="M62" s="58"/>
    </row>
    <row r="63" spans="2:18" ht="15" hidden="1" customHeight="1" x14ac:dyDescent="0.25">
      <c r="B63" s="49" t="str">
        <f>IF(($E57&gt;0),B57,B55)</f>
        <v>per 100 youth petitioned</v>
      </c>
      <c r="C63" s="49">
        <f>IF(($E57&gt;0),C57,C56)</f>
        <v>2.57</v>
      </c>
      <c r="D63" s="49">
        <f>IF(($E57&gt;0),D57,D56)</f>
        <v>0</v>
      </c>
      <c r="E63" s="49">
        <f>MAX(C63:D63)</f>
        <v>2.57</v>
      </c>
      <c r="G63" s="1" t="str">
        <f>G57</f>
        <v>per 100 youth petitioned</v>
      </c>
      <c r="L63" s="58">
        <f>IF(($E57&gt;0),L57,L56)</f>
        <v>100</v>
      </c>
      <c r="M63" s="58"/>
    </row>
    <row r="64" spans="2:18" ht="15" hidden="1" customHeight="1" x14ac:dyDescent="0.25">
      <c r="B64" s="49" t="str">
        <f>IF(($E58&gt;0),B58,B57)</f>
        <v>per 100 youth found delinquent</v>
      </c>
      <c r="C64" s="49">
        <f>IF(($E58&gt;0),C58,C57)</f>
        <v>1.68</v>
      </c>
      <c r="D64" s="49">
        <f>IF(($E58&gt;0),D58,D57)</f>
        <v>0</v>
      </c>
      <c r="E64" s="56">
        <f>MAX(C64:D64)</f>
        <v>1.68</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20.372</v>
      </c>
      <c r="D66" s="56">
        <f>D60</f>
        <v>0.20399999999999999</v>
      </c>
      <c r="E66" s="56">
        <f>MAX(C66:D66)</f>
        <v>20.372</v>
      </c>
      <c r="G66" s="1" t="str">
        <f>G60</f>
        <v>per 1000 youth</v>
      </c>
      <c r="L66" s="58">
        <f>L60</f>
        <v>1000</v>
      </c>
      <c r="M66" s="58">
        <f>IF((B66=G66),1,2)</f>
        <v>1</v>
      </c>
    </row>
    <row r="67" spans="2:13" ht="15" hidden="1" customHeight="1" x14ac:dyDescent="0.25">
      <c r="B67" s="49" t="str">
        <f t="shared" ref="B67:D68" si="12">IF(($E61&gt;0),B61,B60)</f>
        <v>per 100 arrests</v>
      </c>
      <c r="C67" s="49">
        <f t="shared" si="12"/>
        <v>1.4</v>
      </c>
      <c r="D67" s="49">
        <f t="shared" si="12"/>
        <v>0</v>
      </c>
      <c r="E67" s="49">
        <f>MAX(C67:D67)</f>
        <v>1.4</v>
      </c>
      <c r="G67" s="1" t="str">
        <f>G61</f>
        <v>per 100 arrests</v>
      </c>
      <c r="L67" s="58">
        <f>IF(($E61&gt;0),L61,L60)</f>
        <v>100</v>
      </c>
      <c r="M67" s="58">
        <f>IF((B67=G67),1,2)</f>
        <v>1</v>
      </c>
    </row>
    <row r="68" spans="2:13" ht="15" hidden="1" customHeight="1" x14ac:dyDescent="0.25">
      <c r="B68" s="49" t="str">
        <f t="shared" si="12"/>
        <v>per 100 referrals</v>
      </c>
      <c r="C68" s="49">
        <f t="shared" si="12"/>
        <v>2.1</v>
      </c>
      <c r="D68" s="49">
        <f t="shared" si="12"/>
        <v>0.02</v>
      </c>
      <c r="E68" s="49">
        <f>MAX(C68:D68)</f>
        <v>2.1</v>
      </c>
      <c r="G68" s="1" t="str">
        <f>G62</f>
        <v>per 100 referrals</v>
      </c>
      <c r="L68" s="58">
        <f>IF(($E62&gt;0),L62,L61)</f>
        <v>100</v>
      </c>
      <c r="M68" s="58">
        <f>IF((B68=G68),1,2)</f>
        <v>1</v>
      </c>
    </row>
    <row r="69" spans="2:13" ht="15" hidden="1" customHeight="1" x14ac:dyDescent="0.25">
      <c r="B69" s="49" t="str">
        <f>IF(($E63&gt;0),B63,B61)</f>
        <v>per 100 youth petitioned</v>
      </c>
      <c r="C69" s="49">
        <f>IF(($E63&gt;0),C63,C62)</f>
        <v>2.57</v>
      </c>
      <c r="D69" s="49">
        <f>IF(($E63&gt;0),D63,D62)</f>
        <v>0</v>
      </c>
      <c r="E69" s="49">
        <f>MAX(C69:D69)</f>
        <v>2.57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1.68</v>
      </c>
      <c r="D70" s="49">
        <f>IF(($E64&gt;0),D64,D63)</f>
        <v>0</v>
      </c>
      <c r="E70" s="56">
        <f>MAX(C70:D70)</f>
        <v>1.68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2015-07-10T19:30:55Z</dcterms:modified>
</cp:coreProperties>
</file>