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0" documentId="8_{2B4F55B9-2E0F-492D-BBF9-113340600DB6}" xr6:coauthVersionLast="47" xr6:coauthVersionMax="47" xr10:uidLastSave="{67649FEE-68CD-4681-B37F-593F359B1C9C}"/>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M66" i="8"/>
  <c r="F27" i="8"/>
  <c r="F27" i="5"/>
  <c r="M66" i="5"/>
  <c r="F27" i="4"/>
  <c r="M66" i="4"/>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9" i="7" s="1"/>
  <c r="E44" i="6"/>
  <c r="B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E58" i="8"/>
  <c r="L64" i="8" s="1"/>
  <c r="B56" i="8"/>
  <c r="D64" i="5"/>
  <c r="E64" i="5" s="1"/>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D64" i="8"/>
  <c r="B64" i="8"/>
  <c r="I7" i="9"/>
  <c r="Q8" i="13"/>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70" i="6" l="1"/>
  <c r="F14" i="6" s="1"/>
  <c r="D63" i="8"/>
  <c r="C69" i="7"/>
  <c r="D12" i="7" s="1"/>
  <c r="E63" i="3"/>
  <c r="C69" i="3" s="1"/>
  <c r="D15" i="3" s="1"/>
  <c r="L69" i="7"/>
  <c r="C63" i="8"/>
  <c r="C70" i="8" s="1"/>
  <c r="L63" i="8"/>
  <c r="L70" i="8"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3" i="6" l="1"/>
  <c r="O14" i="6"/>
  <c r="E63" i="8"/>
  <c r="D69" i="8" s="1"/>
  <c r="F15" i="8" s="1"/>
  <c r="D69" i="3"/>
  <c r="E69" i="3" s="1"/>
  <c r="O15" i="7"/>
  <c r="D12" i="3"/>
  <c r="B69" i="3"/>
  <c r="M69" i="3" s="1"/>
  <c r="O12" i="7"/>
  <c r="Q13" i="8"/>
  <c r="Q13" i="3"/>
  <c r="Q12" i="7"/>
  <c r="B69" i="6"/>
  <c r="M69" i="6" s="1"/>
  <c r="D14" i="6"/>
  <c r="D15" i="7"/>
  <c r="Q15" i="7"/>
  <c r="L69" i="3"/>
  <c r="Q12" i="3" s="1"/>
  <c r="E70" i="3"/>
  <c r="Q13" i="6"/>
  <c r="Q14" i="6"/>
  <c r="O13" i="6"/>
  <c r="E70" i="6"/>
  <c r="E69" i="7"/>
  <c r="D13" i="3"/>
  <c r="Q14" i="3"/>
  <c r="F12" i="7"/>
  <c r="O13" i="3"/>
  <c r="F14" i="3"/>
  <c r="C69" i="6"/>
  <c r="D12" i="6" s="1"/>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3" l="1"/>
  <c r="U9" i="4"/>
  <c r="J9" i="4" s="1"/>
  <c r="M9" i="4" s="1"/>
  <c r="G9" i="4" s="1"/>
  <c r="G10" i="16" s="1"/>
  <c r="T14" i="6"/>
  <c r="L69" i="8"/>
  <c r="O15" i="8" s="1"/>
  <c r="B69" i="8"/>
  <c r="M69" i="8" s="1"/>
  <c r="F15" i="3"/>
  <c r="O12" i="3"/>
  <c r="R12" i="3" s="1"/>
  <c r="S12" i="3" s="1"/>
  <c r="U12" i="3" s="1"/>
  <c r="J12" i="3" s="1"/>
  <c r="C69" i="8"/>
  <c r="R13" i="3"/>
  <c r="S13" i="3" s="1"/>
  <c r="U13" i="3" s="1"/>
  <c r="J13" i="3" s="1"/>
  <c r="M13" i="3" s="1"/>
  <c r="G13" i="3" s="1"/>
  <c r="F12" i="3"/>
  <c r="T15" i="7"/>
  <c r="F35" i="3"/>
  <c r="Q15" i="3"/>
  <c r="O15" i="3"/>
  <c r="R13" i="8"/>
  <c r="S13" i="8" s="1"/>
  <c r="U10" i="4"/>
  <c r="J10" i="4" s="1"/>
  <c r="M10" i="4" s="1"/>
  <c r="G10" i="4" s="1"/>
  <c r="G11" i="16" s="1"/>
  <c r="T12" i="7"/>
  <c r="F32" i="6"/>
  <c r="U14" i="4"/>
  <c r="J14" i="4" s="1"/>
  <c r="L14" i="4" s="1"/>
  <c r="O15" i="16" s="1"/>
  <c r="R15" i="7"/>
  <c r="S15" i="7" s="1"/>
  <c r="U15" i="7" s="1"/>
  <c r="J15" i="7" s="1"/>
  <c r="M15" i="7" s="1"/>
  <c r="F35" i="6"/>
  <c r="K13" i="3"/>
  <c r="O15" i="6"/>
  <c r="T14" i="3"/>
  <c r="U13" i="4"/>
  <c r="J13" i="4" s="1"/>
  <c r="L13" i="4" s="1"/>
  <c r="O14" i="16" s="1"/>
  <c r="R13" i="6"/>
  <c r="S13" i="6" s="1"/>
  <c r="R12" i="7"/>
  <c r="S12" i="7" s="1"/>
  <c r="T13" i="3"/>
  <c r="K14" i="3"/>
  <c r="T13" i="8"/>
  <c r="K12" i="7"/>
  <c r="R14" i="8"/>
  <c r="S14" i="8" s="1"/>
  <c r="R14" i="6"/>
  <c r="S14" i="6" s="1"/>
  <c r="U14" i="6" s="1"/>
  <c r="J14" i="6" s="1"/>
  <c r="M14" i="6" s="1"/>
  <c r="K14" i="6"/>
  <c r="K15" i="7"/>
  <c r="R14" i="3"/>
  <c r="S14" i="3" s="1"/>
  <c r="U14" i="3" s="1"/>
  <c r="J14" i="3" s="1"/>
  <c r="M14" i="3" s="1"/>
  <c r="G14" i="3" s="1"/>
  <c r="I15" i="16" s="1"/>
  <c r="K13" i="6"/>
  <c r="T13" i="6"/>
  <c r="O12" i="6"/>
  <c r="Q12" i="6"/>
  <c r="Q15" i="6"/>
  <c r="E69" i="6"/>
  <c r="D15" i="6"/>
  <c r="F15" i="6"/>
  <c r="L11" i="4"/>
  <c r="O12" i="16" s="1"/>
  <c r="K8" i="7"/>
  <c r="O13" i="2"/>
  <c r="O12" i="8"/>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9" i="4" l="1"/>
  <c r="O10" i="16" s="1"/>
  <c r="F32" i="8"/>
  <c r="F35" i="8"/>
  <c r="Q12" i="8"/>
  <c r="T12" i="8" s="1"/>
  <c r="T12" i="3"/>
  <c r="G11" i="13"/>
  <c r="L10" i="4"/>
  <c r="O11" i="16" s="1"/>
  <c r="K12" i="3"/>
  <c r="L12" i="3" s="1"/>
  <c r="P13" i="16" s="1"/>
  <c r="L13" i="3"/>
  <c r="P14" i="16" s="1"/>
  <c r="G14" i="6"/>
  <c r="M15" i="13" s="1"/>
  <c r="D12" i="8"/>
  <c r="D15" i="8"/>
  <c r="Q15" i="8"/>
  <c r="R15" i="8" s="1"/>
  <c r="S15" i="8" s="1"/>
  <c r="U15" i="8" s="1"/>
  <c r="J15" i="8" s="1"/>
  <c r="E69" i="8"/>
  <c r="U13" i="7"/>
  <c r="J13" i="7" s="1"/>
  <c r="M13" i="7" s="1"/>
  <c r="D10" i="9"/>
  <c r="U13" i="8"/>
  <c r="J13" i="8" s="1"/>
  <c r="M13" i="8" s="1"/>
  <c r="G13" i="8" s="1"/>
  <c r="I13" i="9" s="1"/>
  <c r="R15" i="3"/>
  <c r="S15" i="3" s="1"/>
  <c r="U15" i="3" s="1"/>
  <c r="J15" i="3" s="1"/>
  <c r="M15" i="3" s="1"/>
  <c r="G15" i="3" s="1"/>
  <c r="I16" i="16" s="1"/>
  <c r="N30" i="4"/>
  <c r="G10" i="13"/>
  <c r="M14" i="4"/>
  <c r="G14" i="4" s="1"/>
  <c r="G15" i="16" s="1"/>
  <c r="D9" i="9"/>
  <c r="N30" i="3"/>
  <c r="T15" i="3"/>
  <c r="K15" i="3"/>
  <c r="M13" i="4"/>
  <c r="G13" i="4" s="1"/>
  <c r="G14" i="16" s="1"/>
  <c r="U12" i="7"/>
  <c r="J12" i="7" s="1"/>
  <c r="M12" i="7" s="1"/>
  <c r="L15" i="7"/>
  <c r="S16" i="16" s="1"/>
  <c r="T15" i="6"/>
  <c r="R12" i="6"/>
  <c r="S12" i="6" s="1"/>
  <c r="U13" i="6"/>
  <c r="J13" i="6" s="1"/>
  <c r="M13" i="6" s="1"/>
  <c r="G13" i="6" s="1"/>
  <c r="U14" i="8"/>
  <c r="J14" i="8" s="1"/>
  <c r="N30" i="8" s="1"/>
  <c r="I15" i="13"/>
  <c r="E14" i="9"/>
  <c r="L14" i="3"/>
  <c r="P15" i="16" s="1"/>
  <c r="K15" i="6"/>
  <c r="K12" i="6"/>
  <c r="T12" i="6"/>
  <c r="R15" i="6"/>
  <c r="S15" i="6" s="1"/>
  <c r="U15" i="6" s="1"/>
  <c r="J15" i="6" s="1"/>
  <c r="M15" i="6" s="1"/>
  <c r="G15" i="6" s="1"/>
  <c r="M13" i="9"/>
  <c r="U14" i="13"/>
  <c r="U12" i="13"/>
  <c r="M11" i="9"/>
  <c r="R12" i="8"/>
  <c r="S12" i="8" s="1"/>
  <c r="T13" i="2"/>
  <c r="U8" i="6"/>
  <c r="J8" i="6" s="1"/>
  <c r="M8" i="6" s="1"/>
  <c r="G8" i="6" s="1"/>
  <c r="M9" i="13" s="1"/>
  <c r="R13" i="2"/>
  <c r="S13" i="2" s="1"/>
  <c r="V11" i="13"/>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K9" i="7"/>
  <c r="T14" i="2"/>
  <c r="V12" i="13"/>
  <c r="U10" i="13"/>
  <c r="N11" i="9"/>
  <c r="T15" i="5"/>
  <c r="W14" i="13"/>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G14" i="9" l="1"/>
  <c r="K12" i="8"/>
  <c r="N13" i="9"/>
  <c r="V14" i="13"/>
  <c r="U11" i="13"/>
  <c r="M10" i="9"/>
  <c r="I16" i="13"/>
  <c r="E15" i="9"/>
  <c r="L15" i="3"/>
  <c r="P16" i="16" s="1"/>
  <c r="L13" i="7"/>
  <c r="S14" i="16" s="1"/>
  <c r="K15" i="8"/>
  <c r="L15" i="8" s="1"/>
  <c r="T16" i="16" s="1"/>
  <c r="T15" i="8"/>
  <c r="U12" i="6"/>
  <c r="J12" i="6" s="1"/>
  <c r="M12" i="6" s="1"/>
  <c r="G12" i="6" s="1"/>
  <c r="G12" i="9" s="1"/>
  <c r="L12" i="7"/>
  <c r="S13" i="16" s="1"/>
  <c r="G15" i="13"/>
  <c r="D14" i="9"/>
  <c r="L13" i="8"/>
  <c r="T14" i="16" s="1"/>
  <c r="Y16" i="13"/>
  <c r="K14" i="16"/>
  <c r="Q15" i="9"/>
  <c r="G14" i="13"/>
  <c r="D13" i="9"/>
  <c r="Q14" i="13"/>
  <c r="U10" i="7"/>
  <c r="J10" i="7" s="1"/>
  <c r="L10" i="7" s="1"/>
  <c r="S11" i="16" s="1"/>
  <c r="V15" i="13"/>
  <c r="N14" i="9"/>
  <c r="U14" i="2"/>
  <c r="J14" i="2" s="1"/>
  <c r="M14" i="2" s="1"/>
  <c r="G14" i="2" s="1"/>
  <c r="E15" i="16" s="1"/>
  <c r="M14" i="13"/>
  <c r="G13" i="9"/>
  <c r="U13" i="2"/>
  <c r="J13" i="2" s="1"/>
  <c r="M13" i="2" s="1"/>
  <c r="G13" i="2" s="1"/>
  <c r="E14" i="16" s="1"/>
  <c r="L13" i="6"/>
  <c r="L14" i="8"/>
  <c r="T15" i="16" s="1"/>
  <c r="U12" i="8"/>
  <c r="J12" i="8" s="1"/>
  <c r="M14" i="8"/>
  <c r="G14" i="8" s="1"/>
  <c r="K15" i="16" s="1"/>
  <c r="U11" i="7"/>
  <c r="J11" i="7" s="1"/>
  <c r="M11" i="7" s="1"/>
  <c r="L15" i="6"/>
  <c r="R16" i="16" s="1"/>
  <c r="L8" i="6"/>
  <c r="R9" i="16" s="1"/>
  <c r="L15" i="5"/>
  <c r="Q16" i="16" s="1"/>
  <c r="T9" i="13"/>
  <c r="L8" i="9"/>
  <c r="X15" i="13"/>
  <c r="P14" i="9"/>
  <c r="G8" i="9"/>
  <c r="Q14" i="9"/>
  <c r="Y15" i="13"/>
  <c r="E9" i="13"/>
  <c r="L10" i="2"/>
  <c r="N11" i="16" s="1"/>
  <c r="L11" i="6"/>
  <c r="R12" i="16" s="1"/>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2" i="8" l="1"/>
  <c r="T13" i="16" s="1"/>
  <c r="Y14" i="13"/>
  <c r="V16" i="13"/>
  <c r="Q13" i="9"/>
  <c r="Q12" i="9"/>
  <c r="Y13" i="13"/>
  <c r="M13" i="13"/>
  <c r="L12" i="6"/>
  <c r="R13" i="16" s="1"/>
  <c r="Z14" i="13"/>
  <c r="M10" i="7"/>
  <c r="R13" i="9"/>
  <c r="L11" i="7"/>
  <c r="S12" i="16" s="1"/>
  <c r="N30" i="2"/>
  <c r="R14" i="9"/>
  <c r="L14" i="2"/>
  <c r="N15" i="16" s="1"/>
  <c r="Q15" i="13"/>
  <c r="X16" i="13"/>
  <c r="M12" i="8"/>
  <c r="G12" i="8" s="1"/>
  <c r="K13" i="16" s="1"/>
  <c r="P15" i="9"/>
  <c r="C13" i="9"/>
  <c r="C14" i="9"/>
  <c r="E15" i="13"/>
  <c r="E14" i="13"/>
  <c r="L13" i="2"/>
  <c r="N14" i="16" s="1"/>
  <c r="R14" i="16"/>
  <c r="X14" i="13"/>
  <c r="P13" i="9"/>
  <c r="Z15" i="13"/>
  <c r="I14"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Z13" i="13" l="1"/>
  <c r="R12" i="9"/>
  <c r="P12" i="9"/>
  <c r="X13" i="13"/>
  <c r="Q11" i="9"/>
  <c r="T15" i="13"/>
  <c r="Y12" i="13"/>
  <c r="I12" i="9"/>
  <c r="Q13" i="13"/>
  <c r="L14"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<sst xmlns="http://schemas.openxmlformats.org/spreadsheetml/2006/main" count="654" uniqueCount="141">
  <si>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</si>
  <si>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</si>
  <si>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</si>
  <si>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</si>
  <si>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</si>
  <si>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</si>
  <si>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</si>
  <si>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</si>
  <si>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</si>
  <si>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</si>
  <si>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</si>
  <si>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</si>
  <si>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</si>
  <si>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</si>
  <si>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</si>
  <si>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</si>
  <si>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</si>
  <si>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</si>
  <si>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</si>
  <si>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</si>
  <si>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</si>
  <si>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</si>
  <si>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</si>
  <si>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</si>
  <si>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</si>
  <si>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</si>
  <si>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</si>
  <si>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</si>
  <si>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</si>
  <si>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</si>
  <si>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</si>
  <si>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</si>
  <si>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</si>
  <si>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</si>
  <si>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</si>
  <si>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</si>
  <si>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</si>
  <si>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</si>
  <si>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</si>
  <si>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</si>
  <si>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</si>
  <si>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</si>
  <si>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</si>
  <si>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</si>
  <si>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</si>
  <si>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</si>
  <si>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</si>
  <si>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</si>
  <si>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</si>
  <si>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</si>
  <si>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</si>
  <si>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</si>
  <si>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</si>
  <si>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</si>
  <si>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</si>
  <si>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</si>
  <si>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</si>
  <si>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</si>
  <si>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</si>
  <si>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</si>
  <si>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</si>
  <si>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</si>
  <si>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</si>
  <si>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</si>
  <si>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</si>
  <si>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</si>
  <si>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</si>
  <si>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</si>
  <si>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</si>
  <si>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</si>
  <si>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</si>
  <si>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</si>
  <si>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</si>
  <si>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</si>
  <si>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</si>
  <si>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</si>
  <si>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</si>
  <si>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</si>
  <si>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</si>
  <si>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</si>
  <si>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</si>
  <si>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</si>
  <si>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</si>
  <si>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</si>
  <si>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</si>
  <si>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</si>
  <si>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</si>
  <si>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</si>
  <si>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</si>
  <si>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</si>
  <si>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</si>
  <si>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</si>
  <si>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</si>
  <si>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</si>
  <si>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</si>
  <si>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</si>
  <si>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</si>
  <si>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</si>
  <si>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</si>
  <si>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</si>
  <si>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</si>
  <si>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</si>
  <si>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</si>
  <si>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</si>
  <si>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</si>
  <si>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</si>
  <si>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</si>
  <si>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</si>
  <si>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</si>
  <si>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</si>
  <si>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</si>
  <si>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</si>
  <si>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</si>
  <si>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</si>
  <si>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</si>
  <si>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</si>
  <si>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</si>
  <si>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</si>
  <si>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</si>
  <si>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</si>
  <si>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</si>
  <si>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</si>
  <si>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</si>
  <si>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</si>
  <si>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</si>
  <si>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</si>
  <si>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</si>
  <si>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</si>
  <si>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</si>
  <si>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</si>
  <si>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</si>
  <si>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</si>
  <si>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</si>
  <si>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</si>
  <si>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</si>
  <si>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</si>
  <si>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Van Buren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</si>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</sst>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Van Buren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N=44</c:v>
                </c:pt>
                <c:pt idx="2">
                  <c:v>Delinquent Findings, total N=49</c:v>
                </c:pt>
                <c:pt idx="3">
                  <c:v>Petitions, total N=66</c:v>
                </c:pt>
                <c:pt idx="4">
                  <c:v>Detentions, total N=16</c:v>
                </c:pt>
                <c:pt idx="5">
                  <c:v>Referrals, total N=96</c:v>
                </c:pt>
                <c:pt idx="6">
                  <c:v>Arrests, total N=57</c:v>
                </c:pt>
                <c:pt idx="7">
                  <c:v>Population, total N=7973</c:v>
                </c:pt>
              </c:strCache>
            </c:strRef>
          </c:cat>
          <c:val>
            <c:numRef>
              <c:f>'Stacked 100%'!$B$7:$B$14</c:f>
              <c:numCache>
                <c:formatCode>0%</c:formatCode>
                <c:ptCount val="8"/>
                <c:pt idx="0">
                  <c:v>0</c:v>
                </c:pt>
                <c:pt idx="1">
                  <c:v>0</c:v>
                </c:pt>
                <c:pt idx="2">
                  <c:v>2.0408163265306121E-2</c:v>
                </c:pt>
                <c:pt idx="3">
                  <c:v>6.0606060606060608E-2</c:v>
                </c:pt>
                <c:pt idx="4">
                  <c:v>0</c:v>
                </c:pt>
                <c:pt idx="5">
                  <c:v>7.2916666666666671E-2</c:v>
                </c:pt>
                <c:pt idx="6">
                  <c:v>0.17543859649122806</c:v>
                </c:pt>
                <c:pt idx="7">
                  <c:v>5.1674401103725072E-2</c:v>
                </c:pt>
              </c:numCache>
            </c:numRef>
          </c:val>
          <c:extLst>
            <c:ext xmlns:c16="http://schemas.microsoft.com/office/drawing/2014/chart" uri="{C3380CC4-5D6E-409C-BE32-E72D297353CC}">
              <c16:uniqueId val="{00000000-E098-43CA-B194-7C5DC97FC18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N=44</c:v>
                </c:pt>
                <c:pt idx="2">
                  <c:v>Delinquent Findings, total N=49</c:v>
                </c:pt>
                <c:pt idx="3">
                  <c:v>Petitions, total N=66</c:v>
                </c:pt>
                <c:pt idx="4">
                  <c:v>Detentions, total N=16</c:v>
                </c:pt>
                <c:pt idx="5">
                  <c:v>Referrals, total N=96</c:v>
                </c:pt>
                <c:pt idx="6">
                  <c:v>Arrests, total N=57</c:v>
                </c:pt>
                <c:pt idx="7">
                  <c:v>Population, total N=7973</c:v>
                </c:pt>
              </c:strCache>
            </c:strRef>
          </c:cat>
          <c:val>
            <c:numRef>
              <c:f>'Stacked 100%'!$C$7:$C$14</c:f>
              <c:numCache>
                <c:formatCode>0%</c:formatCode>
                <c:ptCount val="8"/>
                <c:pt idx="0">
                  <c:v>0</c:v>
                </c:pt>
                <c:pt idx="1">
                  <c:v>0</c:v>
                </c:pt>
                <c:pt idx="2">
                  <c:v>2.0408163265306121E-2</c:v>
                </c:pt>
                <c:pt idx="3">
                  <c:v>4.5454545454545456E-2</c:v>
                </c:pt>
                <c:pt idx="4">
                  <c:v>0</c:v>
                </c:pt>
                <c:pt idx="5">
                  <c:v>5.2083333333333336E-2</c:v>
                </c:pt>
                <c:pt idx="6">
                  <c:v>5.2631578947368418E-2</c:v>
                </c:pt>
                <c:pt idx="7">
                  <c:v>0.19641289351561519</c:v>
                </c:pt>
              </c:numCache>
            </c:numRef>
          </c:val>
          <c:extLst>
            <c:ext xmlns:c16="http://schemas.microsoft.com/office/drawing/2014/chart" uri="{C3380CC4-5D6E-409C-BE32-E72D297353CC}">
              <c16:uniqueId val="{00000001-E098-43CA-B194-7C5DC97FC18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N=44</c:v>
                </c:pt>
                <c:pt idx="2">
                  <c:v>Delinquent Findings, total N=49</c:v>
                </c:pt>
                <c:pt idx="3">
                  <c:v>Petitions, total N=66</c:v>
                </c:pt>
                <c:pt idx="4">
                  <c:v>Detentions, total N=16</c:v>
                </c:pt>
                <c:pt idx="5">
                  <c:v>Referrals, total N=96</c:v>
                </c:pt>
                <c:pt idx="6">
                  <c:v>Arrests, total N=57</c:v>
                </c:pt>
                <c:pt idx="7">
                  <c:v>Population, total N=7973</c:v>
                </c:pt>
              </c:strCache>
            </c:strRef>
          </c:cat>
          <c:val>
            <c:numRef>
              <c:f>'Stacked 100%'!$H$7:$H$14</c:f>
              <c:numCache>
                <c:formatCode>0%</c:formatCode>
                <c:ptCount val="8"/>
                <c:pt idx="0">
                  <c:v>0</c:v>
                </c:pt>
                <c:pt idx="1">
                  <c:v>2.5826446280991736E-3</c:v>
                </c:pt>
                <c:pt idx="2">
                  <c:v>2.4989587671803413E-3</c:v>
                </c:pt>
                <c:pt idx="3">
                  <c:v>1.147842056932966E-3</c:v>
                </c:pt>
                <c:pt idx="4">
                  <c:v>3.90625E-3</c:v>
                </c:pt>
                <c:pt idx="5">
                  <c:v>1.0850694444444445E-3</c:v>
                </c:pt>
                <c:pt idx="6">
                  <c:v>0</c:v>
                </c:pt>
                <c:pt idx="7">
                  <c:v>2.3753817698636073E-6</c:v>
                </c:pt>
              </c:numCache>
            </c:numRef>
          </c:val>
          <c:extLst>
            <c:ext xmlns:c16="http://schemas.microsoft.com/office/drawing/2014/chart" uri="{C3380CC4-5D6E-409C-BE32-E72D297353CC}">
              <c16:uniqueId val="{00000002-E098-43CA-B194-7C5DC97FC18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N=44</c:v>
                </c:pt>
                <c:pt idx="2">
                  <c:v>Delinquent Findings, total N=49</c:v>
                </c:pt>
                <c:pt idx="3">
                  <c:v>Petitions, total N=66</c:v>
                </c:pt>
                <c:pt idx="4">
                  <c:v>Detentions, total N=16</c:v>
                </c:pt>
                <c:pt idx="5">
                  <c:v>Referrals, total N=96</c:v>
                </c:pt>
                <c:pt idx="6">
                  <c:v>Arrests, total N=57</c:v>
                </c:pt>
                <c:pt idx="7">
                  <c:v>Population, total N=7973</c:v>
                </c:pt>
              </c:strCache>
            </c:strRef>
          </c:cat>
          <c:val>
            <c:numRef>
              <c:f>'Stacked 100%'!$I$7:$I$14</c:f>
              <c:numCache>
                <c:formatCode>0%</c:formatCode>
                <c:ptCount val="8"/>
                <c:pt idx="0">
                  <c:v>0</c:v>
                </c:pt>
                <c:pt idx="1">
                  <c:v>0.88636363636363635</c:v>
                </c:pt>
                <c:pt idx="2">
                  <c:v>0.81632653061224492</c:v>
                </c:pt>
                <c:pt idx="3">
                  <c:v>0.80303030303030298</c:v>
                </c:pt>
                <c:pt idx="4">
                  <c:v>0.9375</c:v>
                </c:pt>
                <c:pt idx="5">
                  <c:v>0.76041666666666663</c:v>
                </c:pt>
                <c:pt idx="6">
                  <c:v>0.73684210526315785</c:v>
                </c:pt>
                <c:pt idx="7">
                  <c:v>0.73297378652953715</c:v>
                </c:pt>
              </c:numCache>
            </c:numRef>
          </c:val>
          <c:extLst>
            <c:ext xmlns:c16="http://schemas.microsoft.com/office/drawing/2014/chart" uri="{C3380CC4-5D6E-409C-BE32-E72D297353CC}">
              <c16:uniqueId val="{00000003-E098-43CA-B194-7C5DC97FC180}"/>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N=44</c:v>
                </c:pt>
                <c:pt idx="2">
                  <c:v>Delinquent Findings, total N=49</c:v>
                </c:pt>
                <c:pt idx="3">
                  <c:v>Petitions, total N=66</c:v>
                </c:pt>
                <c:pt idx="4">
                  <c:v>Detentions, total N=16</c:v>
                </c:pt>
                <c:pt idx="5">
                  <c:v>Referrals, total N=96</c:v>
                </c:pt>
                <c:pt idx="6">
                  <c:v>Arrests, total N=57</c:v>
                </c:pt>
                <c:pt idx="7">
                  <c:v>Population, total N=7973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098-43CA-B194-7C5DC97FC180}"/>
            </c:ext>
          </c:extLst>
        </c:ser>
        <c:dLbls>
          <c:showLegendKey val="0"/>
          <c:showVal val="0"/>
          <c:showCatName val="0"/>
          <c:showSerName val="0"/>
          <c:showPercent val="0"/>
          <c:showBubbleSize val="0"/>
        </c:dLbls>
        <c:gapWidth val="150"/>
        <c:overlap val="100"/>
        <c:axId val="11418496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14184960"/>
        <c:crosses val="max"/>
        <c:crossBetween val="between"/>
      </c:valAx>
      <c:catAx>
        <c:axId val="11418496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J14" sqref="J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7973</v>
      </c>
      <c r="C6" s="11">
        <v>5844</v>
      </c>
      <c r="D6" s="11">
        <v>412</v>
      </c>
      <c r="E6" s="11">
        <v>1566</v>
      </c>
      <c r="F6" s="11">
        <v>71</v>
      </c>
      <c r="G6" s="11"/>
      <c r="H6" s="11">
        <v>80</v>
      </c>
      <c r="I6" s="11"/>
      <c r="J6" s="91">
        <f>SUM(D6:I6)</f>
        <v>2129</v>
      </c>
      <c r="K6" s="92"/>
    </row>
    <row r="7" spans="1:11" ht="15.75" customHeight="1" thickBot="1">
      <c r="A7" s="10" t="s">
        <v>8</v>
      </c>
      <c r="B7" s="11">
        <f t="shared" ref="B7:B15" si="0">SUM(C7:I7)+K7</f>
        <v>57</v>
      </c>
      <c r="C7" s="11">
        <v>42</v>
      </c>
      <c r="D7" s="11">
        <v>10</v>
      </c>
      <c r="E7" s="11">
        <v>3</v>
      </c>
      <c r="F7" s="11"/>
      <c r="G7" s="11"/>
      <c r="H7" s="11"/>
      <c r="I7" s="11"/>
      <c r="J7" s="91">
        <f t="shared" ref="J7:J15" si="1">SUM(D7:I7)</f>
        <v>13</v>
      </c>
      <c r="K7" s="92">
        <v>2</v>
      </c>
    </row>
    <row r="8" spans="1:11" ht="15.75" customHeight="1" thickBot="1">
      <c r="A8" s="10" t="s">
        <v>9</v>
      </c>
      <c r="B8" s="11">
        <f t="shared" si="0"/>
        <v>96</v>
      </c>
      <c r="C8" s="11">
        <v>73</v>
      </c>
      <c r="D8" s="11">
        <v>7</v>
      </c>
      <c r="E8" s="11">
        <v>5</v>
      </c>
      <c r="F8" s="11"/>
      <c r="G8" s="11"/>
      <c r="H8" s="11"/>
      <c r="I8" s="11">
        <v>10</v>
      </c>
      <c r="J8" s="91">
        <f t="shared" si="1"/>
        <v>22</v>
      </c>
      <c r="K8" s="92">
        <v>1</v>
      </c>
    </row>
    <row r="9" spans="1:11" ht="15.75" customHeight="1" thickBot="1">
      <c r="A9" s="10" t="s">
        <v>10</v>
      </c>
      <c r="B9" s="11">
        <f t="shared" si="0"/>
        <v>4</v>
      </c>
      <c r="C9" s="11">
        <v>2</v>
      </c>
      <c r="D9" s="11">
        <v>1</v>
      </c>
      <c r="E9" s="11"/>
      <c r="F9" s="11"/>
      <c r="G9" s="11"/>
      <c r="H9" s="11"/>
      <c r="I9" s="11">
        <v>1</v>
      </c>
      <c r="J9" s="91">
        <f t="shared" si="1"/>
        <v>2</v>
      </c>
      <c r="K9" s="92"/>
    </row>
    <row r="10" spans="1:11" ht="15.75" customHeight="1" thickBot="1">
      <c r="A10" s="10" t="s">
        <v>11</v>
      </c>
      <c r="B10" s="11">
        <f t="shared" si="0"/>
        <v>16</v>
      </c>
      <c r="C10" s="11">
        <v>15</v>
      </c>
      <c r="D10" s="11"/>
      <c r="E10" s="11"/>
      <c r="F10" s="11"/>
      <c r="G10" s="11"/>
      <c r="H10" s="11"/>
      <c r="I10" s="11">
        <v>1</v>
      </c>
      <c r="J10" s="91">
        <f t="shared" si="1"/>
        <v>1</v>
      </c>
      <c r="K10" s="92"/>
    </row>
    <row r="11" spans="1:11" ht="15.75" customHeight="1" thickBot="1">
      <c r="A11" s="10" t="s">
        <v>12</v>
      </c>
      <c r="B11" s="11">
        <f t="shared" si="0"/>
        <v>66</v>
      </c>
      <c r="C11" s="11">
        <v>53</v>
      </c>
      <c r="D11" s="11">
        <v>4</v>
      </c>
      <c r="E11" s="11">
        <v>3</v>
      </c>
      <c r="F11" s="11"/>
      <c r="G11" s="11"/>
      <c r="H11" s="11"/>
      <c r="I11" s="11">
        <v>5</v>
      </c>
      <c r="J11" s="91">
        <f t="shared" si="1"/>
        <v>12</v>
      </c>
      <c r="K11" s="92">
        <v>1</v>
      </c>
    </row>
    <row r="12" spans="1:11" ht="15.75" customHeight="1" thickBot="1">
      <c r="A12" s="10" t="s">
        <v>13</v>
      </c>
      <c r="B12" s="11">
        <f t="shared" si="0"/>
        <v>49</v>
      </c>
      <c r="C12" s="11">
        <v>40</v>
      </c>
      <c r="D12" s="11">
        <v>1</v>
      </c>
      <c r="E12" s="11">
        <v>1</v>
      </c>
      <c r="F12" s="11"/>
      <c r="G12" s="11"/>
      <c r="H12" s="11"/>
      <c r="I12" s="11">
        <v>6</v>
      </c>
      <c r="J12" s="91">
        <f t="shared" si="1"/>
        <v>8</v>
      </c>
      <c r="K12" s="92">
        <v>1</v>
      </c>
    </row>
    <row r="13" spans="1:11" ht="15.75" customHeight="1" thickBot="1">
      <c r="A13" s="10" t="s">
        <v>133</v>
      </c>
      <c r="B13" s="11">
        <f t="shared" si="0"/>
        <v>94</v>
      </c>
      <c r="C13" s="11">
        <v>72</v>
      </c>
      <c r="D13" s="11">
        <v>7</v>
      </c>
      <c r="E13" s="11">
        <v>5</v>
      </c>
      <c r="F13" s="11"/>
      <c r="G13" s="11"/>
      <c r="H13" s="11"/>
      <c r="I13" s="11">
        <v>9</v>
      </c>
      <c r="J13" s="91">
        <f t="shared" si="1"/>
        <v>21</v>
      </c>
      <c r="K13" s="92">
        <v>1</v>
      </c>
    </row>
    <row r="14" spans="1:11" ht="26.25" customHeight="1" thickBot="1">
      <c r="A14" s="10" t="s">
        <v>123</v>
      </c>
      <c r="B14" s="11">
        <f t="shared" si="0"/>
        <v>44</v>
      </c>
      <c r="C14" s="11">
        <v>39</v>
      </c>
      <c r="D14" s="11"/>
      <c r="E14" s="11"/>
      <c r="F14" s="11"/>
      <c r="G14" s="11"/>
      <c r="H14" s="11"/>
      <c r="I14" s="11">
        <v>5</v>
      </c>
      <c r="J14" s="91">
        <f t="shared" si="1"/>
        <v>5</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5844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42</v>
      </c>
      <c r="D7" s="34">
        <f>IF((AND(C66&gt;0,C7&gt;0)),(C7/C66),0)</f>
        <v>7.1868583162217652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42</v>
      </c>
      <c r="Q7" s="42">
        <f>C6-C7</f>
        <v>5802</v>
      </c>
      <c r="R7" s="42">
        <f t="shared" ref="R7:R15" si="5">SUM(N7:Q7)</f>
        <v>5844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73</v>
      </c>
      <c r="D8" s="34">
        <f>IF((AND(C67&gt;0,C8&gt;0)),(C8/C67),0)</f>
        <v>173.80952380952382</v>
      </c>
      <c r="E8" s="33">
        <f>'Data Entry'!I8</f>
        <v>10</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10</v>
      </c>
      <c r="O8" s="42">
        <f>((D67*L67)-E8)+0.05</f>
        <v>-9.9499999999999993</v>
      </c>
      <c r="P8" s="42">
        <f t="shared" si="4"/>
        <v>73</v>
      </c>
      <c r="Q8" s="42">
        <f>(C$67*L67)-C8</f>
        <v>-31</v>
      </c>
      <c r="R8" s="42">
        <f t="shared" si="5"/>
        <v>42.05</v>
      </c>
      <c r="S8" s="30">
        <f t="shared" si="6"/>
        <v>7289254.9111249959</v>
      </c>
      <c r="T8" s="30">
        <f t="shared" si="7"/>
        <v>-7137.5850000001019</v>
      </c>
      <c r="U8" s="31">
        <f t="shared" si="8"/>
        <v>-1021.2494717926149</v>
      </c>
    </row>
    <row r="9" spans="2:21" ht="18" customHeight="1">
      <c r="B9" s="32" t="str">
        <f>'Data Entry'!A9</f>
        <v xml:space="preserve">4. Cases Diverted </v>
      </c>
      <c r="C9" s="33">
        <f>'Data Entry'!C9</f>
        <v>2</v>
      </c>
      <c r="D9" s="34">
        <f>IF((AND(C68&gt;0,C9&gt;0)),((C9/C68)),0)</f>
        <v>2.7397260273972601</v>
      </c>
      <c r="E9" s="33">
        <f>'Data Entry'!I9</f>
        <v>1</v>
      </c>
      <c r="F9" s="34">
        <f>IF((AND($E$9&gt;0,$D$68&gt;0)),(($E$9/$D$68)),0)</f>
        <v>10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9</v>
      </c>
      <c r="P9" s="42">
        <f t="shared" si="4"/>
        <v>2</v>
      </c>
      <c r="Q9" s="42">
        <f>(C$68*L68)-C9</f>
        <v>71</v>
      </c>
      <c r="R9" s="42">
        <f t="shared" si="5"/>
        <v>83</v>
      </c>
      <c r="S9" s="30">
        <f t="shared" si="6"/>
        <v>233147</v>
      </c>
      <c r="T9" s="30">
        <f t="shared" si="7"/>
        <v>175200</v>
      </c>
      <c r="U9" s="31">
        <f t="shared" si="8"/>
        <v>1.3307477168949771</v>
      </c>
    </row>
    <row r="10" spans="2:21" ht="18" customHeight="1">
      <c r="B10" s="32" t="str">
        <f>'Data Entry'!A10</f>
        <v>5. Cases Involving Secure Detention</v>
      </c>
      <c r="C10" s="33">
        <f>'Data Entry'!C10</f>
        <v>15</v>
      </c>
      <c r="D10" s="34">
        <f>IF(((AND(C68&gt;0,C10&gt;0))),(C10/(C68)),0)</f>
        <v>20.547945205479454</v>
      </c>
      <c r="E10" s="33">
        <f>'Data Entry'!I10</f>
        <v>1</v>
      </c>
      <c r="F10" s="34">
        <f>IF(((AND($E$10&gt;0,$D$68&gt;0))),($E$10/($D$68)),0)</f>
        <v>10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1</v>
      </c>
      <c r="O10" s="42">
        <f>(D$68*L68)-E10</f>
        <v>9</v>
      </c>
      <c r="P10" s="42">
        <f t="shared" si="4"/>
        <v>15</v>
      </c>
      <c r="Q10" s="42">
        <f>(C$68*L68)-C10</f>
        <v>58</v>
      </c>
      <c r="R10" s="42">
        <f t="shared" si="5"/>
        <v>83</v>
      </c>
      <c r="S10" s="30">
        <f t="shared" si="6"/>
        <v>492107</v>
      </c>
      <c r="T10" s="30">
        <f t="shared" si="7"/>
        <v>782560</v>
      </c>
      <c r="U10" s="31">
        <f t="shared" si="8"/>
        <v>0.62884251686771619</v>
      </c>
    </row>
    <row r="11" spans="2:21" ht="18" customHeight="1">
      <c r="B11" s="32" t="str">
        <f>'Data Entry'!A11</f>
        <v>6. Cases Petitioned (Charge Filed)</v>
      </c>
      <c r="C11" s="33">
        <f>'Data Entry'!C11</f>
        <v>53</v>
      </c>
      <c r="D11" s="34">
        <f>IF(((AND(C68&gt;0,C11&gt;0))),(C11/(C68)),0)</f>
        <v>72.602739726027394</v>
      </c>
      <c r="E11" s="33">
        <f>'Data Entry'!I11</f>
        <v>5</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5</v>
      </c>
      <c r="O11" s="42">
        <f>(D$68*L68)-E11</f>
        <v>5</v>
      </c>
      <c r="P11" s="42">
        <f t="shared" si="4"/>
        <v>53</v>
      </c>
      <c r="Q11" s="42">
        <f>(C$68*L68)-C11</f>
        <v>20</v>
      </c>
      <c r="R11" s="42">
        <f t="shared" si="5"/>
        <v>83</v>
      </c>
      <c r="S11" s="30">
        <f t="shared" si="6"/>
        <v>2259675</v>
      </c>
      <c r="T11" s="30">
        <f t="shared" si="7"/>
        <v>1058500</v>
      </c>
      <c r="U11" s="31">
        <f t="shared" si="8"/>
        <v>2.1347897968823806</v>
      </c>
    </row>
    <row r="12" spans="2:21" ht="18" customHeight="1">
      <c r="B12" s="32" t="str">
        <f>'Data Entry'!A12</f>
        <v>7. Cases Resulting in Delinquent Findings</v>
      </c>
      <c r="C12" s="33">
        <f>'Data Entry'!C12</f>
        <v>40</v>
      </c>
      <c r="D12" s="34">
        <f>IF(((AND(C69&gt;0,C12&gt;0))),(C12/(C69)),0)</f>
        <v>75.471698113207538</v>
      </c>
      <c r="E12" s="33">
        <f>'Data Entry'!I12</f>
        <v>6</v>
      </c>
      <c r="F12" s="34">
        <f>IF(((AND($D$69&gt;0,$E$12&gt;0))),(E12/(D69)),0)</f>
        <v>120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6</v>
      </c>
      <c r="O12" s="42">
        <f>(D69*L69)-E12</f>
        <v>-1</v>
      </c>
      <c r="P12" s="42">
        <f t="shared" si="4"/>
        <v>40</v>
      </c>
      <c r="Q12" s="42">
        <f>(C69*L69)-C12</f>
        <v>13</v>
      </c>
      <c r="R12" s="42">
        <f t="shared" si="5"/>
        <v>58</v>
      </c>
      <c r="S12" s="30">
        <f t="shared" si="6"/>
        <v>807592</v>
      </c>
      <c r="T12" s="30">
        <f t="shared" si="7"/>
        <v>146280</v>
      </c>
      <c r="U12" s="31">
        <f t="shared" si="8"/>
        <v>5.5208640962537601</v>
      </c>
    </row>
    <row r="13" spans="2:21" ht="18" customHeight="1">
      <c r="B13" s="32" t="str">
        <f>'Data Entry'!A13</f>
        <v>8. Cases Resulting in Probation Placement</v>
      </c>
      <c r="C13" s="33">
        <f>'Data Entry'!C13</f>
        <v>72</v>
      </c>
      <c r="D13" s="34">
        <f>IF(((AND(C70&gt;0,C13&gt;0))),(C13/(C70)),0)</f>
        <v>180</v>
      </c>
      <c r="E13" s="33">
        <f>'Data Entry'!I13</f>
        <v>9</v>
      </c>
      <c r="F13" s="34">
        <f>IF(((AND($D$70&gt;0,$E$13&gt;0))),($E$13/($D$70)),0)</f>
        <v>150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9</v>
      </c>
      <c r="O13" s="42">
        <f>(D70*L70)-E13</f>
        <v>-3</v>
      </c>
      <c r="P13" s="42">
        <f t="shared" si="4"/>
        <v>72</v>
      </c>
      <c r="Q13" s="42">
        <f>(C70*L70)-C13</f>
        <v>-32</v>
      </c>
      <c r="R13" s="42">
        <f t="shared" si="5"/>
        <v>46</v>
      </c>
      <c r="S13" s="30">
        <f t="shared" si="6"/>
        <v>238464</v>
      </c>
      <c r="T13" s="30">
        <f t="shared" si="7"/>
        <v>-680400</v>
      </c>
      <c r="U13" s="31">
        <f t="shared" si="8"/>
        <v>-0.3504761904761905</v>
      </c>
    </row>
    <row r="14" spans="2:21" ht="30.75" customHeight="1">
      <c r="B14" s="32" t="str">
        <f>'Data Entry'!A14</f>
        <v xml:space="preserve">9. Cases Resulting in Confinement in Secure Juvenile Correctional Facilities </v>
      </c>
      <c r="C14" s="33">
        <f>'Data Entry'!C14</f>
        <v>39</v>
      </c>
      <c r="D14" s="34">
        <f>IF(((AND(C70&gt;0,C14&gt;0))), ((C14/(C70))),0)</f>
        <v>97.5</v>
      </c>
      <c r="E14" s="33">
        <f>'Data Entry'!I14</f>
        <v>5</v>
      </c>
      <c r="F14" s="34">
        <f>IF(((AND($D$70&gt;0,$E$14&gt;0))), (($E$14/($D$70))),0)</f>
        <v>83.333333333333343</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5</v>
      </c>
      <c r="O14" s="42">
        <f>(D70*L70)-E14</f>
        <v>1</v>
      </c>
      <c r="P14" s="42">
        <f t="shared" si="4"/>
        <v>39</v>
      </c>
      <c r="Q14" s="42">
        <f>(C70*L70)-C14</f>
        <v>1</v>
      </c>
      <c r="R14" s="42">
        <f t="shared" si="5"/>
        <v>46</v>
      </c>
      <c r="S14" s="30">
        <f t="shared" si="6"/>
        <v>53176</v>
      </c>
      <c r="T14" s="30">
        <f t="shared" si="7"/>
        <v>21120</v>
      </c>
      <c r="U14" s="31">
        <f t="shared" si="8"/>
        <v>2.5178030303030301</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53</v>
      </c>
      <c r="R15" s="42">
        <f t="shared" si="5"/>
        <v>58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5.8440000000000003</v>
      </c>
      <c r="D42" s="56">
        <f>E6/1000</f>
        <v>0</v>
      </c>
      <c r="E42" s="56">
        <f>MAX(C42:D42)</f>
        <v>5.8440000000000003</v>
      </c>
      <c r="G42" s="1" t="str">
        <f>B42</f>
        <v>per 1000 youth</v>
      </c>
      <c r="L42" s="57">
        <v>1000</v>
      </c>
      <c r="M42" s="57"/>
      <c r="R42" s="49"/>
    </row>
    <row r="43" spans="2:18" ht="15" hidden="1" customHeight="1">
      <c r="B43" s="49" t="s">
        <v>87</v>
      </c>
      <c r="C43" s="56">
        <f>C7/100</f>
        <v>0.42</v>
      </c>
      <c r="D43" s="56">
        <f>E7/100</f>
        <v>0</v>
      </c>
      <c r="E43" s="56">
        <f>MAX(C43:D43,0)</f>
        <v>0.42</v>
      </c>
      <c r="G43" s="1" t="str">
        <f>B43</f>
        <v>per 100 arrests</v>
      </c>
      <c r="L43" s="57">
        <v>100</v>
      </c>
      <c r="M43" s="57"/>
      <c r="R43" s="49"/>
    </row>
    <row r="44" spans="2:18" ht="15" hidden="1" customHeight="1">
      <c r="B44" s="49" t="s">
        <v>88</v>
      </c>
      <c r="C44" s="56">
        <f>C8/100</f>
        <v>0.73</v>
      </c>
      <c r="D44" s="56">
        <f>E8/100</f>
        <v>0.1</v>
      </c>
      <c r="E44" s="56">
        <f>MAX(C44:D44,0)</f>
        <v>0.73</v>
      </c>
      <c r="G44" s="1" t="str">
        <f>B44</f>
        <v>per 100 referrals</v>
      </c>
      <c r="L44" s="57">
        <v>100</v>
      </c>
      <c r="M44" s="57"/>
      <c r="R44" s="49"/>
    </row>
    <row r="45" spans="2:18" ht="15" hidden="1" customHeight="1">
      <c r="B45" s="49" t="s">
        <v>89</v>
      </c>
      <c r="C45" s="49">
        <f>C11/100</f>
        <v>0.53</v>
      </c>
      <c r="D45" s="49">
        <f>E11/100</f>
        <v>0.05</v>
      </c>
      <c r="E45" s="56">
        <f>MAX(C45:D45,0)</f>
        <v>0.53</v>
      </c>
      <c r="G45" s="1" t="str">
        <f>B45</f>
        <v>per 100 youth petitioned</v>
      </c>
      <c r="L45" s="57">
        <v>100</v>
      </c>
      <c r="M45" s="57"/>
      <c r="R45" s="49"/>
    </row>
    <row r="46" spans="2:18" ht="15" hidden="1" customHeight="1">
      <c r="B46" s="49" t="s">
        <v>90</v>
      </c>
      <c r="C46" s="49">
        <f>C12/100</f>
        <v>0.4</v>
      </c>
      <c r="D46" s="49">
        <f>E12/100</f>
        <v>0.06</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5.8440000000000003</v>
      </c>
      <c r="D48" s="56">
        <f>D42</f>
        <v>0</v>
      </c>
      <c r="E48" s="56">
        <f>MAX(C48:D48)</f>
        <v>5.8440000000000003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0.42</v>
      </c>
      <c r="D49" s="49">
        <f t="shared" si="9"/>
        <v>0</v>
      </c>
      <c r="E49" s="49">
        <f>MAX(C49:D49)</f>
        <v>0.42</v>
      </c>
      <c r="G49" s="1" t="str">
        <f>G43</f>
        <v>per 100 arrests</v>
      </c>
      <c r="L49" s="58">
        <f>IF(($E43&gt;0),L43,L42)</f>
        <v>100</v>
      </c>
      <c r="M49" s="58"/>
      <c r="N49" s="21"/>
      <c r="O49" s="21"/>
      <c r="P49" s="21"/>
      <c r="Q49" s="21"/>
      <c r="R49" s="21"/>
    </row>
    <row r="50" spans="2:18" ht="15" hidden="1" customHeight="1">
      <c r="B50" s="49" t="str">
        <f t="shared" si="9"/>
        <v>per 100 referrals</v>
      </c>
      <c r="C50" s="49">
        <f t="shared" si="9"/>
        <v>0.73</v>
      </c>
      <c r="D50" s="49">
        <f t="shared" si="9"/>
        <v>0.1</v>
      </c>
      <c r="E50" s="49">
        <f>MAX(C50:D50)</f>
        <v>0.73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0.05</v>
      </c>
      <c r="E51" s="49">
        <f>MAX(C51:D51)</f>
        <v>0.53</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0.06</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5.8440000000000003</v>
      </c>
      <c r="D54" s="56">
        <f>D48</f>
        <v>0</v>
      </c>
      <c r="E54" s="56">
        <f>MAX(C54:D54)</f>
        <v>5.8440000000000003</v>
      </c>
      <c r="G54" s="1" t="str">
        <f>G48</f>
        <v>per 1000 youth</v>
      </c>
      <c r="L54" s="58">
        <f>L48</f>
        <v>1000</v>
      </c>
      <c r="M54" s="58"/>
    </row>
    <row r="55" spans="2:18" ht="15" hidden="1" customHeight="1">
      <c r="B55" s="49" t="str">
        <f t="shared" ref="B55:D56" si="10">IF(($E49&gt;0),B49,B48)</f>
        <v>per 100 arrests</v>
      </c>
      <c r="C55" s="49">
        <f t="shared" si="10"/>
        <v>0.42</v>
      </c>
      <c r="D55" s="49">
        <f t="shared" si="10"/>
        <v>0</v>
      </c>
      <c r="E55" s="49">
        <f>MAX(C55:D55)</f>
        <v>0.42</v>
      </c>
      <c r="G55" s="1" t="str">
        <f>G49</f>
        <v>per 100 arrests</v>
      </c>
      <c r="L55" s="58">
        <f>IF(($E49&gt;0),L49,L48)</f>
        <v>100</v>
      </c>
      <c r="M55" s="58"/>
    </row>
    <row r="56" spans="2:18" ht="15" hidden="1" customHeight="1">
      <c r="B56" s="49" t="str">
        <f t="shared" si="10"/>
        <v>per 100 referrals</v>
      </c>
      <c r="C56" s="49">
        <f t="shared" si="10"/>
        <v>0.73</v>
      </c>
      <c r="D56" s="49">
        <f t="shared" si="10"/>
        <v>0.1</v>
      </c>
      <c r="E56" s="49">
        <f>MAX(C56:D56)</f>
        <v>0.73</v>
      </c>
      <c r="G56" s="1" t="str">
        <f>G50</f>
        <v>per 100 referrals</v>
      </c>
      <c r="L56" s="58">
        <f>IF(($E50&gt;0),L50,L49)</f>
        <v>100</v>
      </c>
      <c r="M56" s="58"/>
    </row>
    <row r="57" spans="2:18" ht="15" hidden="1" customHeight="1">
      <c r="B57" s="49" t="str">
        <f>IF(($E51&gt;0),B51,B49)</f>
        <v>per 100 youth petitioned</v>
      </c>
      <c r="C57" s="49">
        <f>IF(($E51&gt;0),C51,C50)</f>
        <v>0.53</v>
      </c>
      <c r="D57" s="49">
        <f>IF(($E51&gt;0),D51,D50)</f>
        <v>0.05</v>
      </c>
      <c r="E57" s="49">
        <f>MAX(C57:D57)</f>
        <v>0.53</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0.06</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5.8440000000000003</v>
      </c>
      <c r="D60" s="56">
        <f>D54</f>
        <v>0</v>
      </c>
      <c r="E60" s="56">
        <f>MAX(C60:D60)</f>
        <v>5.8440000000000003</v>
      </c>
      <c r="G60" s="1" t="str">
        <f>G54</f>
        <v>per 1000 youth</v>
      </c>
      <c r="L60" s="58">
        <f>L54</f>
        <v>1000</v>
      </c>
      <c r="M60" s="58"/>
    </row>
    <row r="61" spans="2:18" ht="15" hidden="1" customHeight="1">
      <c r="B61" s="49" t="str">
        <f t="shared" ref="B61:D62" si="11">IF(($E55&gt;0),B55,B54)</f>
        <v>per 100 arrests</v>
      </c>
      <c r="C61" s="49">
        <f t="shared" si="11"/>
        <v>0.42</v>
      </c>
      <c r="D61" s="49">
        <f t="shared" si="11"/>
        <v>0</v>
      </c>
      <c r="E61" s="49">
        <f>MAX(C61:D61)</f>
        <v>0.42</v>
      </c>
      <c r="G61" s="1" t="str">
        <f>G55</f>
        <v>per 100 arrests</v>
      </c>
      <c r="L61" s="58">
        <f>IF(($E55&gt;0),L55,L54)</f>
        <v>100</v>
      </c>
      <c r="M61" s="58"/>
    </row>
    <row r="62" spans="2:18" ht="15" hidden="1" customHeight="1">
      <c r="B62" s="49" t="str">
        <f t="shared" si="11"/>
        <v>per 100 referrals</v>
      </c>
      <c r="C62" s="49">
        <f t="shared" si="11"/>
        <v>0.73</v>
      </c>
      <c r="D62" s="49">
        <f t="shared" si="11"/>
        <v>0.1</v>
      </c>
      <c r="E62" s="49">
        <f>MAX(C62:D62)</f>
        <v>0.73</v>
      </c>
      <c r="G62" s="1" t="str">
        <f>G56</f>
        <v>per 100 referrals</v>
      </c>
      <c r="L62" s="58">
        <f>IF(($E56&gt;0),L56,L55)</f>
        <v>100</v>
      </c>
      <c r="M62" s="58"/>
    </row>
    <row r="63" spans="2:18" ht="15" hidden="1" customHeight="1">
      <c r="B63" s="49" t="str">
        <f>IF(($E57&gt;0),B57,B55)</f>
        <v>per 100 youth petitioned</v>
      </c>
      <c r="C63" s="49">
        <f>IF(($E57&gt;0),C57,C56)</f>
        <v>0.53</v>
      </c>
      <c r="D63" s="49">
        <f>IF(($E57&gt;0),D57,D56)</f>
        <v>0.05</v>
      </c>
      <c r="E63" s="49">
        <f>MAX(C63:D63)</f>
        <v>0.53</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0.06</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5.8440000000000003</v>
      </c>
      <c r="D66" s="56">
        <f>D60</f>
        <v>0</v>
      </c>
      <c r="E66" s="56">
        <f>MAX(C66:D66)</f>
        <v>5.8440000000000003</v>
      </c>
      <c r="G66" s="1" t="str">
        <f>G60</f>
        <v>per 1000 youth</v>
      </c>
      <c r="L66" s="58">
        <f>L60</f>
        <v>1000</v>
      </c>
      <c r="M66" s="58">
        <f>IF((B66=G66),1,2)</f>
        <v>1</v>
      </c>
    </row>
    <row r="67" spans="2:13" ht="15" hidden="1" customHeight="1">
      <c r="B67" s="49" t="str">
        <f t="shared" ref="B67:D68" si="12">IF(($E61&gt;0),B61,B60)</f>
        <v>per 100 arrests</v>
      </c>
      <c r="C67" s="49">
        <f t="shared" si="12"/>
        <v>0.42</v>
      </c>
      <c r="D67" s="49">
        <f t="shared" si="12"/>
        <v>0</v>
      </c>
      <c r="E67" s="49">
        <f>MAX(C67:D67)</f>
        <v>0.42</v>
      </c>
      <c r="G67" s="1" t="str">
        <f>G61</f>
        <v>per 100 arrests</v>
      </c>
      <c r="L67" s="58">
        <f>IF(($E61&gt;0),L61,L60)</f>
        <v>100</v>
      </c>
      <c r="M67" s="58">
        <f>IF((B67=G67),1,2)</f>
        <v>1</v>
      </c>
    </row>
    <row r="68" spans="2:13" ht="15" hidden="1" customHeight="1">
      <c r="B68" s="49" t="str">
        <f t="shared" si="12"/>
        <v>per 100 referrals</v>
      </c>
      <c r="C68" s="49">
        <f t="shared" si="12"/>
        <v>0.73</v>
      </c>
      <c r="D68" s="49">
        <f t="shared" si="12"/>
        <v>0.1</v>
      </c>
      <c r="E68" s="49">
        <f>MAX(C68:D68)</f>
        <v>0.73</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0.05</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0.06</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5844</v>
      </c>
      <c r="D6" s="34"/>
      <c r="E6" s="33">
        <f>'Data Entry'!J6</f>
        <v>2129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42</v>
      </c>
      <c r="D7" s="34">
        <f>IF((AND(C66&gt;0,C7&gt;0)),(C7/C66),0)</f>
        <v>7.1868583162217652</v>
      </c>
      <c r="E7" s="33">
        <f>'Data Entry'!J7</f>
        <v>13</v>
      </c>
      <c r="F7" s="34">
        <f>IF((AND($E$7&gt;0,$D$66&gt;0)),($E$7/$D$66),0)</f>
        <v>6.1061531235321747</v>
      </c>
      <c r="G7" s="39">
        <f t="shared" ref="G7:G15" si="0">IF(L$6=100,"*",IF(M7=FALSE,"--",IF(K7=20,"**",($F7/$D7))))</f>
        <v>0.84962759176004843</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13</v>
      </c>
      <c r="O7" s="42">
        <f>E6-E7</f>
        <v>2116</v>
      </c>
      <c r="P7" s="42">
        <f t="shared" ref="P7:P15" si="4">C7</f>
        <v>42</v>
      </c>
      <c r="Q7" s="42">
        <f>C6-C7</f>
        <v>5802</v>
      </c>
      <c r="R7" s="42">
        <f t="shared" ref="R7:R15" si="5">SUM(N7:Q7)</f>
        <v>7973</v>
      </c>
      <c r="S7" s="30">
        <f t="shared" ref="S7:S15" si="6">R7*((((N7*Q7)-(O7*P7))^2))</f>
        <v>1441477865268</v>
      </c>
      <c r="T7" s="30">
        <f t="shared" ref="T7:T15" si="7">(N7+O7)*(P7+Q7)*(N7+P7)*(O7+Q7)</f>
        <v>5418312579240</v>
      </c>
      <c r="U7" s="31">
        <f t="shared" ref="U7:U15" si="8">IF((S7&gt;0),S7/T7,"- -")</f>
        <v>0.26603815194991742</v>
      </c>
    </row>
    <row r="8" spans="2:21" ht="18" customHeight="1">
      <c r="B8" s="32" t="str">
        <f>'Data Entry'!A8</f>
        <v>3. Refer to Juvenile Court</v>
      </c>
      <c r="C8" s="33">
        <f>'Data Entry'!C8</f>
        <v>73</v>
      </c>
      <c r="D8" s="34">
        <f>IF((AND(C67&gt;0,C8&gt;0)),(C8/C67),0)</f>
        <v>173.80952380952382</v>
      </c>
      <c r="E8" s="33">
        <f>'Data Entry'!J8</f>
        <v>22</v>
      </c>
      <c r="F8" s="34">
        <f>IF((AND($E$8&gt;0,$D$67&gt;0)),($E8/$D67),0)</f>
        <v>169.23076923076923</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22</v>
      </c>
      <c r="O8" s="42">
        <f>((D67*L67)-E8)+0.05</f>
        <v>-8.9499999999999993</v>
      </c>
      <c r="P8" s="42">
        <f t="shared" si="4"/>
        <v>73</v>
      </c>
      <c r="Q8" s="42">
        <f>(C$67*L67)-C8</f>
        <v>-31</v>
      </c>
      <c r="R8" s="42">
        <f t="shared" si="5"/>
        <v>55.05</v>
      </c>
      <c r="S8" s="30">
        <f t="shared" si="6"/>
        <v>45186.278625000283</v>
      </c>
      <c r="T8" s="30">
        <f t="shared" si="7"/>
        <v>-2080176.5250000001</v>
      </c>
      <c r="U8" s="31">
        <f t="shared" si="8"/>
        <v>-2.1722328889852403E-2</v>
      </c>
    </row>
    <row r="9" spans="2:21" ht="18" customHeight="1">
      <c r="B9" s="32" t="str">
        <f>'Data Entry'!A9</f>
        <v xml:space="preserve">4. Cases Diverted </v>
      </c>
      <c r="C9" s="33">
        <f>'Data Entry'!C9</f>
        <v>2</v>
      </c>
      <c r="D9" s="34">
        <f>IF((AND(C68&gt;0,C9&gt;0)),((C9/C68)),0)</f>
        <v>2.7397260273972601</v>
      </c>
      <c r="E9" s="33">
        <f>'Data Entry'!J9</f>
        <v>2</v>
      </c>
      <c r="F9" s="34">
        <f>IF((AND($E$9&gt;0,$D$68&gt;0)),(($E$9/$D$68)),0)</f>
        <v>9.0909090909090917</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2</v>
      </c>
      <c r="O9" s="42">
        <f>(D$68*L68)-E9</f>
        <v>20</v>
      </c>
      <c r="P9" s="42">
        <f t="shared" si="4"/>
        <v>2</v>
      </c>
      <c r="Q9" s="42">
        <f>(C$68*L68)-C9</f>
        <v>71</v>
      </c>
      <c r="R9" s="42">
        <f t="shared" si="5"/>
        <v>95</v>
      </c>
      <c r="S9" s="30">
        <f t="shared" si="6"/>
        <v>988380</v>
      </c>
      <c r="T9" s="30">
        <f t="shared" si="7"/>
        <v>584584</v>
      </c>
      <c r="U9" s="31">
        <f t="shared" si="8"/>
        <v>1.6907407660832319</v>
      </c>
    </row>
    <row r="10" spans="2:21" ht="18" customHeight="1">
      <c r="B10" s="32" t="str">
        <f>'Data Entry'!A10</f>
        <v>5. Cases Involving Secure Detention</v>
      </c>
      <c r="C10" s="33">
        <f>'Data Entry'!C10</f>
        <v>15</v>
      </c>
      <c r="D10" s="34">
        <f>IF(((AND(C68&gt;0,C10&gt;0))),(C10/(C68)),0)</f>
        <v>20.547945205479454</v>
      </c>
      <c r="E10" s="33">
        <f>'Data Entry'!J10</f>
        <v>1</v>
      </c>
      <c r="F10" s="34">
        <f>IF(((AND($E$10&gt;0,$D$68&gt;0))),($E$10/($D$68)),0)</f>
        <v>4.5454545454545459</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21</v>
      </c>
      <c r="P10" s="42">
        <f t="shared" si="4"/>
        <v>15</v>
      </c>
      <c r="Q10" s="42">
        <f>(C$68*L68)-C10</f>
        <v>58</v>
      </c>
      <c r="R10" s="42">
        <f t="shared" si="5"/>
        <v>95</v>
      </c>
      <c r="S10" s="30">
        <f t="shared" si="6"/>
        <v>6274655</v>
      </c>
      <c r="T10" s="30">
        <f t="shared" si="7"/>
        <v>2029984</v>
      </c>
      <c r="U10" s="31">
        <f t="shared" si="8"/>
        <v>3.0909874166495892</v>
      </c>
    </row>
    <row r="11" spans="2:21" ht="18" customHeight="1">
      <c r="B11" s="32" t="str">
        <f>'Data Entry'!A11</f>
        <v>6. Cases Petitioned (Charge Filed)</v>
      </c>
      <c r="C11" s="33">
        <f>'Data Entry'!C11</f>
        <v>53</v>
      </c>
      <c r="D11" s="34">
        <f>IF(((AND(C68&gt;0,C11&gt;0))),(C11/(C68)),0)</f>
        <v>72.602739726027394</v>
      </c>
      <c r="E11" s="33">
        <f>'Data Entry'!J11</f>
        <v>12</v>
      </c>
      <c r="F11" s="34">
        <f>IF(((AND($E$11&gt;0,$D$68&gt;0))),($E$11/($D$68)),0)</f>
        <v>54.545454545454547</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12</v>
      </c>
      <c r="O11" s="42">
        <f>(D$68*L68)-E11</f>
        <v>10</v>
      </c>
      <c r="P11" s="42">
        <f t="shared" si="4"/>
        <v>53</v>
      </c>
      <c r="Q11" s="42">
        <f>(C$68*L68)-C11</f>
        <v>20</v>
      </c>
      <c r="R11" s="42">
        <f t="shared" si="5"/>
        <v>95</v>
      </c>
      <c r="S11" s="30">
        <f t="shared" si="6"/>
        <v>7989500</v>
      </c>
      <c r="T11" s="30">
        <f t="shared" si="7"/>
        <v>3131700</v>
      </c>
      <c r="U11" s="31">
        <f t="shared" si="8"/>
        <v>2.5511702908963181</v>
      </c>
    </row>
    <row r="12" spans="2:21" ht="18" customHeight="1">
      <c r="B12" s="32" t="str">
        <f>'Data Entry'!A12</f>
        <v>7. Cases Resulting in Delinquent Findings</v>
      </c>
      <c r="C12" s="33">
        <f>'Data Entry'!C12</f>
        <v>40</v>
      </c>
      <c r="D12" s="34">
        <f>IF(((AND(C69&gt;0,C12&gt;0))),(C12/(C69)),0)</f>
        <v>75.471698113207538</v>
      </c>
      <c r="E12" s="33">
        <f>'Data Entry'!J12</f>
        <v>8</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8</v>
      </c>
      <c r="O12" s="42">
        <f>(D69*L69)-E12</f>
        <v>4</v>
      </c>
      <c r="P12" s="42">
        <f t="shared" si="4"/>
        <v>40</v>
      </c>
      <c r="Q12" s="42">
        <f>(C69*L69)-C12</f>
        <v>13</v>
      </c>
      <c r="R12" s="42">
        <f t="shared" si="5"/>
        <v>65</v>
      </c>
      <c r="S12" s="30">
        <f t="shared" si="6"/>
        <v>203840</v>
      </c>
      <c r="T12" s="30">
        <f t="shared" si="7"/>
        <v>518976</v>
      </c>
      <c r="U12" s="31">
        <f t="shared" si="8"/>
        <v>0.39277346158589221</v>
      </c>
    </row>
    <row r="13" spans="2:21" ht="18" customHeight="1">
      <c r="B13" s="32" t="str">
        <f>'Data Entry'!A13</f>
        <v>8. Cases Resulting in Probation Placement</v>
      </c>
      <c r="C13" s="33">
        <f>'Data Entry'!C13</f>
        <v>72</v>
      </c>
      <c r="D13" s="34">
        <f>IF(((AND(C70&gt;0,C13&gt;0))),(C13/(C70)),0)</f>
        <v>180</v>
      </c>
      <c r="E13" s="33">
        <f>'Data Entry'!J13</f>
        <v>21</v>
      </c>
      <c r="F13" s="34">
        <f>IF(((AND($D$70&gt;0,$E$13&gt;0))),($E$13/($D$70)),0)</f>
        <v>262.5</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21</v>
      </c>
      <c r="O13" s="42">
        <f>(D70*L70)-E13</f>
        <v>-13</v>
      </c>
      <c r="P13" s="42">
        <f t="shared" si="4"/>
        <v>72</v>
      </c>
      <c r="Q13" s="42">
        <f>(C70*L70)-C13</f>
        <v>-32</v>
      </c>
      <c r="R13" s="42">
        <f t="shared" si="5"/>
        <v>48</v>
      </c>
      <c r="S13" s="30">
        <f t="shared" si="6"/>
        <v>3345408</v>
      </c>
      <c r="T13" s="30">
        <f t="shared" si="7"/>
        <v>-1339200</v>
      </c>
      <c r="U13" s="31">
        <f t="shared" si="8"/>
        <v>-2.4980645161290322</v>
      </c>
    </row>
    <row r="14" spans="2:21" ht="30.75" customHeight="1">
      <c r="B14" s="32" t="str">
        <f>'Data Entry'!A14</f>
        <v xml:space="preserve">9. Cases Resulting in Confinement in Secure Juvenile Correctional Facilities </v>
      </c>
      <c r="C14" s="33">
        <f>'Data Entry'!C14</f>
        <v>39</v>
      </c>
      <c r="D14" s="34">
        <f>IF(((AND(C70&gt;0,C14&gt;0))), ((C14/(C70))),0)</f>
        <v>97.5</v>
      </c>
      <c r="E14" s="33">
        <f>'Data Entry'!J14</f>
        <v>5</v>
      </c>
      <c r="F14" s="34">
        <f>IF(((AND($D$70&gt;0,$E$14&gt;0))), (($E$14/($D$70))),0)</f>
        <v>62.5</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5</v>
      </c>
      <c r="O14" s="42">
        <f>(D70*L70)-E14</f>
        <v>3</v>
      </c>
      <c r="P14" s="42">
        <f t="shared" si="4"/>
        <v>39</v>
      </c>
      <c r="Q14" s="42">
        <f>(C70*L70)-C14</f>
        <v>1</v>
      </c>
      <c r="R14" s="42">
        <f t="shared" si="5"/>
        <v>48</v>
      </c>
      <c r="S14" s="30">
        <f t="shared" si="6"/>
        <v>602112</v>
      </c>
      <c r="T14" s="30">
        <f t="shared" si="7"/>
        <v>56320</v>
      </c>
      <c r="U14" s="31">
        <f t="shared" si="8"/>
        <v>10.690909090909091</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12</v>
      </c>
      <c r="P15" s="42">
        <f t="shared" si="4"/>
        <v>0</v>
      </c>
      <c r="Q15" s="42">
        <f>(C69*L69)-C15</f>
        <v>53</v>
      </c>
      <c r="R15" s="42">
        <f t="shared" si="5"/>
        <v>65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5.8440000000000003</v>
      </c>
      <c r="D42" s="56">
        <f>E6/1000</f>
        <v>2.129</v>
      </c>
      <c r="E42" s="56">
        <f>MAX(C42:D42)</f>
        <v>5.8440000000000003</v>
      </c>
      <c r="G42" s="1" t="str">
        <f>B42</f>
        <v>per 1000 youth</v>
      </c>
      <c r="L42" s="57">
        <v>1000</v>
      </c>
      <c r="M42" s="57"/>
      <c r="R42" s="49"/>
    </row>
    <row r="43" spans="2:18" ht="15" hidden="1" customHeight="1">
      <c r="B43" s="49" t="s">
        <v>87</v>
      </c>
      <c r="C43" s="56">
        <f>C7/100</f>
        <v>0.42</v>
      </c>
      <c r="D43" s="56">
        <f>E7/100</f>
        <v>0.13</v>
      </c>
      <c r="E43" s="56">
        <f>MAX(C43:D43,0)</f>
        <v>0.42</v>
      </c>
      <c r="G43" s="1" t="str">
        <f>B43</f>
        <v>per 100 arrests</v>
      </c>
      <c r="L43" s="57">
        <v>100</v>
      </c>
      <c r="M43" s="57"/>
      <c r="R43" s="49"/>
    </row>
    <row r="44" spans="2:18" ht="15" hidden="1" customHeight="1">
      <c r="B44" s="49" t="s">
        <v>88</v>
      </c>
      <c r="C44" s="56">
        <f>C8/100</f>
        <v>0.73</v>
      </c>
      <c r="D44" s="56">
        <f>E8/100</f>
        <v>0.22</v>
      </c>
      <c r="E44" s="56">
        <f>MAX(C44:D44,0)</f>
        <v>0.73</v>
      </c>
      <c r="G44" s="1" t="str">
        <f>B44</f>
        <v>per 100 referrals</v>
      </c>
      <c r="L44" s="57">
        <v>100</v>
      </c>
      <c r="M44" s="57"/>
      <c r="R44" s="49"/>
    </row>
    <row r="45" spans="2:18" ht="15" hidden="1" customHeight="1">
      <c r="B45" s="49" t="s">
        <v>89</v>
      </c>
      <c r="C45" s="49">
        <f>C11/100</f>
        <v>0.53</v>
      </c>
      <c r="D45" s="49">
        <f>E11/100</f>
        <v>0.12</v>
      </c>
      <c r="E45" s="56">
        <f>MAX(C45:D45,0)</f>
        <v>0.53</v>
      </c>
      <c r="G45" s="1" t="str">
        <f>B45</f>
        <v>per 100 youth petitioned</v>
      </c>
      <c r="L45" s="57">
        <v>100</v>
      </c>
      <c r="M45" s="57"/>
      <c r="R45" s="49"/>
    </row>
    <row r="46" spans="2:18" ht="15" hidden="1" customHeight="1">
      <c r="B46" s="49" t="s">
        <v>90</v>
      </c>
      <c r="C46" s="49">
        <f>C12/100</f>
        <v>0.4</v>
      </c>
      <c r="D46" s="49">
        <f>E12/100</f>
        <v>0.08</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5.8440000000000003</v>
      </c>
      <c r="D48" s="56">
        <f>D42</f>
        <v>2.129</v>
      </c>
      <c r="E48" s="56">
        <f>MAX(C48:D48)</f>
        <v>5.8440000000000003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0.42</v>
      </c>
      <c r="D49" s="49">
        <f t="shared" si="9"/>
        <v>0.13</v>
      </c>
      <c r="E49" s="49">
        <f>MAX(C49:D49)</f>
        <v>0.42</v>
      </c>
      <c r="G49" s="1" t="str">
        <f>G43</f>
        <v>per 100 arrests</v>
      </c>
      <c r="L49" s="58">
        <f>IF(($E43&gt;0),L43,L42)</f>
        <v>100</v>
      </c>
      <c r="M49" s="58"/>
      <c r="N49" s="21"/>
      <c r="O49" s="21"/>
      <c r="P49" s="21"/>
      <c r="Q49" s="21"/>
      <c r="R49" s="21"/>
    </row>
    <row r="50" spans="2:18" ht="15" hidden="1" customHeight="1">
      <c r="B50" s="49" t="str">
        <f t="shared" si="9"/>
        <v>per 100 referrals</v>
      </c>
      <c r="C50" s="49">
        <f t="shared" si="9"/>
        <v>0.73</v>
      </c>
      <c r="D50" s="49">
        <f t="shared" si="9"/>
        <v>0.22</v>
      </c>
      <c r="E50" s="49">
        <f>MAX(C50:D50)</f>
        <v>0.73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0.12</v>
      </c>
      <c r="E51" s="49">
        <f>MAX(C51:D51)</f>
        <v>0.53</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0.08</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5.8440000000000003</v>
      </c>
      <c r="D54" s="56">
        <f>D48</f>
        <v>2.129</v>
      </c>
      <c r="E54" s="56">
        <f>MAX(C54:D54)</f>
        <v>5.8440000000000003</v>
      </c>
      <c r="G54" s="1" t="str">
        <f>G48</f>
        <v>per 1000 youth</v>
      </c>
      <c r="L54" s="58">
        <f>L48</f>
        <v>1000</v>
      </c>
      <c r="M54" s="58"/>
    </row>
    <row r="55" spans="2:18" ht="15" hidden="1" customHeight="1">
      <c r="B55" s="49" t="str">
        <f t="shared" ref="B55:D56" si="10">IF(($E49&gt;0),B49,B48)</f>
        <v>per 100 arrests</v>
      </c>
      <c r="C55" s="49">
        <f t="shared" si="10"/>
        <v>0.42</v>
      </c>
      <c r="D55" s="49">
        <f t="shared" si="10"/>
        <v>0.13</v>
      </c>
      <c r="E55" s="49">
        <f>MAX(C55:D55)</f>
        <v>0.42</v>
      </c>
      <c r="G55" s="1" t="str">
        <f>G49</f>
        <v>per 100 arrests</v>
      </c>
      <c r="L55" s="58">
        <f>IF(($E49&gt;0),L49,L48)</f>
        <v>100</v>
      </c>
      <c r="M55" s="58"/>
    </row>
    <row r="56" spans="2:18" ht="15" hidden="1" customHeight="1">
      <c r="B56" s="49" t="str">
        <f t="shared" si="10"/>
        <v>per 100 referrals</v>
      </c>
      <c r="C56" s="49">
        <f t="shared" si="10"/>
        <v>0.73</v>
      </c>
      <c r="D56" s="49">
        <f t="shared" si="10"/>
        <v>0.22</v>
      </c>
      <c r="E56" s="49">
        <f>MAX(C56:D56)</f>
        <v>0.73</v>
      </c>
      <c r="G56" s="1" t="str">
        <f>G50</f>
        <v>per 100 referrals</v>
      </c>
      <c r="L56" s="58">
        <f>IF(($E50&gt;0),L50,L49)</f>
        <v>100</v>
      </c>
      <c r="M56" s="58"/>
    </row>
    <row r="57" spans="2:18" ht="15" hidden="1" customHeight="1">
      <c r="B57" s="49" t="str">
        <f>IF(($E51&gt;0),B51,B49)</f>
        <v>per 100 youth petitioned</v>
      </c>
      <c r="C57" s="49">
        <f>IF(($E51&gt;0),C51,C50)</f>
        <v>0.53</v>
      </c>
      <c r="D57" s="49">
        <f>IF(($E51&gt;0),D51,D50)</f>
        <v>0.12</v>
      </c>
      <c r="E57" s="49">
        <f>MAX(C57:D57)</f>
        <v>0.53</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0.08</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5.8440000000000003</v>
      </c>
      <c r="D60" s="56">
        <f>D54</f>
        <v>2.129</v>
      </c>
      <c r="E60" s="56">
        <f>MAX(C60:D60)</f>
        <v>5.8440000000000003</v>
      </c>
      <c r="G60" s="1" t="str">
        <f>G54</f>
        <v>per 1000 youth</v>
      </c>
      <c r="L60" s="58">
        <f>L54</f>
        <v>1000</v>
      </c>
      <c r="M60" s="58"/>
    </row>
    <row r="61" spans="2:18" ht="15" hidden="1" customHeight="1">
      <c r="B61" s="49" t="str">
        <f t="shared" ref="B61:D62" si="11">IF(($E55&gt;0),B55,B54)</f>
        <v>per 100 arrests</v>
      </c>
      <c r="C61" s="49">
        <f t="shared" si="11"/>
        <v>0.42</v>
      </c>
      <c r="D61" s="49">
        <f t="shared" si="11"/>
        <v>0.13</v>
      </c>
      <c r="E61" s="49">
        <f>MAX(C61:D61)</f>
        <v>0.42</v>
      </c>
      <c r="G61" s="1" t="str">
        <f>G55</f>
        <v>per 100 arrests</v>
      </c>
      <c r="L61" s="58">
        <f>IF(($E55&gt;0),L55,L54)</f>
        <v>100</v>
      </c>
      <c r="M61" s="58"/>
    </row>
    <row r="62" spans="2:18" ht="15" hidden="1" customHeight="1">
      <c r="B62" s="49" t="str">
        <f t="shared" si="11"/>
        <v>per 100 referrals</v>
      </c>
      <c r="C62" s="49">
        <f t="shared" si="11"/>
        <v>0.73</v>
      </c>
      <c r="D62" s="49">
        <f t="shared" si="11"/>
        <v>0.22</v>
      </c>
      <c r="E62" s="49">
        <f>MAX(C62:D62)</f>
        <v>0.73</v>
      </c>
      <c r="G62" s="1" t="str">
        <f>G56</f>
        <v>per 100 referrals</v>
      </c>
      <c r="L62" s="58">
        <f>IF(($E56&gt;0),L56,L55)</f>
        <v>100</v>
      </c>
      <c r="M62" s="58"/>
    </row>
    <row r="63" spans="2:18" ht="15" hidden="1" customHeight="1">
      <c r="B63" s="49" t="str">
        <f>IF(($E57&gt;0),B57,B55)</f>
        <v>per 100 youth petitioned</v>
      </c>
      <c r="C63" s="49">
        <f>IF(($E57&gt;0),C57,C56)</f>
        <v>0.53</v>
      </c>
      <c r="D63" s="49">
        <f>IF(($E57&gt;0),D57,D56)</f>
        <v>0.12</v>
      </c>
      <c r="E63" s="49">
        <f>MAX(C63:D63)</f>
        <v>0.53</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0.08</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5.8440000000000003</v>
      </c>
      <c r="D66" s="56">
        <f>D60</f>
        <v>2.129</v>
      </c>
      <c r="E66" s="56">
        <f>MAX(C66:D66)</f>
        <v>5.8440000000000003</v>
      </c>
      <c r="G66" s="1" t="str">
        <f>G60</f>
        <v>per 1000 youth</v>
      </c>
      <c r="L66" s="58">
        <f>L60</f>
        <v>1000</v>
      </c>
      <c r="M66" s="58">
        <f>IF((B66=G66),1,2)</f>
        <v>1</v>
      </c>
    </row>
    <row r="67" spans="2:13" ht="15" hidden="1" customHeight="1">
      <c r="B67" s="49" t="str">
        <f t="shared" ref="B67:D68" si="12">IF(($E61&gt;0),B61,B60)</f>
        <v>per 100 arrests</v>
      </c>
      <c r="C67" s="49">
        <f t="shared" si="12"/>
        <v>0.42</v>
      </c>
      <c r="D67" s="49">
        <f t="shared" si="12"/>
        <v>0.13</v>
      </c>
      <c r="E67" s="49">
        <f>MAX(C67:D67)</f>
        <v>0.42</v>
      </c>
      <c r="G67" s="1" t="str">
        <f>G61</f>
        <v>per 100 arrests</v>
      </c>
      <c r="L67" s="58">
        <f>IF(($E61&gt;0),L61,L60)</f>
        <v>100</v>
      </c>
      <c r="M67" s="58">
        <f>IF((B67=G67),1,2)</f>
        <v>1</v>
      </c>
    </row>
    <row r="68" spans="2:13" ht="15" hidden="1" customHeight="1">
      <c r="B68" s="49" t="str">
        <f t="shared" si="12"/>
        <v>per 100 referrals</v>
      </c>
      <c r="C68" s="49">
        <f t="shared" si="12"/>
        <v>0.73</v>
      </c>
      <c r="D68" s="49">
        <f t="shared" si="12"/>
        <v>0.22</v>
      </c>
      <c r="E68" s="49">
        <f>MAX(C68:D68)</f>
        <v>0.73</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0.12</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0.08</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Van Buren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3.3772538141470188</v>
      </c>
      <c r="D7" s="72" t="str">
        <f>Hispanic!G7</f>
        <v>**</v>
      </c>
      <c r="E7" s="72" t="str">
        <f>Asian!G7</f>
        <v>*</v>
      </c>
      <c r="F7" s="72" t="str">
        <f>Hawaiian!G7</f>
        <v>*</v>
      </c>
      <c r="G7" s="72" t="str">
        <f>'Am Indian'!G7</f>
        <v>**</v>
      </c>
      <c r="H7" s="72" t="str">
        <f>'Other - Mixed'!G7</f>
        <v>*</v>
      </c>
      <c r="I7" s="73">
        <f>'All Minorities'!G7</f>
        <v>0.84962759176004843</v>
      </c>
      <c r="L7" s="1">
        <f>'Black or African-American'!L7</f>
        <v>1</v>
      </c>
      <c r="M7" s="1">
        <f>Hispanic!L7</f>
        <v>20</v>
      </c>
      <c r="N7" s="1">
        <f>Asian!L7</f>
        <v>139</v>
      </c>
      <c r="O7" s="1" t="e">
        <f>Hawaiian!L7</f>
        <v>#VALUE!</v>
      </c>
      <c r="P7" s="1">
        <f>'Am Indian'!L7</f>
        <v>40</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40</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f>Hispanic!L12</f>
        <v>40</v>
      </c>
      <c r="N12" s="1" t="e">
        <f>Asian!L12</f>
        <v>#VALUE!</v>
      </c>
      <c r="O12" s="1" t="e">
        <f>Hawaiian!L12</f>
        <v>#VALUE!</v>
      </c>
      <c r="P12" s="1" t="e">
        <f>'Am Indian'!L12</f>
        <v>#VALUE!</v>
      </c>
      <c r="Q12" s="1">
        <f>'Other - Mixed'!L12</f>
        <v>119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f>Hispanic!L13</f>
        <v>20</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20</v>
      </c>
      <c r="N14" s="1" t="e">
        <f>Asian!L14</f>
        <v>#VALUE!</v>
      </c>
      <c r="O14" s="1" t="e">
        <f>Hawaiian!L14</f>
        <v>#VALUE!</v>
      </c>
      <c r="P14" s="1" t="e">
        <f>'Am Indian'!L14</f>
        <v>#VALUE!</v>
      </c>
      <c r="Q14" s="1">
        <f>'Other - Mixed'!L14</f>
        <v>139</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7973</v>
      </c>
      <c r="D3" s="57">
        <f>'Data Entry'!C6</f>
        <v>5844</v>
      </c>
      <c r="E3" s="57">
        <f>'Data Entry'!D6</f>
        <v>412</v>
      </c>
      <c r="F3" s="57">
        <f>'Data Entry'!E6</f>
        <v>1566</v>
      </c>
      <c r="G3" s="57">
        <f>'Data Entry'!F6</f>
        <v>71</v>
      </c>
      <c r="H3" s="57">
        <f>'Data Entry'!G6</f>
        <v>0</v>
      </c>
      <c r="I3" s="57">
        <f>'Data Entry'!H6</f>
        <v>80</v>
      </c>
      <c r="J3" s="57">
        <f>'Data Entry'!I6</f>
        <v>0</v>
      </c>
      <c r="K3" s="57">
        <f>'Data Entry'!J6</f>
        <v>2129</v>
      </c>
    </row>
    <row r="4" spans="2:11" ht="15" customHeight="1">
      <c r="B4" s="16" t="s">
        <v>8</v>
      </c>
      <c r="C4" s="1">
        <f>IF((C$3&gt;0),(1000*('Data Entry'!B7/'Data Entry'!B$6)), 0)</f>
        <v>7.1491283080396339</v>
      </c>
      <c r="D4" s="1">
        <f>IF((D$3&gt;0),(1000*('Data Entry'!C7/'Data Entry'!C$6)), 0)</f>
        <v>7.1868583162217661</v>
      </c>
      <c r="E4" s="1">
        <f>IF((E$3&gt;0),(1000*('Data Entry'!D7/'Data Entry'!D$6)), 0)</f>
        <v>24.271844660194173</v>
      </c>
      <c r="F4" s="1">
        <f>IF((F$3&gt;0),(1000*('Data Entry'!E7/'Data Entry'!E$6)), 0)</f>
        <v>1.9157088122605364</v>
      </c>
      <c r="G4" s="1">
        <f>IF((G$3&gt;0),(1000*('Data Entry'!F7/'Data Entry'!F$6)), 0)</f>
        <v>0</v>
      </c>
      <c r="H4" s="1">
        <f>IF((H$3&gt;0),(1000*('Data Entry'!G7/'Data Entry'!G$6)), 0)</f>
        <v>0</v>
      </c>
      <c r="I4" s="1">
        <f>IF((I$3&gt;0),(1000*('Data Entry'!H7/'Data Entry'!H$6)), 0)</f>
        <v>0</v>
      </c>
      <c r="J4" s="1">
        <f>IF((J$3&gt;0),(1000*('Data Entry'!I7/'Data Entry'!I$6)), 0)</f>
        <v>0</v>
      </c>
      <c r="K4" s="1">
        <f>IF((K$3&gt;0),(1000*('Data Entry'!J7/'Data Entry'!J$6)), 0)</f>
        <v>6.1061531235321747</v>
      </c>
    </row>
    <row r="5" spans="2:11" ht="15" customHeight="1">
      <c r="B5" s="16" t="s">
        <v>9</v>
      </c>
      <c r="C5" s="1">
        <f>IF((C$3&gt;0),(1000*('Data Entry'!B8/'Data Entry'!B$6)), 0)</f>
        <v>12.040637150382542</v>
      </c>
      <c r="D5" s="1">
        <f>IF((D$3&gt;0),(1000*('Data Entry'!C8/'Data Entry'!C$6)), 0)</f>
        <v>12.491444216290212</v>
      </c>
      <c r="E5" s="1">
        <f>IF((E$3&gt;0),(1000*('Data Entry'!D8/'Data Entry'!D$6)), 0)</f>
        <v>16.990291262135923</v>
      </c>
      <c r="F5" s="1">
        <f>IF((F$3&gt;0),(1000*('Data Entry'!E8/'Data Entry'!E$6)), 0)</f>
        <v>3.1928480204342273</v>
      </c>
      <c r="G5" s="1">
        <f>IF((G$3&gt;0),(1000*('Data Entry'!F8/'Data Entry'!F$6)), 0)</f>
        <v>0</v>
      </c>
      <c r="H5" s="1">
        <f>IF((H$3&gt;0),(1000*('Data Entry'!G8/'Data Entry'!G$6)), 0)</f>
        <v>0</v>
      </c>
      <c r="I5" s="1">
        <f>IF((I$3&gt;0),(1000*('Data Entry'!H8/'Data Entry'!H$6)), 0)</f>
        <v>0</v>
      </c>
      <c r="J5" s="1">
        <f>IF((J$3&gt;0),(1000*('Data Entry'!I8/'Data Entry'!I$6)), 0)</f>
        <v>0</v>
      </c>
      <c r="K5" s="1">
        <f>IF((K$3&gt;0),(1000*('Data Entry'!J8/'Data Entry'!J$6)), 0)</f>
        <v>10.333489901362142</v>
      </c>
    </row>
    <row r="6" spans="2:11" ht="15" customHeight="1">
      <c r="B6" s="16" t="s">
        <v>10</v>
      </c>
      <c r="C6" s="1">
        <f>IF((C$3&gt;0),(1000*('Data Entry'!B9/'Data Entry'!B$6)), 0)</f>
        <v>0.50169321459927263</v>
      </c>
      <c r="D6" s="1">
        <f>IF((D$3&gt;0),(1000*('Data Entry'!C9/'Data Entry'!C$6)), 0)</f>
        <v>0.34223134839151265</v>
      </c>
      <c r="E6" s="1">
        <f>IF((E$3&gt;0),(1000*('Data Entry'!D9/'Data Entry'!D$6)), 0)</f>
        <v>2.4271844660194173</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0.9394081728511039</v>
      </c>
    </row>
    <row r="7" spans="2:11" ht="15" customHeight="1">
      <c r="B7" s="16" t="s">
        <v>11</v>
      </c>
      <c r="C7" s="1">
        <f>IF((C$3&gt;0),(1000*('Data Entry'!B10/'Data Entry'!B$6)), 0)</f>
        <v>2.0067728583970905</v>
      </c>
      <c r="D7" s="1">
        <f>IF((D$3&gt;0),(1000*('Data Entry'!C10/'Data Entry'!C$6)), 0)</f>
        <v>2.5667351129363447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0.46970408642555195</v>
      </c>
    </row>
    <row r="8" spans="2:11" ht="15" customHeight="1">
      <c r="B8" s="16" t="s">
        <v>95</v>
      </c>
      <c r="C8" s="1">
        <f>IF((C$3&gt;0),(1000*('Data Entry'!B11/'Data Entry'!B$6)), 0)</f>
        <v>8.2779380408879959</v>
      </c>
      <c r="D8" s="1">
        <f>IF((D$3&gt;0),(1000*('Data Entry'!C11/'Data Entry'!C$6)), 0)</f>
        <v>9.0691307323750863</v>
      </c>
      <c r="E8" s="1">
        <f>IF((E$3&gt;0),(1000*('Data Entry'!D11/'Data Entry'!D$6)), 0)</f>
        <v>9.7087378640776691</v>
      </c>
      <c r="F8" s="1">
        <f>IF((F$3&gt;0),(1000*('Data Entry'!E11/'Data Entry'!E$6)), 0)</f>
        <v>1.9157088122605364</v>
      </c>
      <c r="G8" s="1">
        <f>IF((G$3&gt;0),(1000*('Data Entry'!F11/'Data Entry'!F$6)), 0)</f>
        <v>0</v>
      </c>
      <c r="H8" s="1">
        <f>IF((H$3&gt;0),(1000*('Data Entry'!G11/'Data Entry'!G$6)), 0)</f>
        <v>0</v>
      </c>
      <c r="I8" s="1">
        <f>IF((I$3&gt;0),(1000*('Data Entry'!H11/'Data Entry'!H$6)), 0)</f>
        <v>0</v>
      </c>
      <c r="J8" s="1">
        <f>IF((J$3&gt;0),(1000*('Data Entry'!I11/'Data Entry'!I$6)), 0)</f>
        <v>0</v>
      </c>
      <c r="K8" s="1">
        <f>IF((K$3&gt;0),(1000*('Data Entry'!J11/'Data Entry'!J$6)), 0)</f>
        <v>5.6364490371066225</v>
      </c>
    </row>
    <row r="9" spans="2:11" ht="15" customHeight="1">
      <c r="B9" s="16" t="s">
        <v>13</v>
      </c>
      <c r="C9" s="1">
        <f>IF((C$3&gt;0),(1000*('Data Entry'!B12/'Data Entry'!B$6)), 0)</f>
        <v>6.1457418788410889</v>
      </c>
      <c r="D9" s="1">
        <f>IF((D$3&gt;0),(1000*('Data Entry'!C12/'Data Entry'!C$6)), 0)</f>
        <v>6.8446269678302532</v>
      </c>
      <c r="E9" s="1">
        <f>IF((E$3&gt;0),(1000*('Data Entry'!D12/'Data Entry'!D$6)), 0)</f>
        <v>2.4271844660194173</v>
      </c>
      <c r="F9" s="1">
        <f>IF((F$3&gt;0),(1000*('Data Entry'!E12/'Data Entry'!E$6)), 0)</f>
        <v>0.63856960408684549</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3.7576326914044156</v>
      </c>
    </row>
    <row r="10" spans="2:11" ht="15" customHeight="1">
      <c r="B10" s="16" t="s">
        <v>14</v>
      </c>
      <c r="C10" s="1">
        <f>IF((C$3&gt;0),(1000*('Data Entry'!B13/'Data Entry'!B$6)), 0)</f>
        <v>11.789790543082905</v>
      </c>
      <c r="D10" s="1">
        <f>IF((D$3&gt;0),(1000*('Data Entry'!C13/'Data Entry'!C$6)), 0)</f>
        <v>12.320328542094456</v>
      </c>
      <c r="E10" s="1">
        <f>IF((E$3&gt;0),(1000*('Data Entry'!D13/'Data Entry'!D$6)), 0)</f>
        <v>16.990291262135923</v>
      </c>
      <c r="F10" s="1">
        <f>IF((F$3&gt;0),(1000*('Data Entry'!E13/'Data Entry'!E$6)), 0)</f>
        <v>3.1928480204342273</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9.8637858149365911</v>
      </c>
    </row>
    <row r="11" spans="2:11" ht="25.5" customHeight="1">
      <c r="B11" s="16" t="s">
        <v>15</v>
      </c>
      <c r="C11" s="1">
        <f>IF((C$3&gt;0),(1000*('Data Entry'!B14/'Data Entry'!B$6)), 0)</f>
        <v>5.5186253605919982</v>
      </c>
      <c r="D11" s="1">
        <f>IF((D$3&gt;0),(1000*('Data Entry'!C14/'Data Entry'!C$6)), 0)</f>
        <v>6.6735112936344967</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2.3485204321277595</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Van Buren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3.3772538141470179</v>
      </c>
      <c r="E19" s="72">
        <f t="shared" si="1"/>
        <v>0.26655719759168034</v>
      </c>
      <c r="F19" s="72" t="str">
        <f t="shared" si="1"/>
        <v>--</v>
      </c>
      <c r="G19" s="72" t="str">
        <f t="shared" si="1"/>
        <v>--</v>
      </c>
      <c r="H19" s="72" t="str">
        <f t="shared" si="1"/>
        <v>--</v>
      </c>
      <c r="I19" s="72" t="str">
        <f t="shared" si="1"/>
        <v>--</v>
      </c>
      <c r="J19" s="73">
        <f t="shared" si="1"/>
        <v>0.84962759176004832</v>
      </c>
    </row>
    <row r="20" spans="2:10" ht="15" customHeight="1">
      <c r="B20" s="71" t="s">
        <v>9</v>
      </c>
      <c r="C20" s="72">
        <f t="shared" ref="C20:J27" si="2">IF(AND(($D5&gt;0),(D5&gt;0)), (D5/$D5),"--")</f>
        <v>1</v>
      </c>
      <c r="D20" s="72">
        <f t="shared" si="2"/>
        <v>1.3601542758345526</v>
      </c>
      <c r="E20" s="72">
        <f t="shared" si="2"/>
        <v>0.25560279221120036</v>
      </c>
      <c r="F20" s="72" t="str">
        <f t="shared" si="2"/>
        <v>--</v>
      </c>
      <c r="G20" s="72" t="str">
        <f t="shared" si="2"/>
        <v>--</v>
      </c>
      <c r="H20" s="72" t="str">
        <f t="shared" si="2"/>
        <v>--</v>
      </c>
      <c r="I20" s="72" t="str">
        <f t="shared" si="2"/>
        <v>--</v>
      </c>
      <c r="J20" s="73">
        <f t="shared" si="2"/>
        <v>0.82724541073370361</v>
      </c>
    </row>
    <row r="21" spans="2:10" ht="15" customHeight="1">
      <c r="B21" s="71" t="s">
        <v>10</v>
      </c>
      <c r="C21" s="72">
        <f t="shared" si="2"/>
        <v>1</v>
      </c>
      <c r="D21" s="72">
        <f t="shared" si="2"/>
        <v>7.092233009708738</v>
      </c>
      <c r="E21" s="72" t="str">
        <f t="shared" si="2"/>
        <v>--</v>
      </c>
      <c r="F21" s="72" t="str">
        <f t="shared" si="2"/>
        <v>--</v>
      </c>
      <c r="G21" s="72" t="str">
        <f t="shared" si="2"/>
        <v>--</v>
      </c>
      <c r="H21" s="72" t="str">
        <f t="shared" si="2"/>
        <v>--</v>
      </c>
      <c r="I21" s="72" t="str">
        <f t="shared" si="2"/>
        <v>--</v>
      </c>
      <c r="J21" s="73">
        <f t="shared" si="2"/>
        <v>2.7449506810709257</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f t="shared" si="2"/>
        <v>0.18299671207139506</v>
      </c>
    </row>
    <row r="23" spans="2:10" ht="15" customHeight="1">
      <c r="B23" s="71" t="s">
        <v>95</v>
      </c>
      <c r="C23" s="72">
        <f t="shared" si="2"/>
        <v>1</v>
      </c>
      <c r="D23" s="72">
        <f t="shared" si="2"/>
        <v>1.0705257373145263</v>
      </c>
      <c r="E23" s="72">
        <f t="shared" si="2"/>
        <v>0.21123400563869008</v>
      </c>
      <c r="F23" s="72" t="str">
        <f t="shared" si="2"/>
        <v>--</v>
      </c>
      <c r="G23" s="72" t="str">
        <f t="shared" si="2"/>
        <v>--</v>
      </c>
      <c r="H23" s="72" t="str">
        <f t="shared" si="2"/>
        <v>--</v>
      </c>
      <c r="I23" s="72" t="str">
        <f t="shared" si="2"/>
        <v>--</v>
      </c>
      <c r="J23" s="73">
        <f t="shared" si="2"/>
        <v>0.62149826741228487</v>
      </c>
    </row>
    <row r="24" spans="2:10" ht="15" customHeight="1">
      <c r="B24" s="71" t="s">
        <v>13</v>
      </c>
      <c r="C24" s="72">
        <f t="shared" si="2"/>
        <v>1</v>
      </c>
      <c r="D24" s="72">
        <f t="shared" si="2"/>
        <v>0.35461165048543686</v>
      </c>
      <c r="E24" s="72">
        <f t="shared" si="2"/>
        <v>9.3295019157088127E-2</v>
      </c>
      <c r="F24" s="72" t="str">
        <f t="shared" si="2"/>
        <v>--</v>
      </c>
      <c r="G24" s="72" t="str">
        <f t="shared" si="2"/>
        <v>--</v>
      </c>
      <c r="H24" s="72" t="str">
        <f t="shared" si="2"/>
        <v>--</v>
      </c>
      <c r="I24" s="72" t="str">
        <f t="shared" si="2"/>
        <v>--</v>
      </c>
      <c r="J24" s="73">
        <f t="shared" si="2"/>
        <v>0.54899013621418513</v>
      </c>
    </row>
    <row r="25" spans="2:10" ht="15" customHeight="1">
      <c r="B25" s="71" t="s">
        <v>14</v>
      </c>
      <c r="C25" s="72">
        <f t="shared" si="2"/>
        <v>1</v>
      </c>
      <c r="D25" s="72">
        <f t="shared" si="2"/>
        <v>1.3790453074433657</v>
      </c>
      <c r="E25" s="72">
        <f t="shared" si="2"/>
        <v>0.25915283099191144</v>
      </c>
      <c r="F25" s="72" t="str">
        <f t="shared" si="2"/>
        <v>--</v>
      </c>
      <c r="G25" s="72" t="str">
        <f t="shared" si="2"/>
        <v>--</v>
      </c>
      <c r="H25" s="72" t="str">
        <f t="shared" si="2"/>
        <v>--</v>
      </c>
      <c r="I25" s="72" t="str">
        <f t="shared" si="2"/>
        <v>--</v>
      </c>
      <c r="J25" s="73">
        <f t="shared" si="2"/>
        <v>0.80061061531235322</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0.35191675398345196</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Van Buren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5844</v>
      </c>
      <c r="D7" s="104">
        <f>'Data Entry'!D6</f>
        <v>412</v>
      </c>
      <c r="E7" s="105"/>
      <c r="F7" s="106">
        <f>'Data Entry'!E6</f>
        <v>1566</v>
      </c>
      <c r="G7" s="105"/>
      <c r="H7" s="106">
        <f>'Data Entry'!F6</f>
        <v>71</v>
      </c>
      <c r="I7" s="105"/>
      <c r="J7" s="106">
        <f>'Data Entry'!G6</f>
        <v>0</v>
      </c>
      <c r="K7" s="105"/>
      <c r="L7" s="106">
        <f>'Data Entry'!H6</f>
        <v>80</v>
      </c>
      <c r="M7" s="105"/>
      <c r="N7" s="106">
        <f>'Data Entry'!I6</f>
        <v>0</v>
      </c>
      <c r="O7" s="105"/>
      <c r="P7" s="106">
        <f>'Data Entry'!J6</f>
        <v>2129</v>
      </c>
      <c r="Q7" s="107"/>
    </row>
    <row r="8" spans="2:26" s="1" customFormat="1" ht="15" customHeight="1">
      <c r="B8" s="142" t="s">
        <v>8</v>
      </c>
      <c r="C8" s="103">
        <f>'Data Entry'!C7</f>
        <v>42</v>
      </c>
      <c r="D8" s="104">
        <f>'Data Entry'!D7</f>
        <v>10</v>
      </c>
      <c r="E8" s="105">
        <f>'Black or African-American'!$G7</f>
        <v>3.3772538141470188</v>
      </c>
      <c r="F8" s="106">
        <f>'Data Entry'!E7</f>
        <v>3</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13</v>
      </c>
      <c r="Q8" s="107">
        <f>'All Minorities'!G7</f>
        <v>0.84962759176004843</v>
      </c>
      <c r="R8"/>
      <c r="T8" s="1">
        <f>'Black or African-American'!L7</f>
        <v>1</v>
      </c>
      <c r="U8" s="1">
        <f>Hispanic!L7</f>
        <v>20</v>
      </c>
      <c r="V8" s="1">
        <f>Asian!L7</f>
        <v>139</v>
      </c>
      <c r="W8" s="1" t="e">
        <f>Hawaiian!L7</f>
        <v>#VALUE!</v>
      </c>
      <c r="X8" s="1">
        <f>'Am Indian'!L7</f>
        <v>40</v>
      </c>
      <c r="Y8" s="1" t="e">
        <f>'Other - Mixed'!L7</f>
        <v>#VALUE!</v>
      </c>
      <c r="Z8" s="1">
        <f>'All Minorities'!L7</f>
        <v>2</v>
      </c>
    </row>
    <row r="9" spans="2:26" s="1" customFormat="1" ht="15" customHeight="1">
      <c r="B9" s="142" t="s">
        <v>134</v>
      </c>
      <c r="C9" s="103">
        <f>'Data Entry'!C8</f>
        <v>73</v>
      </c>
      <c r="D9" s="108">
        <f>'Data Entry'!D8</f>
        <v>7</v>
      </c>
      <c r="E9" s="109" t="str">
        <f>'Black or African-American'!$G8</f>
        <v>**</v>
      </c>
      <c r="F9" s="110">
        <f>'Data Entry'!E8</f>
        <v>5</v>
      </c>
      <c r="G9" s="109" t="str">
        <f>Hispanic!G8</f>
        <v>**</v>
      </c>
      <c r="H9" s="110">
        <f>'Data Entry'!F8</f>
        <v>0</v>
      </c>
      <c r="I9" s="109" t="str">
        <f>Asian!G8</f>
        <v>*</v>
      </c>
      <c r="J9" s="110">
        <f>'Data Entry'!G8</f>
        <v>0</v>
      </c>
      <c r="K9" s="109" t="str">
        <f>Hawaiian!G8</f>
        <v>*</v>
      </c>
      <c r="L9" s="110">
        <f>'Data Entry'!H8</f>
        <v>0</v>
      </c>
      <c r="M9" s="109" t="str">
        <f>'Am Indian'!G8</f>
        <v>**</v>
      </c>
      <c r="N9" s="110">
        <f>'Data Entry'!I8</f>
        <v>10</v>
      </c>
      <c r="O9" s="109" t="str">
        <f>'Other - Mixed'!G8</f>
        <v>*</v>
      </c>
      <c r="P9" s="110">
        <f>'Data Entry'!J8</f>
        <v>22</v>
      </c>
      <c r="Q9" s="111" t="str">
        <f>'All Minorities'!G8</f>
        <v>**</v>
      </c>
      <c r="R9"/>
      <c r="T9" s="1">
        <f>'Black or African-American'!L8</f>
        <v>20</v>
      </c>
      <c r="U9" s="1">
        <f>Hispanic!L8</f>
        <v>40</v>
      </c>
      <c r="V9" s="1">
        <f>Asian!L8</f>
        <v>139</v>
      </c>
      <c r="W9" s="1">
        <f>Hawaiian!L8</f>
        <v>139</v>
      </c>
      <c r="X9" s="1">
        <f>'Am Indian'!L8</f>
        <v>40</v>
      </c>
      <c r="Y9" s="1">
        <f>'Other - Mixed'!L8</f>
        <v>119</v>
      </c>
      <c r="Z9" s="1">
        <f>'All Minorities'!L8</f>
        <v>40</v>
      </c>
    </row>
    <row r="10" spans="2:26" s="1" customFormat="1" ht="15" customHeight="1">
      <c r="B10" s="142" t="s">
        <v>10</v>
      </c>
      <c r="C10" s="103">
        <f>'Data Entry'!C9</f>
        <v>2</v>
      </c>
      <c r="D10" s="112">
        <f>'Data Entry'!D9</f>
        <v>1</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2</v>
      </c>
      <c r="Q10" s="115"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15</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1</v>
      </c>
      <c r="O11" s="109" t="str">
        <f>'Other - Mixed'!G10</f>
        <v>*</v>
      </c>
      <c r="P11" s="110">
        <f>'Data Entry'!J10</f>
        <v>1</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53</v>
      </c>
      <c r="D12" s="112">
        <f>'Data Entry'!D11</f>
        <v>4</v>
      </c>
      <c r="E12" s="113" t="str">
        <f>'Black or African-American'!$G11</f>
        <v>**</v>
      </c>
      <c r="F12" s="114">
        <f>'Data Entry'!E11</f>
        <v>3</v>
      </c>
      <c r="G12" s="113" t="str">
        <f>Hispanic!G11</f>
        <v>**</v>
      </c>
      <c r="H12" s="114">
        <f>'Data Entry'!F11</f>
        <v>0</v>
      </c>
      <c r="I12" s="113" t="str">
        <f>Asian!G11</f>
        <v>*</v>
      </c>
      <c r="J12" s="114">
        <f>'Data Entry'!G11</f>
        <v>0</v>
      </c>
      <c r="K12" s="113" t="str">
        <f>Hawaiian!G11</f>
        <v>*</v>
      </c>
      <c r="L12" s="114">
        <f>'Data Entry'!H11</f>
        <v>0</v>
      </c>
      <c r="M12" s="113" t="str">
        <f>'Am Indian'!G11</f>
        <v>--</v>
      </c>
      <c r="N12" s="114">
        <f>'Data Entry'!I11</f>
        <v>5</v>
      </c>
      <c r="O12" s="113" t="str">
        <f>'Other - Mixed'!G11</f>
        <v>*</v>
      </c>
      <c r="P12" s="114">
        <f>'Data Entry'!J11</f>
        <v>12</v>
      </c>
      <c r="Q12" s="115"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40</v>
      </c>
      <c r="D13" s="108">
        <f>'Data Entry'!D12</f>
        <v>1</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6</v>
      </c>
      <c r="O13" s="109" t="str">
        <f>'Other - Mixed'!G12</f>
        <v>*</v>
      </c>
      <c r="P13" s="110">
        <f>'Data Entry'!J12</f>
        <v>8</v>
      </c>
      <c r="Q13" s="111" t="str">
        <f>'All Minorities'!G12</f>
        <v>**</v>
      </c>
      <c r="R13"/>
      <c r="T13" s="1">
        <f>'Black or African-American'!L12</f>
        <v>20</v>
      </c>
      <c r="U13" s="1">
        <f>Hispanic!L12</f>
        <v>40</v>
      </c>
      <c r="V13" s="1" t="e">
        <f>Asian!L12</f>
        <v>#VALUE!</v>
      </c>
      <c r="W13" s="1" t="e">
        <f>Hawaiian!L12</f>
        <v>#VALUE!</v>
      </c>
      <c r="X13" s="1" t="e">
        <f>'Am Indian'!L12</f>
        <v>#VALUE!</v>
      </c>
      <c r="Y13" s="1">
        <f>'Other - Mixed'!L12</f>
        <v>119</v>
      </c>
      <c r="Z13" s="1">
        <f>'All Minorities'!L12</f>
        <v>40</v>
      </c>
    </row>
    <row r="14" spans="2:26" s="1" customFormat="1" ht="15" customHeight="1">
      <c r="B14" s="142" t="s">
        <v>133</v>
      </c>
      <c r="C14" s="103">
        <f>'Data Entry'!C13</f>
        <v>72</v>
      </c>
      <c r="D14" s="112">
        <f>'Data Entry'!D13</f>
        <v>7</v>
      </c>
      <c r="E14" s="113" t="str">
        <f>'Black or African-American'!$G13</f>
        <v>**</v>
      </c>
      <c r="F14" s="114">
        <f>'Data Entry'!E13</f>
        <v>5</v>
      </c>
      <c r="G14" s="113" t="str">
        <f>Hispanic!G13</f>
        <v>**</v>
      </c>
      <c r="H14" s="114">
        <f>'Data Entry'!F13</f>
        <v>0</v>
      </c>
      <c r="I14" s="113" t="str">
        <f>Asian!G13</f>
        <v>*</v>
      </c>
      <c r="J14" s="114">
        <f>'Data Entry'!G13</f>
        <v>0</v>
      </c>
      <c r="K14" s="113" t="str">
        <f>Hawaiian!G13</f>
        <v>*</v>
      </c>
      <c r="L14" s="114">
        <f>'Data Entry'!H13</f>
        <v>0</v>
      </c>
      <c r="M14" s="113" t="str">
        <f>'Am Indian'!G13</f>
        <v>--</v>
      </c>
      <c r="N14" s="114">
        <f>'Data Entry'!I13</f>
        <v>9</v>
      </c>
      <c r="O14" s="113" t="str">
        <f>'Other - Mixed'!G13</f>
        <v>*</v>
      </c>
      <c r="P14" s="114">
        <f>'Data Entry'!J13</f>
        <v>21</v>
      </c>
      <c r="Q14" s="115" t="str">
        <f>'All Minorities'!G13</f>
        <v>**</v>
      </c>
      <c r="R14"/>
      <c r="T14" s="1">
        <f>'Black or African-American'!L13</f>
        <v>20</v>
      </c>
      <c r="U14" s="1">
        <f>Hispanic!L13</f>
        <v>20</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39</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5</v>
      </c>
      <c r="O15" s="109" t="str">
        <f>'Other - Mixed'!G14</f>
        <v>*</v>
      </c>
      <c r="P15" s="110">
        <f>'Data Entry'!J14</f>
        <v>5</v>
      </c>
      <c r="Q15" s="111" t="str">
        <f>'All Minorities'!G14</f>
        <v>**</v>
      </c>
      <c r="R15"/>
      <c r="T15" s="1">
        <f>'Black or African-American'!L14</f>
        <v>20</v>
      </c>
      <c r="U15" s="1">
        <f>Hispanic!L14</f>
        <v>20</v>
      </c>
      <c r="V15" s="1" t="e">
        <f>Asian!L14</f>
        <v>#VALUE!</v>
      </c>
      <c r="W15" s="1" t="e">
        <f>Hawaiian!L14</f>
        <v>#VALUE!</v>
      </c>
      <c r="X15" s="1" t="e">
        <f>'Am Indian'!L14</f>
        <v>#VALUE!</v>
      </c>
      <c r="Y15" s="1">
        <f>'Other - Mixed'!L14</f>
        <v>139</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Van Buren</v>
      </c>
    </row>
    <row r="6" spans="1:12">
      <c r="A6" s="135" t="str">
        <f>CONCATENATE("Percentage of Minorities at Stages of the Juvenile Justice System, ", A5, " 2022")</f>
        <v>Percentage of Minorities at Stages of the Juvenile Justice System, County: Van Buren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2.7449506810709252</v>
      </c>
    </row>
    <row r="8" spans="1:12" ht="25.5" customHeight="1">
      <c r="A8" s="151" t="str">
        <f>CONCATENATE("Confinement, total N=", 'Data Entry'!B14)</f>
        <v>Confinement, total N=44</v>
      </c>
      <c r="B8" s="150">
        <f>'Data Entry'!D14/'Data Entry'!B14</f>
        <v>0</v>
      </c>
      <c r="C8" s="150">
        <f>'Data Entry'!E14/'Data Entry'!B14</f>
        <v>0</v>
      </c>
      <c r="D8" s="150">
        <f>'Data Entry'!F14/'Data Entry'!B14</f>
        <v>0</v>
      </c>
      <c r="E8" s="150">
        <f>'Data Entry'!G14/'Data Entry'!B14</f>
        <v>0</v>
      </c>
      <c r="F8" s="150">
        <f>'Data Entry'!H14/'Data Entry'!B14</f>
        <v>0</v>
      </c>
      <c r="G8" s="150">
        <f>'Data Entry'!I14/'Data Entry'!B14</f>
        <v>0.11363636363636363</v>
      </c>
      <c r="H8" s="150">
        <f>SUM(D8:G8)/'Data Entry'!B14</f>
        <v>2.5826446280991736E-3</v>
      </c>
      <c r="I8" s="150">
        <f>'Data Entry'!C14/'Data Entry'!B14</f>
        <v>0.88636363636363635</v>
      </c>
      <c r="K8" s="96" t="str">
        <f>A8</f>
        <v>Confinement, total N=44</v>
      </c>
      <c r="L8">
        <f>I14/(SUM(B14:G14))</f>
        <v>2.7449506810709252</v>
      </c>
    </row>
    <row r="9" spans="1:12">
      <c r="A9" s="128" t="str">
        <f>CONCATENATE("Delinquent Findings, total N=", 'Data Entry'!B12)</f>
        <v>Delinquent Findings, total N=49</v>
      </c>
      <c r="B9" s="150">
        <f>'Data Entry'!D12/'Data Entry'!B12</f>
        <v>2.0408163265306121E-2</v>
      </c>
      <c r="C9" s="150">
        <f>'Data Entry'!E12/'Data Entry'!B12</f>
        <v>2.0408163265306121E-2</v>
      </c>
      <c r="D9" s="150">
        <f>'Data Entry'!F12/'Data Entry'!B12</f>
        <v>0</v>
      </c>
      <c r="E9" s="150">
        <f>'Data Entry'!G12/'Data Entry'!B12</f>
        <v>0</v>
      </c>
      <c r="F9" s="150">
        <f>'Data Entry'!H12/'Data Entry'!B12</f>
        <v>0</v>
      </c>
      <c r="G9" s="150">
        <f>'Data Entry'!I12/'Data Entry'!B12</f>
        <v>0.12244897959183673</v>
      </c>
      <c r="H9" s="150">
        <f>SUM(D9:G9)/'Data Entry'!B12</f>
        <v>2.4989587671803413E-3</v>
      </c>
      <c r="I9" s="150">
        <f>'Data Entry'!C12/'Data Entry'!B12</f>
        <v>0.81632653061224492</v>
      </c>
      <c r="K9" s="96" t="str">
        <f t="shared" si="0"/>
        <v>Delinquent Findings, total N=49</v>
      </c>
      <c r="L9">
        <f>I14/(SUM(B14:G14))</f>
        <v>2.7449506810709252</v>
      </c>
    </row>
    <row r="10" spans="1:12">
      <c r="A10" s="128" t="str">
        <f>CONCATENATE("Petitions, total N=", 'Data Entry'!B11)</f>
        <v>Petitions, total N=66</v>
      </c>
      <c r="B10" s="150">
        <f>'Data Entry'!D11/'Data Entry'!B11</f>
        <v>6.0606060606060608E-2</v>
      </c>
      <c r="C10" s="150">
        <f>'Data Entry'!E11/'Data Entry'!B11</f>
        <v>4.5454545454545456E-2</v>
      </c>
      <c r="D10" s="150">
        <f>'Data Entry'!F11/'Data Entry'!B11</f>
        <v>0</v>
      </c>
      <c r="E10" s="150">
        <f>'Data Entry'!G11/'Data Entry'!B11</f>
        <v>0</v>
      </c>
      <c r="F10" s="150">
        <f>'Data Entry'!H11/'Data Entry'!B11</f>
        <v>0</v>
      </c>
      <c r="G10" s="150">
        <f>'Data Entry'!I11/'Data Entry'!B11</f>
        <v>7.575757575757576E-2</v>
      </c>
      <c r="H10" s="150">
        <f>SUM(D10:G10)/'Data Entry'!B11</f>
        <v>1.147842056932966E-3</v>
      </c>
      <c r="I10" s="150">
        <f>'Data Entry'!C11/'Data Entry'!B11</f>
        <v>0.80303030303030298</v>
      </c>
      <c r="K10" s="96" t="str">
        <f t="shared" si="0"/>
        <v>Petitions, total N=66</v>
      </c>
      <c r="L10">
        <f>I14/(SUM(B14:G14))</f>
        <v>2.7449506810709252</v>
      </c>
    </row>
    <row r="11" spans="1:12">
      <c r="A11" s="128" t="str">
        <f>CONCATENATE("Detentions, total N=", 'Data Entry'!B10)</f>
        <v>Detentions, total N=16</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6.25E-2</v>
      </c>
      <c r="H11" s="150">
        <f>SUM(D11:G11)/'Data Entry'!B10</f>
        <v>3.90625E-3</v>
      </c>
      <c r="I11" s="150">
        <f>'Data Entry'!C10/'Data Entry'!B10</f>
        <v>0.9375</v>
      </c>
      <c r="K11" s="96" t="str">
        <f t="shared" si="0"/>
        <v>Detentions, total N=16</v>
      </c>
      <c r="L11">
        <f>I14/(SUM(B14:G14))</f>
        <v>2.7449506810709252</v>
      </c>
    </row>
    <row r="12" spans="1:12">
      <c r="A12" s="128" t="str">
        <f>CONCATENATE("Referrals, total N=", 'Data Entry'!B8)</f>
        <v>Referrals, total N=96</v>
      </c>
      <c r="B12" s="150">
        <f>'Data Entry'!D8/'Data Entry'!B8</f>
        <v>7.2916666666666671E-2</v>
      </c>
      <c r="C12" s="150">
        <f>'Data Entry'!E8/'Data Entry'!B8</f>
        <v>5.2083333333333336E-2</v>
      </c>
      <c r="D12" s="150">
        <f>'Data Entry'!F8/'Data Entry'!B8</f>
        <v>0</v>
      </c>
      <c r="E12" s="150">
        <f>'Data Entry'!G8/'Data Entry'!B8</f>
        <v>0</v>
      </c>
      <c r="F12" s="150">
        <f>'Data Entry'!H8/'Data Entry'!B8</f>
        <v>0</v>
      </c>
      <c r="G12" s="150">
        <f>'Data Entry'!I8/'Data Entry'!B8</f>
        <v>0.10416666666666667</v>
      </c>
      <c r="H12" s="150">
        <f>SUM(D12:G12)/'Data Entry'!B8</f>
        <v>1.0850694444444445E-3</v>
      </c>
      <c r="I12" s="150">
        <f>'Data Entry'!C8/'Data Entry'!B8</f>
        <v>0.76041666666666663</v>
      </c>
      <c r="K12" s="96" t="str">
        <f t="shared" si="0"/>
        <v>Referrals, total N=96</v>
      </c>
      <c r="L12">
        <f>I14/(SUM(B14:G14))</f>
        <v>2.7449506810709252</v>
      </c>
    </row>
    <row r="13" spans="1:12">
      <c r="A13" s="128" t="str">
        <f>CONCATENATE("Arrests, total N=", 'Data Entry'!B7)</f>
        <v>Arrests, total N=57</v>
      </c>
      <c r="B13" s="150">
        <f>'Data Entry'!D7/'Data Entry'!B7</f>
        <v>0.17543859649122806</v>
      </c>
      <c r="C13" s="150">
        <f>'Data Entry'!E7/'Data Entry'!B7</f>
        <v>5.2631578947368418E-2</v>
      </c>
      <c r="D13" s="150">
        <f>'Data Entry'!F7/'Data Entry'!B7</f>
        <v>0</v>
      </c>
      <c r="E13" s="150">
        <f>'Data Entry'!G7/'Data Entry'!B7</f>
        <v>0</v>
      </c>
      <c r="F13" s="150">
        <f>'Data Entry'!H7/'Data Entry'!B7</f>
        <v>0</v>
      </c>
      <c r="G13" s="150">
        <f>'Data Entry'!I7/'Data Entry'!B7</f>
        <v>0</v>
      </c>
      <c r="H13" s="150">
        <f>SUM(D13:G13)/'Data Entry'!B7</f>
        <v>0</v>
      </c>
      <c r="I13" s="150">
        <f>'Data Entry'!C7/'Data Entry'!B7</f>
        <v>0.73684210526315785</v>
      </c>
      <c r="K13" s="96" t="str">
        <f t="shared" si="0"/>
        <v>Arrests, total N=57</v>
      </c>
      <c r="L13">
        <f>I14/(SUM(B14:G14))</f>
        <v>2.7449506810709252</v>
      </c>
    </row>
    <row r="14" spans="1:12">
      <c r="A14" s="128" t="str">
        <f>CONCATENATE("Population, total N=", 'Data Entry'!B6)</f>
        <v>Population, total N=7973</v>
      </c>
      <c r="B14" s="150">
        <f>'Data Entry'!D6/'Data Entry'!B6</f>
        <v>5.1674401103725072E-2</v>
      </c>
      <c r="C14" s="150">
        <f>'Data Entry'!E6/'Data Entry'!B6</f>
        <v>0.19641289351561519</v>
      </c>
      <c r="D14" s="150">
        <f>'Data Entry'!F6/'Data Entry'!B6</f>
        <v>8.9050545591370881E-3</v>
      </c>
      <c r="E14" s="150">
        <f>'Data Entry'!G6/'Data Entry'!B6</f>
        <v>0</v>
      </c>
      <c r="F14" s="150">
        <f>'Data Entry'!H6/'Data Entry'!B6</f>
        <v>1.0033864291985451E-2</v>
      </c>
      <c r="G14" s="150">
        <f>'Data Entry'!I6/'Data Entry'!B6</f>
        <v>0</v>
      </c>
      <c r="H14" s="150">
        <f>SUM(D14:G14)/'Data Entry'!B6</f>
        <v>2.3753817698636073E-6</v>
      </c>
      <c r="I14" s="150">
        <f>'Data Entry'!C6/'Data Entry'!B6</f>
        <v>0.73297378652953715</v>
      </c>
      <c r="K14" s="96" t="str">
        <f t="shared" si="0"/>
        <v>Population, total N=7973</v>
      </c>
      <c r="L14">
        <f>I14/(SUM(B14:G14))</f>
        <v>2.7449506810709252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Van Buren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5844</v>
      </c>
      <c r="D7" s="104">
        <f>'Data Entry'!D6</f>
        <v>412</v>
      </c>
      <c r="E7" s="105"/>
      <c r="F7" s="106">
        <f>'Data Entry'!E6</f>
        <v>1566</v>
      </c>
      <c r="G7" s="105"/>
      <c r="H7" s="106">
        <f>'Data Entry'!F6</f>
        <v>71</v>
      </c>
      <c r="I7" s="105"/>
      <c r="J7" s="106">
        <f>'Data Entry'!J6</f>
        <v>2129</v>
      </c>
      <c r="K7" s="107"/>
    </row>
    <row r="8" spans="2:30" s="1" customFormat="1" ht="15" customHeight="1">
      <c r="B8" s="121" t="s">
        <v>8</v>
      </c>
      <c r="C8" s="103">
        <f>'Data Entry'!C7</f>
        <v>42</v>
      </c>
      <c r="D8" s="104">
        <f>'Data Entry'!D7</f>
        <v>10</v>
      </c>
      <c r="E8" s="105">
        <f>'Black or African-American'!$G7</f>
        <v>3.3772538141470188</v>
      </c>
      <c r="F8" s="106">
        <f>'Data Entry'!E7</f>
        <v>3</v>
      </c>
      <c r="G8" s="105" t="str">
        <f>Hispanic!G7</f>
        <v>**</v>
      </c>
      <c r="H8" s="106">
        <f>'Data Entry'!F7</f>
        <v>0</v>
      </c>
      <c r="I8" s="105" t="str">
        <f>Asian!G7</f>
        <v>*</v>
      </c>
      <c r="J8" s="106">
        <f>'Data Entry'!J7</f>
        <v>13</v>
      </c>
      <c r="K8" s="107">
        <f>'All Minorities'!G7</f>
        <v>0.84962759176004843</v>
      </c>
      <c r="L8"/>
      <c r="N8" s="1">
        <f>'Black or African-American'!L7</f>
        <v>1</v>
      </c>
      <c r="O8" s="1">
        <f>Hispanic!L7</f>
        <v>20</v>
      </c>
      <c r="P8" s="1">
        <f>Asian!L7</f>
        <v>139</v>
      </c>
      <c r="Q8" s="1" t="e">
        <f>Hawaiian!L7</f>
        <v>#VALUE!</v>
      </c>
      <c r="R8" s="1">
        <f>'Am Indian'!L7</f>
        <v>40</v>
      </c>
      <c r="S8" s="1" t="e">
        <f>'Other - Mixed'!L7</f>
        <v>#VALUE!</v>
      </c>
      <c r="T8" s="1">
        <f>'All Minorities'!L7</f>
        <v>2</v>
      </c>
    </row>
    <row r="9" spans="2:30" s="1" customFormat="1" ht="15" customHeight="1">
      <c r="B9" s="121" t="s">
        <v>134</v>
      </c>
      <c r="C9" s="103">
        <f>'Data Entry'!C8</f>
        <v>73</v>
      </c>
      <c r="D9" s="108">
        <f>'Data Entry'!D8</f>
        <v>7</v>
      </c>
      <c r="E9" s="109" t="str">
        <f>'Black or African-American'!$G8</f>
        <v>**</v>
      </c>
      <c r="F9" s="110">
        <f>'Data Entry'!E8</f>
        <v>5</v>
      </c>
      <c r="G9" s="109" t="str">
        <f>Hispanic!G8</f>
        <v>**</v>
      </c>
      <c r="H9" s="110">
        <f>'Data Entry'!F8</f>
        <v>0</v>
      </c>
      <c r="I9" s="109" t="str">
        <f>Asian!G8</f>
        <v>*</v>
      </c>
      <c r="J9" s="110">
        <f>'Data Entry'!J8</f>
        <v>22</v>
      </c>
      <c r="K9" s="111" t="str">
        <f>'All Minorities'!G8</f>
        <v>**</v>
      </c>
      <c r="L9"/>
      <c r="N9" s="1">
        <f>'Black or African-American'!L8</f>
        <v>20</v>
      </c>
      <c r="O9" s="1">
        <f>Hispanic!L8</f>
        <v>40</v>
      </c>
      <c r="P9" s="1">
        <f>Asian!L8</f>
        <v>139</v>
      </c>
      <c r="Q9" s="1">
        <f>Hawaiian!L8</f>
        <v>139</v>
      </c>
      <c r="R9" s="1">
        <f>'Am Indian'!L8</f>
        <v>40</v>
      </c>
      <c r="S9" s="1">
        <f>'Other - Mixed'!L8</f>
        <v>119</v>
      </c>
      <c r="T9" s="1">
        <f>'All Minorities'!L8</f>
        <v>40</v>
      </c>
    </row>
    <row r="10" spans="2:30" s="1" customFormat="1" ht="15" customHeight="1">
      <c r="B10" s="121" t="s">
        <v>10</v>
      </c>
      <c r="C10" s="103">
        <f>'Data Entry'!C9</f>
        <v>2</v>
      </c>
      <c r="D10" s="112">
        <f>'Data Entry'!D9</f>
        <v>1</v>
      </c>
      <c r="E10" s="113" t="str">
        <f>'Black or African-American'!$G9</f>
        <v>**</v>
      </c>
      <c r="F10" s="114">
        <f>'Data Entry'!E9</f>
        <v>0</v>
      </c>
      <c r="G10" s="113" t="str">
        <f>Hispanic!G9</f>
        <v>**</v>
      </c>
      <c r="H10" s="114">
        <f>'Data Entry'!F9</f>
        <v>0</v>
      </c>
      <c r="I10" s="113" t="str">
        <f>Asian!G9</f>
        <v>*</v>
      </c>
      <c r="J10" s="114">
        <f>'Data Entry'!J9</f>
        <v>2</v>
      </c>
      <c r="K10" s="115"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15</v>
      </c>
      <c r="D11" s="108">
        <f>'Data Entry'!D10</f>
        <v>0</v>
      </c>
      <c r="E11" s="109" t="str">
        <f>'Black or African-American'!$G10</f>
        <v>**</v>
      </c>
      <c r="F11" s="110">
        <f>'Data Entry'!E10</f>
        <v>0</v>
      </c>
      <c r="G11" s="109" t="str">
        <f>Hispanic!G10</f>
        <v>**</v>
      </c>
      <c r="H11" s="110">
        <f>'Data Entry'!F10</f>
        <v>0</v>
      </c>
      <c r="I11" s="109" t="str">
        <f>Asian!G10</f>
        <v>*</v>
      </c>
      <c r="J11" s="110">
        <f>'Data Entry'!J10</f>
        <v>1</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53</v>
      </c>
      <c r="D12" s="112">
        <f>'Data Entry'!D11</f>
        <v>4</v>
      </c>
      <c r="E12" s="113" t="str">
        <f>'Black or African-American'!$G11</f>
        <v>**</v>
      </c>
      <c r="F12" s="114">
        <f>'Data Entry'!E11</f>
        <v>3</v>
      </c>
      <c r="G12" s="113" t="str">
        <f>Hispanic!G11</f>
        <v>**</v>
      </c>
      <c r="H12" s="114">
        <f>'Data Entry'!F11</f>
        <v>0</v>
      </c>
      <c r="I12" s="113" t="str">
        <f>Asian!G11</f>
        <v>*</v>
      </c>
      <c r="J12" s="114">
        <f>'Data Entry'!J11</f>
        <v>12</v>
      </c>
      <c r="K12" s="115"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40</v>
      </c>
      <c r="D13" s="108">
        <f>'Data Entry'!D12</f>
        <v>1</v>
      </c>
      <c r="E13" s="109" t="str">
        <f>'Black or African-American'!$G12</f>
        <v>**</v>
      </c>
      <c r="F13" s="110">
        <f>'Data Entry'!E12</f>
        <v>1</v>
      </c>
      <c r="G13" s="109" t="str">
        <f>Hispanic!G12</f>
        <v>**</v>
      </c>
      <c r="H13" s="110">
        <f>'Data Entry'!F12</f>
        <v>0</v>
      </c>
      <c r="I13" s="109" t="str">
        <f>Asian!G12</f>
        <v>*</v>
      </c>
      <c r="J13" s="110">
        <f>'Data Entry'!J12</f>
        <v>8</v>
      </c>
      <c r="K13" s="111" t="str">
        <f>'All Minorities'!G12</f>
        <v>**</v>
      </c>
      <c r="L13"/>
      <c r="N13" s="1">
        <f>'Black or African-American'!L12</f>
        <v>20</v>
      </c>
      <c r="O13" s="1">
        <f>Hispanic!L12</f>
        <v>40</v>
      </c>
      <c r="P13" s="1" t="e">
        <f>Asian!L12</f>
        <v>#VALUE!</v>
      </c>
      <c r="Q13" s="1" t="e">
        <f>Hawaiian!L12</f>
        <v>#VALUE!</v>
      </c>
      <c r="R13" s="1" t="e">
        <f>'Am Indian'!L12</f>
        <v>#VALUE!</v>
      </c>
      <c r="S13" s="1">
        <f>'Other - Mixed'!L12</f>
        <v>119</v>
      </c>
      <c r="T13" s="1">
        <f>'All Minorities'!L12</f>
        <v>40</v>
      </c>
      <c r="W13" s="8"/>
      <c r="X13" s="8"/>
      <c r="Y13" s="8"/>
      <c r="Z13" s="8"/>
      <c r="AA13" s="8"/>
      <c r="AB13" s="8"/>
      <c r="AC13" s="8"/>
      <c r="AD13" s="8"/>
    </row>
    <row r="14" spans="2:30" s="1" customFormat="1" ht="15" customHeight="1">
      <c r="B14" s="121" t="s">
        <v>14</v>
      </c>
      <c r="C14" s="103">
        <f>'Data Entry'!C13</f>
        <v>72</v>
      </c>
      <c r="D14" s="112">
        <f>'Data Entry'!D13</f>
        <v>7</v>
      </c>
      <c r="E14" s="113" t="str">
        <f>'Black or African-American'!$G13</f>
        <v>**</v>
      </c>
      <c r="F14" s="114">
        <f>'Data Entry'!E13</f>
        <v>5</v>
      </c>
      <c r="G14" s="113" t="str">
        <f>Hispanic!G13</f>
        <v>**</v>
      </c>
      <c r="H14" s="114">
        <f>'Data Entry'!F13</f>
        <v>0</v>
      </c>
      <c r="I14" s="113" t="str">
        <f>Asian!G13</f>
        <v>*</v>
      </c>
      <c r="J14" s="114">
        <f>'Data Entry'!J13</f>
        <v>21</v>
      </c>
      <c r="K14" s="115" t="str">
        <f>'All Minorities'!G13</f>
        <v>**</v>
      </c>
      <c r="L14"/>
      <c r="N14" s="1">
        <f>'Black or African-American'!L13</f>
        <v>20</v>
      </c>
      <c r="O14" s="1">
        <f>Hispanic!L13</f>
        <v>20</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39</v>
      </c>
      <c r="D15" s="108">
        <f>'Data Entry'!D14</f>
        <v>0</v>
      </c>
      <c r="E15" s="109" t="str">
        <f>'Black or African-American'!$G14</f>
        <v>**</v>
      </c>
      <c r="F15" s="110">
        <f>'Data Entry'!E14</f>
        <v>0</v>
      </c>
      <c r="G15" s="109" t="str">
        <f>Hispanic!G14</f>
        <v>**</v>
      </c>
      <c r="H15" s="110">
        <f>'Data Entry'!F14</f>
        <v>0</v>
      </c>
      <c r="I15" s="109" t="str">
        <f>Asian!G14</f>
        <v>*</v>
      </c>
      <c r="J15" s="110">
        <f>'Data Entry'!J14</f>
        <v>5</v>
      </c>
      <c r="K15" s="111" t="str">
        <f>'All Minorities'!G14</f>
        <v>**</v>
      </c>
      <c r="L15"/>
      <c r="N15" s="1">
        <f>'Black or African-American'!L14</f>
        <v>20</v>
      </c>
      <c r="O15" s="1">
        <f>Hispanic!L14</f>
        <v>20</v>
      </c>
      <c r="P15" s="1" t="e">
        <f>Asian!L14</f>
        <v>#VALUE!</v>
      </c>
      <c r="Q15" s="1" t="e">
        <f>Hawaiian!L14</f>
        <v>#VALUE!</v>
      </c>
      <c r="R15" s="1" t="e">
        <f>'Am Indian'!L14</f>
        <v>#VALUE!</v>
      </c>
      <c r="S15" s="1">
        <f>'Other - Mixed'!L14</f>
        <v>139</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5844</v>
      </c>
      <c r="D6" s="34"/>
      <c r="E6" s="33">
        <f>'Data Entry'!D6</f>
        <v>412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42</v>
      </c>
      <c r="D7" s="34">
        <f>IF((AND(C66&gt;0,C7&gt;0)),(C7/C66),0)</f>
        <v>7.1868583162217652</v>
      </c>
      <c r="E7" s="33">
        <f>'Data Entry'!D7</f>
        <v>10</v>
      </c>
      <c r="F7" s="34">
        <f>IF((AND($E$7&gt;0,$D$66&gt;0)),($E$7/$D$66),0)</f>
        <v>24.271844660194176</v>
      </c>
      <c r="G7" s="39">
        <f>IF(L$6=100,"*",IF(M7=FALSE,"--",IF(K7=20,"**",($F7/$D7))))</f>
        <v>3.3772538141470188</v>
      </c>
      <c r="H7" s="40"/>
      <c r="I7" s="41"/>
      <c r="J7" s="40">
        <f>IF((ABS($U7)&gt;Defaults!D$7),1,2)</f>
        <v>1</v>
      </c>
      <c r="K7" s="39">
        <f>IF((AND(N7&gt;Defaults!B$12,(N7+O7)&gt;Defaults!B$13, P7 &gt; Defaults!B$12, (P7+Q7) &gt; Defaults!B$13)),1,20)</f>
        <v>1</v>
      </c>
      <c r="L7" s="1">
        <f>(J7*K7+L$6)-1</f>
        <v>1</v>
      </c>
      <c r="M7" s="1" t="b">
        <f t="shared" ref="M7:M15" si="0">(ISNUMBER(J7))</f>
        <v>1</v>
      </c>
      <c r="N7" s="42">
        <f t="shared" ref="N7:N15" si="1">E7</f>
        <v>10</v>
      </c>
      <c r="O7" s="42">
        <f>E6-E7</f>
        <v>402</v>
      </c>
      <c r="P7" s="42">
        <f t="shared" ref="P7:P15" si="2">C7</f>
        <v>42</v>
      </c>
      <c r="Q7" s="42">
        <f>C6-C7</f>
        <v>5802</v>
      </c>
      <c r="R7" s="42">
        <f t="shared" ref="R7:R15" si="3">SUM(N7:Q7)</f>
        <v>6256</v>
      </c>
      <c r="S7" s="30">
        <f t="shared" ref="S7:S15" si="4">R7*((((N7*Q7)-(O7*P7))^2))</f>
        <v>10586218622976</v>
      </c>
      <c r="T7" s="30">
        <f t="shared" ref="T7:T15" si="5">(N7+O7)*(P7+Q7)*(N7+P7)*(O7+Q7)</f>
        <v>776752314624</v>
      </c>
      <c r="U7" s="31">
        <f t="shared" ref="U7:U15" si="6">IF((S7&gt;0),S7/T7,"- -")</f>
        <v>13.628821470716101</v>
      </c>
    </row>
    <row r="8" spans="2:21" ht="18" customHeight="1">
      <c r="B8" s="32" t="str">
        <f>'Data Entry'!A8</f>
        <v>3. Refer to Juvenile Court</v>
      </c>
      <c r="C8" s="33">
        <f>'Data Entry'!C8</f>
        <v>73</v>
      </c>
      <c r="D8" s="34">
        <f>IF((AND(C67&gt;0,C8&gt;0)),(C8/C67),0)</f>
        <v>173.80952380952382</v>
      </c>
      <c r="E8" s="33">
        <f>'Data Entry'!D8</f>
        <v>7</v>
      </c>
      <c r="F8" s="34">
        <f>IF((AND($E$8&gt;0,$D$67&gt;0)),($E8/$D67),0)</f>
        <v>70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7</v>
      </c>
      <c r="O8" s="42">
        <f>((D67*L67)-E8)+0.05</f>
        <v>3.05</v>
      </c>
      <c r="P8" s="42">
        <f t="shared" si="2"/>
        <v>73</v>
      </c>
      <c r="Q8" s="42">
        <f>(C$67*L67)-C8</f>
        <v>-31</v>
      </c>
      <c r="R8" s="42">
        <f t="shared" si="3"/>
        <v>52.05</v>
      </c>
      <c r="S8" s="30">
        <f t="shared" si="4"/>
        <v>10060854.976124998</v>
      </c>
      <c r="T8" s="30">
        <f t="shared" si="5"/>
        <v>-943815.6</v>
      </c>
      <c r="U8" s="31">
        <f t="shared" si="6"/>
        <v>-10.659767624231893</v>
      </c>
    </row>
    <row r="9" spans="2:21" ht="18" customHeight="1">
      <c r="B9" s="32" t="str">
        <f>'Data Entry'!A9</f>
        <v xml:space="preserve">4. Cases Diverted </v>
      </c>
      <c r="C9" s="33">
        <f>'Data Entry'!C9</f>
        <v>2</v>
      </c>
      <c r="D9" s="34">
        <f>IF((AND(C68&gt;0,C9&gt;0)),((C9/C68)),0)</f>
        <v>2.7397260273972601</v>
      </c>
      <c r="E9" s="33">
        <f>'Data Entry'!D9</f>
        <v>1</v>
      </c>
      <c r="F9" s="34">
        <f>IF((AND($E$9&gt;0,$D$68&gt;0)),(($E$9/$D$68)),0)</f>
        <v>14.285714285714285</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6.0000000000000009</v>
      </c>
      <c r="P9" s="42">
        <f t="shared" si="2"/>
        <v>2</v>
      </c>
      <c r="Q9" s="42">
        <f>(C$68*L68)-C9</f>
        <v>71</v>
      </c>
      <c r="R9" s="42">
        <f t="shared" si="3"/>
        <v>80</v>
      </c>
      <c r="S9" s="30">
        <f t="shared" si="4"/>
        <v>278480</v>
      </c>
      <c r="T9" s="30">
        <f t="shared" si="5"/>
        <v>118041.00000000001</v>
      </c>
      <c r="U9" s="31">
        <f t="shared" si="6"/>
        <v>2.3591802848162922</v>
      </c>
    </row>
    <row r="10" spans="2:21" ht="18" customHeight="1">
      <c r="B10" s="32" t="str">
        <f>'Data Entry'!A10</f>
        <v>5. Cases Involving Secure Detention</v>
      </c>
      <c r="C10" s="33">
        <f>'Data Entry'!C10</f>
        <v>15</v>
      </c>
      <c r="D10" s="34">
        <f>IF(((AND(C68&gt;0,C10&gt;0))),(C10/(C68)),0)</f>
        <v>20.547945205479454</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7.0000000000000009</v>
      </c>
      <c r="P10" s="42">
        <f t="shared" si="2"/>
        <v>15</v>
      </c>
      <c r="Q10" s="42">
        <f>(C$68*L68)-C10</f>
        <v>58</v>
      </c>
      <c r="R10" s="42">
        <f t="shared" si="3"/>
        <v>80</v>
      </c>
      <c r="S10" s="30">
        <f t="shared" si="4"/>
        <v>882000.00000000023</v>
      </c>
      <c r="T10" s="30">
        <f t="shared" si="5"/>
        <v>498225.00000000006</v>
      </c>
      <c r="U10" s="31">
        <f t="shared" si="6"/>
        <v>1.7702845100105378</v>
      </c>
    </row>
    <row r="11" spans="2:21" ht="18" customHeight="1">
      <c r="B11" s="32" t="str">
        <f>'Data Entry'!A11</f>
        <v>6. Cases Petitioned (Charge Filed)</v>
      </c>
      <c r="C11" s="33">
        <f>'Data Entry'!C11</f>
        <v>53</v>
      </c>
      <c r="D11" s="34">
        <f>IF(((AND(C68&gt;0,C11&gt;0))),(C11/(C68)),0)</f>
        <v>72.602739726027394</v>
      </c>
      <c r="E11" s="33">
        <f>'Data Entry'!D11</f>
        <v>4</v>
      </c>
      <c r="F11" s="34">
        <f>IF(((AND($E$11&gt;0,$D$68&gt;0))),($E$11/($D$68)),0)</f>
        <v>57.142857142857139</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4</v>
      </c>
      <c r="O11" s="42">
        <f>(D$68*L68)-E11</f>
        <v>3.0000000000000009</v>
      </c>
      <c r="P11" s="42">
        <f t="shared" si="2"/>
        <v>53</v>
      </c>
      <c r="Q11" s="42">
        <f>(C$68*L68)-C11</f>
        <v>20</v>
      </c>
      <c r="R11" s="42">
        <f t="shared" si="3"/>
        <v>80</v>
      </c>
      <c r="S11" s="30">
        <f t="shared" si="4"/>
        <v>499280.0000000007</v>
      </c>
      <c r="T11" s="30">
        <f t="shared" si="5"/>
        <v>669921.00000000012</v>
      </c>
      <c r="U11" s="31">
        <f t="shared" si="6"/>
        <v>0.74528190637403602</v>
      </c>
    </row>
    <row r="12" spans="2:21" ht="18" customHeight="1">
      <c r="B12" s="32" t="str">
        <f>'Data Entry'!A12</f>
        <v>7. Cases Resulting in Delinquent Findings</v>
      </c>
      <c r="C12" s="33">
        <f>'Data Entry'!C12</f>
        <v>40</v>
      </c>
      <c r="D12" s="34">
        <f>IF(((AND(C69&gt;0,C12&gt;0))),(C12/(C69)),0)</f>
        <v>75.471698113207538</v>
      </c>
      <c r="E12" s="33">
        <f>'Data Entry'!D12</f>
        <v>1</v>
      </c>
      <c r="F12" s="34">
        <f>IF(((AND($D$69&gt;0,$E$12&gt;0))),(E12/(D69)),0)</f>
        <v>25</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1</v>
      </c>
      <c r="O12" s="42">
        <f>(D69*L69)-E12</f>
        <v>3</v>
      </c>
      <c r="P12" s="42">
        <f t="shared" si="2"/>
        <v>40</v>
      </c>
      <c r="Q12" s="42">
        <f>(C69*L69)-C12</f>
        <v>13</v>
      </c>
      <c r="R12" s="42">
        <f t="shared" si="3"/>
        <v>57</v>
      </c>
      <c r="S12" s="30">
        <f t="shared" si="4"/>
        <v>652593</v>
      </c>
      <c r="T12" s="30">
        <f t="shared" si="5"/>
        <v>139072</v>
      </c>
      <c r="U12" s="31">
        <f t="shared" si="6"/>
        <v>4.6924830303727569</v>
      </c>
    </row>
    <row r="13" spans="2:21" ht="18" customHeight="1">
      <c r="B13" s="32" t="str">
        <f>'Data Entry'!A13</f>
        <v>8. Cases Resulting in Probation Placement</v>
      </c>
      <c r="C13" s="33">
        <f>'Data Entry'!C13</f>
        <v>72</v>
      </c>
      <c r="D13" s="34">
        <f>IF(((AND(C70&gt;0,C13&gt;0))),(C13/(C70)),0)</f>
        <v>180</v>
      </c>
      <c r="E13" s="33">
        <f>'Data Entry'!D13</f>
        <v>7</v>
      </c>
      <c r="F13" s="34">
        <f>IF(((AND($D$70&gt;0,$E$13&gt;0))),($E$13/($D$70)),0)</f>
        <v>700</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7</v>
      </c>
      <c r="O13" s="42">
        <f>(D70*L70)-E13</f>
        <v>-6</v>
      </c>
      <c r="P13" s="42">
        <f t="shared" si="2"/>
        <v>72</v>
      </c>
      <c r="Q13" s="42">
        <f>(C70*L70)-C13</f>
        <v>-32</v>
      </c>
      <c r="R13" s="42">
        <f t="shared" si="3"/>
        <v>41</v>
      </c>
      <c r="S13" s="30">
        <f t="shared" si="4"/>
        <v>1773824</v>
      </c>
      <c r="T13" s="30">
        <f t="shared" si="5"/>
        <v>-120080</v>
      </c>
      <c r="U13" s="31">
        <f t="shared" si="6"/>
        <v>-14.772018654230513</v>
      </c>
    </row>
    <row r="14" spans="2:21" ht="30.75" customHeight="1">
      <c r="B14" s="32" t="str">
        <f>'Data Entry'!A14</f>
        <v xml:space="preserve">9. Cases Resulting in Confinement in Secure Juvenile Correctional Facilities </v>
      </c>
      <c r="C14" s="33">
        <f>'Data Entry'!C14</f>
        <v>39</v>
      </c>
      <c r="D14" s="34">
        <f>IF(((AND(C70&gt;0,C14&gt;0))), ((C14/(C70))),0)</f>
        <v>97.5</v>
      </c>
      <c r="E14" s="33">
        <f>'Data Entry'!D14</f>
        <v>0</v>
      </c>
      <c r="F14" s="34">
        <f>IF(((AND($D$70&gt;0,$E$14&gt;0))), (($E$14/($D$70))),0)</f>
        <v>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0</v>
      </c>
      <c r="O14" s="42">
        <f>(D70*L70)-E14</f>
        <v>1</v>
      </c>
      <c r="P14" s="42">
        <f t="shared" si="2"/>
        <v>39</v>
      </c>
      <c r="Q14" s="42">
        <f>(C70*L70)-C14</f>
        <v>1</v>
      </c>
      <c r="R14" s="42">
        <f t="shared" si="3"/>
        <v>41</v>
      </c>
      <c r="S14" s="30">
        <f t="shared" si="4"/>
        <v>62361</v>
      </c>
      <c r="T14" s="30">
        <f t="shared" si="5"/>
        <v>3120</v>
      </c>
      <c r="U14" s="31">
        <f t="shared" si="6"/>
        <v>19.987500000000001</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v>
      </c>
      <c r="P15" s="42">
        <f t="shared" si="2"/>
        <v>0</v>
      </c>
      <c r="Q15" s="42">
        <f>(C69*L69)-C15</f>
        <v>53</v>
      </c>
      <c r="R15" s="42">
        <f t="shared" si="3"/>
        <v>57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5.8440000000000003</v>
      </c>
      <c r="D42" s="56">
        <f>E6/1000</f>
        <v>0.41199999999999998</v>
      </c>
      <c r="E42" s="56">
        <f>MAX(C42:D42)</f>
        <v>5.8440000000000003</v>
      </c>
      <c r="G42" s="1" t="str">
        <f>B42</f>
        <v>per 1000 youth</v>
      </c>
      <c r="L42" s="57">
        <v>1000</v>
      </c>
      <c r="M42" s="57"/>
      <c r="R42" s="49"/>
    </row>
    <row r="43" spans="2:18" ht="15" hidden="1" customHeight="1">
      <c r="B43" s="49" t="s">
        <v>87</v>
      </c>
      <c r="C43" s="56">
        <f>C7/100</f>
        <v>0.42</v>
      </c>
      <c r="D43" s="56">
        <f>E7/100</f>
        <v>0.1</v>
      </c>
      <c r="E43" s="56">
        <f>MAX(C43:D43,0)</f>
        <v>0.42</v>
      </c>
      <c r="G43" s="1" t="str">
        <f>B43</f>
        <v>per 100 arrests</v>
      </c>
      <c r="L43" s="57">
        <v>100</v>
      </c>
      <c r="M43" s="57"/>
      <c r="R43" s="49"/>
    </row>
    <row r="44" spans="2:18" ht="15" hidden="1" customHeight="1">
      <c r="B44" s="49" t="s">
        <v>88</v>
      </c>
      <c r="C44" s="56">
        <f>C8/100</f>
        <v>0.73</v>
      </c>
      <c r="D44" s="56">
        <f>E8/100</f>
        <v>7.0000000000000007E-2</v>
      </c>
      <c r="E44" s="56">
        <f>MAX(C44:D44,0)</f>
        <v>0.73</v>
      </c>
      <c r="G44" s="1" t="str">
        <f>B44</f>
        <v>per 100 referrals</v>
      </c>
      <c r="L44" s="57">
        <v>100</v>
      </c>
      <c r="M44" s="57"/>
      <c r="R44" s="49"/>
    </row>
    <row r="45" spans="2:18" ht="15" hidden="1" customHeight="1">
      <c r="B45" s="49" t="s">
        <v>89</v>
      </c>
      <c r="C45" s="49">
        <f>C11/100</f>
        <v>0.53</v>
      </c>
      <c r="D45" s="49">
        <f>E11/100</f>
        <v>0.04</v>
      </c>
      <c r="E45" s="56">
        <f>MAX(C45:D45,0)</f>
        <v>0.53</v>
      </c>
      <c r="G45" s="1" t="str">
        <f>B45</f>
        <v>per 100 youth petitioned</v>
      </c>
      <c r="L45" s="57">
        <v>100</v>
      </c>
      <c r="M45" s="57"/>
      <c r="R45" s="49"/>
    </row>
    <row r="46" spans="2:18" ht="15" hidden="1" customHeight="1">
      <c r="B46" s="49" t="s">
        <v>90</v>
      </c>
      <c r="C46" s="49">
        <f>C12/100</f>
        <v>0.4</v>
      </c>
      <c r="D46" s="49">
        <f>E12/100</f>
        <v>0.01</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5.8440000000000003</v>
      </c>
      <c r="D48" s="56">
        <f>D42</f>
        <v>0.41199999999999998</v>
      </c>
      <c r="E48" s="56">
        <f>MAX(C48:D48)</f>
        <v>5.8440000000000003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0.42</v>
      </c>
      <c r="D49" s="49">
        <f t="shared" si="9"/>
        <v>0.1</v>
      </c>
      <c r="E49" s="49">
        <f>MAX(C49:D49)</f>
        <v>0.42</v>
      </c>
      <c r="G49" s="1" t="str">
        <f>G43</f>
        <v>per 100 arrests</v>
      </c>
      <c r="L49" s="58">
        <f>IF(($E43&gt;0),L43,L42)</f>
        <v>100</v>
      </c>
      <c r="M49" s="58"/>
      <c r="N49" s="21"/>
      <c r="O49" s="21"/>
      <c r="P49" s="21"/>
      <c r="Q49" s="21"/>
      <c r="R49" s="21"/>
    </row>
    <row r="50" spans="2:18" ht="15" hidden="1" customHeight="1">
      <c r="B50" s="49" t="str">
        <f t="shared" si="9"/>
        <v>per 100 referrals</v>
      </c>
      <c r="C50" s="49">
        <f t="shared" si="9"/>
        <v>0.73</v>
      </c>
      <c r="D50" s="49">
        <f t="shared" si="9"/>
        <v>7.0000000000000007E-2</v>
      </c>
      <c r="E50" s="49">
        <f>MAX(C50:D50)</f>
        <v>0.73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0.04</v>
      </c>
      <c r="E51" s="49">
        <f>MAX(C51:D51)</f>
        <v>0.53</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0.01</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5.8440000000000003</v>
      </c>
      <c r="D54" s="56">
        <f>D48</f>
        <v>0.41199999999999998</v>
      </c>
      <c r="E54" s="56">
        <f>MAX(C54:D54)</f>
        <v>5.8440000000000003</v>
      </c>
      <c r="G54" s="1" t="str">
        <f>G48</f>
        <v>per 1000 youth</v>
      </c>
      <c r="L54" s="58">
        <f>L48</f>
        <v>1000</v>
      </c>
      <c r="M54" s="58"/>
    </row>
    <row r="55" spans="2:18" ht="15" hidden="1" customHeight="1">
      <c r="B55" s="49" t="str">
        <f t="shared" ref="B55:D56" si="10">IF(($E49&gt;0),B49,B48)</f>
        <v>per 100 arrests</v>
      </c>
      <c r="C55" s="49">
        <f t="shared" si="10"/>
        <v>0.42</v>
      </c>
      <c r="D55" s="49">
        <f t="shared" si="10"/>
        <v>0.1</v>
      </c>
      <c r="E55" s="49">
        <f>MAX(C55:D55)</f>
        <v>0.42</v>
      </c>
      <c r="G55" s="1" t="str">
        <f>G49</f>
        <v>per 100 arrests</v>
      </c>
      <c r="L55" s="58">
        <f>IF(($E49&gt;0),L49,L48)</f>
        <v>100</v>
      </c>
      <c r="M55" s="58"/>
    </row>
    <row r="56" spans="2:18" ht="15" hidden="1" customHeight="1">
      <c r="B56" s="49" t="str">
        <f t="shared" si="10"/>
        <v>per 100 referrals</v>
      </c>
      <c r="C56" s="49">
        <f t="shared" si="10"/>
        <v>0.73</v>
      </c>
      <c r="D56" s="49">
        <f t="shared" si="10"/>
        <v>7.0000000000000007E-2</v>
      </c>
      <c r="E56" s="49">
        <f>MAX(C56:D56)</f>
        <v>0.73</v>
      </c>
      <c r="G56" s="1" t="str">
        <f>G50</f>
        <v>per 100 referrals</v>
      </c>
      <c r="L56" s="58">
        <f>IF(($E50&gt;0),L50,L49)</f>
        <v>100</v>
      </c>
      <c r="M56" s="58"/>
    </row>
    <row r="57" spans="2:18" ht="15" hidden="1" customHeight="1">
      <c r="B57" s="49" t="str">
        <f>IF(($E51&gt;0),B51,B49)</f>
        <v>per 100 youth petitioned</v>
      </c>
      <c r="C57" s="49">
        <f>IF(($E51&gt;0),C51,C50)</f>
        <v>0.53</v>
      </c>
      <c r="D57" s="49">
        <f>IF(($E51&gt;0),D51,D50)</f>
        <v>0.04</v>
      </c>
      <c r="E57" s="49">
        <f>MAX(C57:D57)</f>
        <v>0.53</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0.01</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5.8440000000000003</v>
      </c>
      <c r="D60" s="56">
        <f>D54</f>
        <v>0.41199999999999998</v>
      </c>
      <c r="E60" s="56">
        <f>MAX(C60:D60)</f>
        <v>5.8440000000000003</v>
      </c>
      <c r="G60" s="1" t="str">
        <f>G54</f>
        <v>per 1000 youth</v>
      </c>
      <c r="L60" s="58">
        <f>L54</f>
        <v>1000</v>
      </c>
      <c r="M60" s="58"/>
    </row>
    <row r="61" spans="2:18" ht="15" hidden="1" customHeight="1">
      <c r="B61" s="49" t="str">
        <f t="shared" ref="B61:D62" si="11">IF(($E55&gt;0),B55,B54)</f>
        <v>per 100 arrests</v>
      </c>
      <c r="C61" s="49">
        <f t="shared" si="11"/>
        <v>0.42</v>
      </c>
      <c r="D61" s="49">
        <f t="shared" si="11"/>
        <v>0.1</v>
      </c>
      <c r="E61" s="49">
        <f>MAX(C61:D61)</f>
        <v>0.42</v>
      </c>
      <c r="G61" s="1" t="str">
        <f>G55</f>
        <v>per 100 arrests</v>
      </c>
      <c r="L61" s="58">
        <f>IF(($E55&gt;0),L55,L54)</f>
        <v>100</v>
      </c>
      <c r="M61" s="58"/>
    </row>
    <row r="62" spans="2:18" ht="15" hidden="1" customHeight="1">
      <c r="B62" s="49" t="str">
        <f t="shared" si="11"/>
        <v>per 100 referrals</v>
      </c>
      <c r="C62" s="49">
        <f t="shared" si="11"/>
        <v>0.73</v>
      </c>
      <c r="D62" s="49">
        <f t="shared" si="11"/>
        <v>7.0000000000000007E-2</v>
      </c>
      <c r="E62" s="49">
        <f>MAX(C62:D62)</f>
        <v>0.73</v>
      </c>
      <c r="G62" s="1" t="str">
        <f>G56</f>
        <v>per 100 referrals</v>
      </c>
      <c r="L62" s="58">
        <f>IF(($E56&gt;0),L56,L55)</f>
        <v>100</v>
      </c>
      <c r="M62" s="58"/>
    </row>
    <row r="63" spans="2:18" ht="15" hidden="1" customHeight="1">
      <c r="B63" s="49" t="str">
        <f>IF(($E57&gt;0),B57,B55)</f>
        <v>per 100 youth petitioned</v>
      </c>
      <c r="C63" s="49">
        <f>IF(($E57&gt;0),C57,C56)</f>
        <v>0.53</v>
      </c>
      <c r="D63" s="49">
        <f>IF(($E57&gt;0),D57,D56)</f>
        <v>0.04</v>
      </c>
      <c r="E63" s="49">
        <f>MAX(C63:D63)</f>
        <v>0.53</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0.01</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5.8440000000000003</v>
      </c>
      <c r="D66" s="56">
        <f>D60</f>
        <v>0.41199999999999998</v>
      </c>
      <c r="E66" s="56">
        <f>MAX(C66:D66)</f>
        <v>5.8440000000000003</v>
      </c>
      <c r="G66" s="1" t="str">
        <f>G60</f>
        <v>per 1000 youth</v>
      </c>
      <c r="L66" s="58">
        <f>L60</f>
        <v>1000</v>
      </c>
      <c r="M66" s="58">
        <f>IF((B66=G66),1,2)</f>
        <v>1</v>
      </c>
    </row>
    <row r="67" spans="2:13" ht="15" hidden="1" customHeight="1">
      <c r="B67" s="49" t="str">
        <f t="shared" ref="B67:D68" si="12">IF(($E61&gt;0),B61,B60)</f>
        <v>per 100 arrests</v>
      </c>
      <c r="C67" s="49">
        <f t="shared" si="12"/>
        <v>0.42</v>
      </c>
      <c r="D67" s="49">
        <f t="shared" si="12"/>
        <v>0.1</v>
      </c>
      <c r="E67" s="49">
        <f>MAX(C67:D67)</f>
        <v>0.42</v>
      </c>
      <c r="G67" s="1" t="str">
        <f>G61</f>
        <v>per 100 arrests</v>
      </c>
      <c r="L67" s="58">
        <f>IF(($E61&gt;0),L61,L60)</f>
        <v>100</v>
      </c>
      <c r="M67" s="58">
        <f>IF((B67=G67),1,2)</f>
        <v>1</v>
      </c>
    </row>
    <row r="68" spans="2:13" ht="15" hidden="1" customHeight="1">
      <c r="B68" s="49" t="str">
        <f t="shared" si="12"/>
        <v>per 100 referrals</v>
      </c>
      <c r="C68" s="49">
        <f t="shared" si="12"/>
        <v>0.73</v>
      </c>
      <c r="D68" s="49">
        <f t="shared" si="12"/>
        <v>7.0000000000000007E-2</v>
      </c>
      <c r="E68" s="49">
        <f>MAX(C68:D68)</f>
        <v>0.73</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0.04</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0.01</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5844</v>
      </c>
      <c r="D6" s="34"/>
      <c r="E6" s="33">
        <f>'Data Entry'!F6</f>
        <v>71</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42</v>
      </c>
      <c r="D7" s="34">
        <f>IF((AND(C66&gt;0,C7&gt;0)),(C7/C66),0)</f>
        <v>7.1868583162217652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71</v>
      </c>
      <c r="P7" s="42">
        <f t="shared" ref="P7:P15" si="4">C7</f>
        <v>42</v>
      </c>
      <c r="Q7" s="42">
        <f>C6-C7</f>
        <v>5802</v>
      </c>
      <c r="R7" s="42">
        <f t="shared" ref="R7:R15" si="5">SUM(N7:Q7)</f>
        <v>5915</v>
      </c>
      <c r="S7" s="30">
        <f t="shared" ref="S7:S15" si="6">R7*((((N7*Q7)-(O7*P7))^2))</f>
        <v>52598096460</v>
      </c>
      <c r="T7" s="30">
        <f t="shared" ref="T7:T15" si="7">(N7+O7)*(P7+Q7)*(N7+P7)*(O7+Q7)</f>
        <v>102347643384</v>
      </c>
      <c r="U7" s="31">
        <f t="shared" ref="U7:U15" si="8">IF((S7&gt;0),S7/T7,"- -")</f>
        <v>0.51391604848834904</v>
      </c>
    </row>
    <row r="8" spans="2:21" ht="18" customHeight="1">
      <c r="B8" s="32" t="str">
        <f>'Data Entry'!A8</f>
        <v>3. Refer to Juvenile Court</v>
      </c>
      <c r="C8" s="33">
        <f>'Data Entry'!C8</f>
        <v>73</v>
      </c>
      <c r="D8" s="34">
        <f>IF((AND(C67&gt;0,C8&gt;0)),(C8/C67),0)</f>
        <v>173.80952380952382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73</v>
      </c>
      <c r="Q8" s="42">
        <f>(C$67*L67)-C8</f>
        <v>-31</v>
      </c>
      <c r="R8" s="42">
        <f t="shared" si="5"/>
        <v>42.05</v>
      </c>
      <c r="S8" s="30">
        <f t="shared" si="6"/>
        <v>560.21112500000015</v>
      </c>
      <c r="T8" s="30">
        <f t="shared" si="7"/>
        <v>-4744.6350000000002</v>
      </c>
      <c r="U8" s="31">
        <f t="shared" si="8"/>
        <v>-0.1180725440418494</v>
      </c>
    </row>
    <row r="9" spans="2:21" ht="18" customHeight="1">
      <c r="B9" s="32" t="str">
        <f>'Data Entry'!A9</f>
        <v xml:space="preserve">4. Cases Diverted </v>
      </c>
      <c r="C9" s="33">
        <f>'Data Entry'!C9</f>
        <v>2</v>
      </c>
      <c r="D9" s="34">
        <f>IF((AND(C68&gt;0,C9&gt;0)),((C9/C68)),0)</f>
        <v>2.7397260273972601</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71</v>
      </c>
      <c r="R9" s="42">
        <f t="shared" si="5"/>
        <v>73</v>
      </c>
      <c r="S9" s="30">
        <f t="shared" si="6"/>
        <v>0</v>
      </c>
      <c r="T9" s="30">
        <f t="shared" si="7"/>
        <v>0</v>
      </c>
      <c r="U9" s="31" t="str">
        <f t="shared" si="8"/>
        <v>- -</v>
      </c>
    </row>
    <row r="10" spans="2:21" ht="18" customHeight="1">
      <c r="B10" s="32" t="str">
        <f>'Data Entry'!A10</f>
        <v>5. Cases Involving Secure Detention</v>
      </c>
      <c r="C10" s="33">
        <f>'Data Entry'!C10</f>
        <v>15</v>
      </c>
      <c r="D10" s="34">
        <f>IF(((AND(C68&gt;0,C10&gt;0))),(C10/(C68)),0)</f>
        <v>20.547945205479454</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15</v>
      </c>
      <c r="Q10" s="42">
        <f>(C$68*L68)-C10</f>
        <v>58</v>
      </c>
      <c r="R10" s="42">
        <f t="shared" si="5"/>
        <v>73</v>
      </c>
      <c r="S10" s="30">
        <f t="shared" si="6"/>
        <v>0</v>
      </c>
      <c r="T10" s="30">
        <f t="shared" si="7"/>
        <v>0</v>
      </c>
      <c r="U10" s="31" t="str">
        <f t="shared" si="8"/>
        <v>- -</v>
      </c>
    </row>
    <row r="11" spans="2:21" ht="18" customHeight="1">
      <c r="B11" s="32" t="str">
        <f>'Data Entry'!A11</f>
        <v>6. Cases Petitioned (Charge Filed)</v>
      </c>
      <c r="C11" s="33">
        <f>'Data Entry'!C11</f>
        <v>53</v>
      </c>
      <c r="D11" s="34">
        <f>IF(((AND(C68&gt;0,C11&gt;0))),(C11/(C68)),0)</f>
        <v>72.602739726027394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53</v>
      </c>
      <c r="Q11" s="42">
        <f>(C$68*L68)-C11</f>
        <v>20</v>
      </c>
      <c r="R11" s="42">
        <f t="shared" si="5"/>
        <v>73</v>
      </c>
      <c r="S11" s="30">
        <f t="shared" si="6"/>
        <v>0</v>
      </c>
      <c r="T11" s="30">
        <f t="shared" si="7"/>
        <v>0</v>
      </c>
      <c r="U11" s="31" t="str">
        <f t="shared" si="8"/>
        <v>- -</v>
      </c>
    </row>
    <row r="12" spans="2:21" ht="18" customHeight="1">
      <c r="B12" s="32" t="str">
        <f>'Data Entry'!A12</f>
        <v>7. Cases Resulting in Delinquent Findings</v>
      </c>
      <c r="C12" s="33">
        <f>'Data Entry'!C12</f>
        <v>40</v>
      </c>
      <c r="D12" s="34">
        <f>IF(((AND(C69&gt;0,C12&gt;0))),(C12/(C69)),0)</f>
        <v>75.471698113207538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40</v>
      </c>
      <c r="Q12" s="42">
        <f>(C69*L69)-C12</f>
        <v>13</v>
      </c>
      <c r="R12" s="42">
        <f t="shared" si="5"/>
        <v>53</v>
      </c>
      <c r="S12" s="30">
        <f t="shared" si="6"/>
        <v>0</v>
      </c>
      <c r="T12" s="30">
        <f t="shared" si="7"/>
        <v>0</v>
      </c>
      <c r="U12" s="31" t="str">
        <f t="shared" si="8"/>
        <v>- -</v>
      </c>
    </row>
    <row r="13" spans="2:21" ht="18" customHeight="1">
      <c r="B13" s="32" t="str">
        <f>'Data Entry'!A13</f>
        <v>8. Cases Resulting in Probation Placement</v>
      </c>
      <c r="C13" s="33">
        <f>'Data Entry'!C13</f>
        <v>72</v>
      </c>
      <c r="D13" s="34">
        <f>IF(((AND(C70&gt;0,C13&gt;0))),(C13/(C70)),0)</f>
        <v>180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72</v>
      </c>
      <c r="Q13" s="42">
        <f>(C70*L70)-C13</f>
        <v>-32</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39</v>
      </c>
      <c r="D14" s="34">
        <f>IF(((AND(C70&gt;0,C14&gt;0))), ((C14/(C70))),0)</f>
        <v>97.5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39</v>
      </c>
      <c r="Q14" s="42">
        <f>(C70*L70)-C14</f>
        <v>1</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5.8440000000000003</v>
      </c>
      <c r="D42" s="56">
        <f>E6/1000</f>
        <v>7.0999999999999994E-2</v>
      </c>
      <c r="E42" s="56">
        <f>MAX(C42:D42)</f>
        <v>5.8440000000000003</v>
      </c>
      <c r="G42" s="1" t="str">
        <f>B42</f>
        <v>per 1000 youth</v>
      </c>
      <c r="L42" s="57">
        <v>1000</v>
      </c>
      <c r="M42" s="57"/>
      <c r="R42" s="49"/>
    </row>
    <row r="43" spans="2:18" ht="15" hidden="1" customHeight="1">
      <c r="B43" s="49" t="s">
        <v>87</v>
      </c>
      <c r="C43" s="56">
        <f>C7/100</f>
        <v>0.42</v>
      </c>
      <c r="D43" s="56">
        <f>E7/100</f>
        <v>0</v>
      </c>
      <c r="E43" s="56">
        <f>MAX(C43:D43,0)</f>
        <v>0.42</v>
      </c>
      <c r="G43" s="1" t="str">
        <f>B43</f>
        <v>per 100 arrests</v>
      </c>
      <c r="L43" s="57">
        <v>100</v>
      </c>
      <c r="M43" s="57"/>
      <c r="R43" s="49"/>
    </row>
    <row r="44" spans="2:18" ht="15" hidden="1" customHeight="1">
      <c r="B44" s="49" t="s">
        <v>88</v>
      </c>
      <c r="C44" s="56">
        <f>C8/100</f>
        <v>0.73</v>
      </c>
      <c r="D44" s="56">
        <f>E8/100</f>
        <v>0</v>
      </c>
      <c r="E44" s="56">
        <f>MAX(C44:D44,0)</f>
        <v>0.73</v>
      </c>
      <c r="G44" s="1" t="str">
        <f>B44</f>
        <v>per 100 referrals</v>
      </c>
      <c r="L44" s="57">
        <v>100</v>
      </c>
      <c r="M44" s="57"/>
      <c r="R44" s="49"/>
    </row>
    <row r="45" spans="2:18" ht="15" hidden="1" customHeight="1">
      <c r="B45" s="49" t="s">
        <v>89</v>
      </c>
      <c r="C45" s="49">
        <f>C11/100</f>
        <v>0.53</v>
      </c>
      <c r="D45" s="49">
        <f>E11/100</f>
        <v>0</v>
      </c>
      <c r="E45" s="56">
        <f>MAX(C45:D45,0)</f>
        <v>0.53</v>
      </c>
      <c r="G45" s="1" t="str">
        <f>B45</f>
        <v>per 100 youth petitioned</v>
      </c>
      <c r="L45" s="57">
        <v>100</v>
      </c>
      <c r="M45" s="57"/>
      <c r="R45" s="49"/>
    </row>
    <row r="46" spans="2:18" ht="15" hidden="1" customHeight="1">
      <c r="B46" s="49" t="s">
        <v>90</v>
      </c>
      <c r="C46" s="49">
        <f>C12/100</f>
        <v>0.4</v>
      </c>
      <c r="D46" s="49">
        <f>E12/100</f>
        <v>0</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5.8440000000000003</v>
      </c>
      <c r="D48" s="56">
        <f>D42</f>
        <v>7.0999999999999994E-2</v>
      </c>
      <c r="E48" s="56">
        <f>MAX(C48:D48)</f>
        <v>5.8440000000000003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0.42</v>
      </c>
      <c r="D49" s="49">
        <f t="shared" si="9"/>
        <v>0</v>
      </c>
      <c r="E49" s="49">
        <f>MAX(C49:D49)</f>
        <v>0.42</v>
      </c>
      <c r="G49" s="1" t="str">
        <f>G43</f>
        <v>per 100 arrests</v>
      </c>
      <c r="L49" s="58">
        <f>IF(($E43&gt;0),L43,L42)</f>
        <v>100</v>
      </c>
      <c r="M49" s="58"/>
      <c r="N49" s="21"/>
      <c r="O49" s="21"/>
      <c r="P49" s="21"/>
      <c r="Q49" s="21"/>
      <c r="R49" s="21"/>
    </row>
    <row r="50" spans="2:18" ht="15" hidden="1" customHeight="1">
      <c r="B50" s="49" t="str">
        <f t="shared" si="9"/>
        <v>per 100 referrals</v>
      </c>
      <c r="C50" s="49">
        <f t="shared" si="9"/>
        <v>0.73</v>
      </c>
      <c r="D50" s="49">
        <f t="shared" si="9"/>
        <v>0</v>
      </c>
      <c r="E50" s="49">
        <f>MAX(C50:D50)</f>
        <v>0.73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v>
      </c>
      <c r="E51" s="49">
        <f>MAX(C51:D51)</f>
        <v>0.53</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5.8440000000000003</v>
      </c>
      <c r="D54" s="56">
        <f>D48</f>
        <v>7.0999999999999994E-2</v>
      </c>
      <c r="E54" s="56">
        <f>MAX(C54:D54)</f>
        <v>5.8440000000000003</v>
      </c>
      <c r="G54" s="1" t="str">
        <f>G48</f>
        <v>per 1000 youth</v>
      </c>
      <c r="L54" s="58">
        <f>L48</f>
        <v>1000</v>
      </c>
      <c r="M54" s="58"/>
    </row>
    <row r="55" spans="2:18" ht="15" hidden="1" customHeight="1">
      <c r="B55" s="49" t="str">
        <f t="shared" ref="B55:D56" si="10">IF(($E49&gt;0),B49,B48)</f>
        <v>per 100 arrests</v>
      </c>
      <c r="C55" s="49">
        <f t="shared" si="10"/>
        <v>0.42</v>
      </c>
      <c r="D55" s="49">
        <f t="shared" si="10"/>
        <v>0</v>
      </c>
      <c r="E55" s="49">
        <f>MAX(C55:D55)</f>
        <v>0.42</v>
      </c>
      <c r="G55" s="1" t="str">
        <f>G49</f>
        <v>per 100 arrests</v>
      </c>
      <c r="L55" s="58">
        <f>IF(($E49&gt;0),L49,L48)</f>
        <v>100</v>
      </c>
      <c r="M55" s="58"/>
    </row>
    <row r="56" spans="2:18" ht="15" hidden="1" customHeight="1">
      <c r="B56" s="49" t="str">
        <f t="shared" si="10"/>
        <v>per 100 referrals</v>
      </c>
      <c r="C56" s="49">
        <f t="shared" si="10"/>
        <v>0.73</v>
      </c>
      <c r="D56" s="49">
        <f t="shared" si="10"/>
        <v>0</v>
      </c>
      <c r="E56" s="49">
        <f>MAX(C56:D56)</f>
        <v>0.73</v>
      </c>
      <c r="G56" s="1" t="str">
        <f>G50</f>
        <v>per 100 referrals</v>
      </c>
      <c r="L56" s="58">
        <f>IF(($E50&gt;0),L50,L49)</f>
        <v>100</v>
      </c>
      <c r="M56" s="58"/>
    </row>
    <row r="57" spans="2:18" ht="15" hidden="1" customHeight="1">
      <c r="B57" s="49" t="str">
        <f>IF(($E51&gt;0),B51,B49)</f>
        <v>per 100 youth petitioned</v>
      </c>
      <c r="C57" s="49">
        <f>IF(($E51&gt;0),C51,C50)</f>
        <v>0.53</v>
      </c>
      <c r="D57" s="49">
        <f>IF(($E51&gt;0),D51,D50)</f>
        <v>0</v>
      </c>
      <c r="E57" s="49">
        <f>MAX(C57:D57)</f>
        <v>0.53</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5.8440000000000003</v>
      </c>
      <c r="D60" s="56">
        <f>D54</f>
        <v>7.0999999999999994E-2</v>
      </c>
      <c r="E60" s="56">
        <f>MAX(C60:D60)</f>
        <v>5.8440000000000003</v>
      </c>
      <c r="G60" s="1" t="str">
        <f>G54</f>
        <v>per 1000 youth</v>
      </c>
      <c r="L60" s="58">
        <f>L54</f>
        <v>1000</v>
      </c>
      <c r="M60" s="58"/>
    </row>
    <row r="61" spans="2:18" ht="15" hidden="1" customHeight="1">
      <c r="B61" s="49" t="str">
        <f t="shared" ref="B61:D62" si="11">IF(($E55&gt;0),B55,B54)</f>
        <v>per 100 arrests</v>
      </c>
      <c r="C61" s="49">
        <f t="shared" si="11"/>
        <v>0.42</v>
      </c>
      <c r="D61" s="49">
        <f t="shared" si="11"/>
        <v>0</v>
      </c>
      <c r="E61" s="49">
        <f>MAX(C61:D61)</f>
        <v>0.42</v>
      </c>
      <c r="G61" s="1" t="str">
        <f>G55</f>
        <v>per 100 arrests</v>
      </c>
      <c r="L61" s="58">
        <f>IF(($E55&gt;0),L55,L54)</f>
        <v>100</v>
      </c>
      <c r="M61" s="58"/>
    </row>
    <row r="62" spans="2:18" ht="15" hidden="1" customHeight="1">
      <c r="B62" s="49" t="str">
        <f t="shared" si="11"/>
        <v>per 100 referrals</v>
      </c>
      <c r="C62" s="49">
        <f t="shared" si="11"/>
        <v>0.73</v>
      </c>
      <c r="D62" s="49">
        <f t="shared" si="11"/>
        <v>0</v>
      </c>
      <c r="E62" s="49">
        <f>MAX(C62:D62)</f>
        <v>0.73</v>
      </c>
      <c r="G62" s="1" t="str">
        <f>G56</f>
        <v>per 100 referrals</v>
      </c>
      <c r="L62" s="58">
        <f>IF(($E56&gt;0),L56,L55)</f>
        <v>100</v>
      </c>
      <c r="M62" s="58"/>
    </row>
    <row r="63" spans="2:18" ht="15" hidden="1" customHeight="1">
      <c r="B63" s="49" t="str">
        <f>IF(($E57&gt;0),B57,B55)</f>
        <v>per 100 youth petitioned</v>
      </c>
      <c r="C63" s="49">
        <f>IF(($E57&gt;0),C57,C56)</f>
        <v>0.53</v>
      </c>
      <c r="D63" s="49">
        <f>IF(($E57&gt;0),D57,D56)</f>
        <v>0</v>
      </c>
      <c r="E63" s="49">
        <f>MAX(C63:D63)</f>
        <v>0.53</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5.8440000000000003</v>
      </c>
      <c r="D66" s="56">
        <f>D60</f>
        <v>7.0999999999999994E-2</v>
      </c>
      <c r="E66" s="56">
        <f>MAX(C66:D66)</f>
        <v>5.8440000000000003</v>
      </c>
      <c r="G66" s="1" t="str">
        <f>G60</f>
        <v>per 1000 youth</v>
      </c>
      <c r="L66" s="58">
        <f>L60</f>
        <v>1000</v>
      </c>
      <c r="M66" s="58">
        <f>IF((B66=G66),1,2)</f>
        <v>1</v>
      </c>
    </row>
    <row r="67" spans="2:13" ht="15" hidden="1" customHeight="1">
      <c r="B67" s="49" t="str">
        <f t="shared" ref="B67:D68" si="12">IF(($E61&gt;0),B61,B60)</f>
        <v>per 100 arrests</v>
      </c>
      <c r="C67" s="49">
        <f t="shared" si="12"/>
        <v>0.42</v>
      </c>
      <c r="D67" s="49">
        <f t="shared" si="12"/>
        <v>0</v>
      </c>
      <c r="E67" s="49">
        <f>MAX(C67:D67)</f>
        <v>0.42</v>
      </c>
      <c r="G67" s="1" t="str">
        <f>G61</f>
        <v>per 100 arrests</v>
      </c>
      <c r="L67" s="58">
        <f>IF(($E61&gt;0),L61,L60)</f>
        <v>100</v>
      </c>
      <c r="M67" s="58">
        <f>IF((B67=G67),1,2)</f>
        <v>1</v>
      </c>
    </row>
    <row r="68" spans="2:13" ht="15" hidden="1" customHeight="1">
      <c r="B68" s="49" t="str">
        <f t="shared" si="12"/>
        <v>per 100 referrals</v>
      </c>
      <c r="C68" s="49">
        <f t="shared" si="12"/>
        <v>0.73</v>
      </c>
      <c r="D68" s="49">
        <f t="shared" si="12"/>
        <v>0</v>
      </c>
      <c r="E68" s="49">
        <f>MAX(C68:D68)</f>
        <v>0.73</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5844</v>
      </c>
      <c r="D6" s="34"/>
      <c r="E6" s="33">
        <f>'Data Entry'!E6</f>
        <v>1566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42</v>
      </c>
      <c r="D7" s="34">
        <f>IF((AND(C66&gt;0,C7&gt;0)),(C7/C66),0)</f>
        <v>7.1868583162217652</v>
      </c>
      <c r="E7" s="33">
        <f>'Data Entry'!E7</f>
        <v>3</v>
      </c>
      <c r="F7" s="34">
        <f>IF((AND($E$7&gt;0,$D$66&gt;0)),($E$7/$D$66),0)</f>
        <v>1.9157088122605364</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3</v>
      </c>
      <c r="O7" s="42">
        <f>E6-E7</f>
        <v>1563</v>
      </c>
      <c r="P7" s="42">
        <f t="shared" ref="P7:P15" si="4">C7</f>
        <v>42</v>
      </c>
      <c r="Q7" s="42">
        <f>C6-C7</f>
        <v>5802</v>
      </c>
      <c r="R7" s="42">
        <f t="shared" ref="R7:R15" si="5">SUM(N7:Q7)</f>
        <v>7410</v>
      </c>
      <c r="S7" s="30">
        <f t="shared" ref="S7:S15" si="6">R7*((((N7*Q7)-(O7*P7))^2))</f>
        <v>17243793216000</v>
      </c>
      <c r="T7" s="30">
        <f t="shared" ref="T7:T15" si="7">(N7+O7)*(P7+Q7)*(N7+P7)*(O7+Q7)</f>
        <v>3033103498200</v>
      </c>
      <c r="U7" s="31">
        <f t="shared" ref="U7:U15" si="8">IF((S7&gt;0),S7/T7,"- -")</f>
        <v>5.6851977607204489</v>
      </c>
    </row>
    <row r="8" spans="2:21" ht="18" customHeight="1">
      <c r="B8" s="32" t="str">
        <f>'Data Entry'!A8</f>
        <v>3. Refer to Juvenile Court</v>
      </c>
      <c r="C8" s="33">
        <f>'Data Entry'!C8</f>
        <v>73</v>
      </c>
      <c r="D8" s="34">
        <f>IF((AND(C67&gt;0,C8&gt;0)),(C8/C67),0)</f>
        <v>173.80952380952382</v>
      </c>
      <c r="E8" s="33">
        <f>'Data Entry'!E8</f>
        <v>5</v>
      </c>
      <c r="F8" s="34">
        <f>IF((AND($E$8&gt;0,$D$67&gt;0)),($E8/$D67),0)</f>
        <v>166.66666666666669</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5</v>
      </c>
      <c r="O8" s="42">
        <f>((D67*L67)-E8)+0.05</f>
        <v>-1.95</v>
      </c>
      <c r="P8" s="42">
        <f t="shared" si="4"/>
        <v>73</v>
      </c>
      <c r="Q8" s="42">
        <f>(C$67*L67)-C8</f>
        <v>-31</v>
      </c>
      <c r="R8" s="42">
        <f t="shared" si="5"/>
        <v>45.05</v>
      </c>
      <c r="S8" s="30">
        <f t="shared" si="6"/>
        <v>7209.013625000006</v>
      </c>
      <c r="T8" s="30">
        <f t="shared" si="7"/>
        <v>-329229.81</v>
      </c>
      <c r="U8" s="31">
        <f t="shared" si="8"/>
        <v>-2.1896600508319725E-2</v>
      </c>
    </row>
    <row r="9" spans="2:21" ht="18" customHeight="1">
      <c r="B9" s="32" t="str">
        <f>'Data Entry'!A9</f>
        <v xml:space="preserve">4. Cases Diverted </v>
      </c>
      <c r="C9" s="33">
        <f>'Data Entry'!C9</f>
        <v>2</v>
      </c>
      <c r="D9" s="34">
        <f>IF((AND(C68&gt;0,C9&gt;0)),((C9/C68)),0)</f>
        <v>2.7397260273972601</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5</v>
      </c>
      <c r="P9" s="42">
        <f t="shared" si="4"/>
        <v>2</v>
      </c>
      <c r="Q9" s="42">
        <f>(C$68*L68)-C9</f>
        <v>71</v>
      </c>
      <c r="R9" s="42">
        <f t="shared" si="5"/>
        <v>78</v>
      </c>
      <c r="S9" s="30">
        <f t="shared" si="6"/>
        <v>7800</v>
      </c>
      <c r="T9" s="30">
        <f t="shared" si="7"/>
        <v>55480</v>
      </c>
      <c r="U9" s="31">
        <f t="shared" si="8"/>
        <v>0.14059120403749098</v>
      </c>
    </row>
    <row r="10" spans="2:21" ht="18" customHeight="1">
      <c r="B10" s="32" t="str">
        <f>'Data Entry'!A10</f>
        <v>5. Cases Involving Secure Detention</v>
      </c>
      <c r="C10" s="33">
        <f>'Data Entry'!C10</f>
        <v>15</v>
      </c>
      <c r="D10" s="34">
        <f>IF(((AND(C68&gt;0,C10&gt;0))),(C10/(C68)),0)</f>
        <v>20.547945205479454</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5</v>
      </c>
      <c r="P10" s="42">
        <f t="shared" si="4"/>
        <v>15</v>
      </c>
      <c r="Q10" s="42">
        <f>(C$68*L68)-C10</f>
        <v>58</v>
      </c>
      <c r="R10" s="42">
        <f t="shared" si="5"/>
        <v>78</v>
      </c>
      <c r="S10" s="30">
        <f t="shared" si="6"/>
        <v>438750</v>
      </c>
      <c r="T10" s="30">
        <f t="shared" si="7"/>
        <v>344925</v>
      </c>
      <c r="U10" s="31">
        <f t="shared" si="8"/>
        <v>1.2720156555772995</v>
      </c>
    </row>
    <row r="11" spans="2:21" ht="18" customHeight="1">
      <c r="B11" s="32" t="str">
        <f>'Data Entry'!A11</f>
        <v>6. Cases Petitioned (Charge Filed)</v>
      </c>
      <c r="C11" s="33">
        <f>'Data Entry'!C11</f>
        <v>53</v>
      </c>
      <c r="D11" s="34">
        <f>IF(((AND(C68&gt;0,C11&gt;0))),(C11/(C68)),0)</f>
        <v>72.602739726027394</v>
      </c>
      <c r="E11" s="33">
        <f>'Data Entry'!E11</f>
        <v>3</v>
      </c>
      <c r="F11" s="34">
        <f>IF(((AND($E$11&gt;0,$D$68&gt;0))),($E$11/($D$68)),0)</f>
        <v>60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2</v>
      </c>
      <c r="P11" s="42">
        <f t="shared" si="4"/>
        <v>53</v>
      </c>
      <c r="Q11" s="42">
        <f>(C$68*L68)-C11</f>
        <v>20</v>
      </c>
      <c r="R11" s="42">
        <f t="shared" si="5"/>
        <v>78</v>
      </c>
      <c r="S11" s="30">
        <f t="shared" si="6"/>
        <v>165048</v>
      </c>
      <c r="T11" s="30">
        <f t="shared" si="7"/>
        <v>449680</v>
      </c>
      <c r="U11" s="31">
        <f t="shared" si="8"/>
        <v>0.36703433552748621</v>
      </c>
    </row>
    <row r="12" spans="2:21" ht="18" customHeight="1">
      <c r="B12" s="32" t="str">
        <f>'Data Entry'!A12</f>
        <v>7. Cases Resulting in Delinquent Findings</v>
      </c>
      <c r="C12" s="33">
        <f>'Data Entry'!C12</f>
        <v>40</v>
      </c>
      <c r="D12" s="34">
        <f>IF(((AND(C69&gt;0,C12&gt;0))),(C12/(C69)),0)</f>
        <v>75.471698113207538</v>
      </c>
      <c r="E12" s="33">
        <f>'Data Entry'!E12</f>
        <v>1</v>
      </c>
      <c r="F12" s="34">
        <f>IF(((AND($D$69&gt;0,$E$12&gt;0))),(E12/(D69)),0)</f>
        <v>33.333333333333336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2</v>
      </c>
      <c r="P12" s="42">
        <f t="shared" si="4"/>
        <v>40</v>
      </c>
      <c r="Q12" s="42">
        <f>(C69*L69)-C12</f>
        <v>13</v>
      </c>
      <c r="R12" s="42">
        <f t="shared" si="5"/>
        <v>56</v>
      </c>
      <c r="S12" s="30">
        <f t="shared" si="6"/>
        <v>251384</v>
      </c>
      <c r="T12" s="30">
        <f t="shared" si="7"/>
        <v>97785</v>
      </c>
      <c r="U12" s="31">
        <f t="shared" si="8"/>
        <v>2.5707828399038708</v>
      </c>
    </row>
    <row r="13" spans="2:21" ht="18" customHeight="1">
      <c r="B13" s="32" t="str">
        <f>'Data Entry'!A13</f>
        <v>8. Cases Resulting in Probation Placement</v>
      </c>
      <c r="C13" s="33">
        <f>'Data Entry'!C13</f>
        <v>72</v>
      </c>
      <c r="D13" s="34">
        <f>IF(((AND(C70&gt;0,C13&gt;0))),(C13/(C70)),0)</f>
        <v>180</v>
      </c>
      <c r="E13" s="33">
        <f>'Data Entry'!E13</f>
        <v>5</v>
      </c>
      <c r="F13" s="34">
        <f>IF(((AND($D$70&gt;0,$E$13&gt;0))),($E$13/($D$70)),0)</f>
        <v>500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5</v>
      </c>
      <c r="O13" s="42">
        <f>(D70*L70)-E13</f>
        <v>-4</v>
      </c>
      <c r="P13" s="42">
        <f t="shared" si="4"/>
        <v>72</v>
      </c>
      <c r="Q13" s="42">
        <f>(C70*L70)-C13</f>
        <v>-32</v>
      </c>
      <c r="R13" s="42">
        <f t="shared" si="5"/>
        <v>41</v>
      </c>
      <c r="S13" s="30">
        <f t="shared" si="6"/>
        <v>671744</v>
      </c>
      <c r="T13" s="30">
        <f t="shared" si="7"/>
        <v>-110880</v>
      </c>
      <c r="U13" s="31">
        <f t="shared" si="8"/>
        <v>-6.0582972582972587</v>
      </c>
    </row>
    <row r="14" spans="2:21" ht="30.75" customHeight="1">
      <c r="B14" s="32" t="str">
        <f>'Data Entry'!A14</f>
        <v xml:space="preserve">9. Cases Resulting in Confinement in Secure Juvenile Correctional Facilities </v>
      </c>
      <c r="C14" s="33">
        <f>'Data Entry'!C14</f>
        <v>39</v>
      </c>
      <c r="D14" s="34">
        <f>IF(((AND(C70&gt;0,C14&gt;0))), ((C14/(C70))),0)</f>
        <v>97.5</v>
      </c>
      <c r="E14" s="33">
        <f>'Data Entry'!E14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1</v>
      </c>
      <c r="P14" s="42">
        <f t="shared" si="4"/>
        <v>39</v>
      </c>
      <c r="Q14" s="42">
        <f>(C70*L70)-C14</f>
        <v>1</v>
      </c>
      <c r="R14" s="42">
        <f t="shared" si="5"/>
        <v>41</v>
      </c>
      <c r="S14" s="30">
        <f t="shared" si="6"/>
        <v>62361</v>
      </c>
      <c r="T14" s="30">
        <f t="shared" si="7"/>
        <v>3120</v>
      </c>
      <c r="U14" s="31">
        <f t="shared" si="8"/>
        <v>19.987500000000001</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53</v>
      </c>
      <c r="R15" s="42">
        <f t="shared" si="5"/>
        <v>56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5.8440000000000003</v>
      </c>
      <c r="D42" s="56">
        <f>E6/1000</f>
        <v>1.5660000000000001</v>
      </c>
      <c r="E42" s="56">
        <f>MAX(C42:D42)</f>
        <v>5.8440000000000003</v>
      </c>
      <c r="G42" s="1" t="str">
        <f>B42</f>
        <v>per 1000 youth</v>
      </c>
      <c r="L42" s="57">
        <v>1000</v>
      </c>
      <c r="M42" s="57"/>
      <c r="R42" s="49"/>
    </row>
    <row r="43" spans="2:18" ht="15" hidden="1" customHeight="1">
      <c r="B43" s="49" t="s">
        <v>87</v>
      </c>
      <c r="C43" s="56">
        <f>C7/100</f>
        <v>0.42</v>
      </c>
      <c r="D43" s="56">
        <f>E7/100</f>
        <v>0.03</v>
      </c>
      <c r="E43" s="56">
        <f>MAX(C43:D43,0)</f>
        <v>0.42</v>
      </c>
      <c r="G43" s="1" t="str">
        <f>B43</f>
        <v>per 100 arrests</v>
      </c>
      <c r="L43" s="57">
        <v>100</v>
      </c>
      <c r="M43" s="57"/>
      <c r="R43" s="49"/>
    </row>
    <row r="44" spans="2:18" ht="15" hidden="1" customHeight="1">
      <c r="B44" s="49" t="s">
        <v>88</v>
      </c>
      <c r="C44" s="56">
        <f>C8/100</f>
        <v>0.73</v>
      </c>
      <c r="D44" s="56">
        <f>E8/100</f>
        <v>0.05</v>
      </c>
      <c r="E44" s="56">
        <f>MAX(C44:D44,0)</f>
        <v>0.73</v>
      </c>
      <c r="G44" s="1" t="str">
        <f>B44</f>
        <v>per 100 referrals</v>
      </c>
      <c r="L44" s="57">
        <v>100</v>
      </c>
      <c r="M44" s="57"/>
      <c r="R44" s="49"/>
    </row>
    <row r="45" spans="2:18" ht="15" hidden="1" customHeight="1">
      <c r="B45" s="49" t="s">
        <v>89</v>
      </c>
      <c r="C45" s="49">
        <f>C11/100</f>
        <v>0.53</v>
      </c>
      <c r="D45" s="49">
        <f>E11/100</f>
        <v>0.03</v>
      </c>
      <c r="E45" s="56">
        <f>MAX(C45:D45,0)</f>
        <v>0.53</v>
      </c>
      <c r="G45" s="1" t="str">
        <f>B45</f>
        <v>per 100 youth petitioned</v>
      </c>
      <c r="L45" s="57">
        <v>100</v>
      </c>
      <c r="M45" s="57"/>
      <c r="R45" s="49"/>
    </row>
    <row r="46" spans="2:18" ht="15" hidden="1" customHeight="1">
      <c r="B46" s="49" t="s">
        <v>90</v>
      </c>
      <c r="C46" s="49">
        <f>C12/100</f>
        <v>0.4</v>
      </c>
      <c r="D46" s="49">
        <f>E12/100</f>
        <v>0.01</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5.8440000000000003</v>
      </c>
      <c r="D48" s="56">
        <f>D42</f>
        <v>1.5660000000000001</v>
      </c>
      <c r="E48" s="56">
        <f>MAX(C48:D48)</f>
        <v>5.8440000000000003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0.42</v>
      </c>
      <c r="D49" s="49">
        <f t="shared" si="9"/>
        <v>0.03</v>
      </c>
      <c r="E49" s="49">
        <f>MAX(C49:D49)</f>
        <v>0.42</v>
      </c>
      <c r="G49" s="1" t="str">
        <f>G43</f>
        <v>per 100 arrests</v>
      </c>
      <c r="L49" s="58">
        <f>IF(($E43&gt;0),L43,L42)</f>
        <v>100</v>
      </c>
      <c r="M49" s="58"/>
      <c r="N49" s="21"/>
      <c r="O49" s="21"/>
      <c r="P49" s="21"/>
      <c r="Q49" s="21"/>
      <c r="R49" s="21"/>
    </row>
    <row r="50" spans="2:18" ht="15" hidden="1" customHeight="1">
      <c r="B50" s="49" t="str">
        <f t="shared" si="9"/>
        <v>per 100 referrals</v>
      </c>
      <c r="C50" s="49">
        <f t="shared" si="9"/>
        <v>0.73</v>
      </c>
      <c r="D50" s="49">
        <f t="shared" si="9"/>
        <v>0.05</v>
      </c>
      <c r="E50" s="49">
        <f>MAX(C50:D50)</f>
        <v>0.73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0.03</v>
      </c>
      <c r="E51" s="49">
        <f>MAX(C51:D51)</f>
        <v>0.53</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0.01</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5.8440000000000003</v>
      </c>
      <c r="D54" s="56">
        <f>D48</f>
        <v>1.5660000000000001</v>
      </c>
      <c r="E54" s="56">
        <f>MAX(C54:D54)</f>
        <v>5.8440000000000003</v>
      </c>
      <c r="G54" s="1" t="str">
        <f>G48</f>
        <v>per 1000 youth</v>
      </c>
      <c r="L54" s="58">
        <f>L48</f>
        <v>1000</v>
      </c>
      <c r="M54" s="58"/>
    </row>
    <row r="55" spans="2:18" ht="15" hidden="1" customHeight="1">
      <c r="B55" s="49" t="str">
        <f t="shared" ref="B55:D56" si="10">IF(($E49&gt;0),B49,B48)</f>
        <v>per 100 arrests</v>
      </c>
      <c r="C55" s="49">
        <f t="shared" si="10"/>
        <v>0.42</v>
      </c>
      <c r="D55" s="49">
        <f t="shared" si="10"/>
        <v>0.03</v>
      </c>
      <c r="E55" s="49">
        <f>MAX(C55:D55)</f>
        <v>0.42</v>
      </c>
      <c r="G55" s="1" t="str">
        <f>G49</f>
        <v>per 100 arrests</v>
      </c>
      <c r="L55" s="58">
        <f>IF(($E49&gt;0),L49,L48)</f>
        <v>100</v>
      </c>
      <c r="M55" s="58"/>
    </row>
    <row r="56" spans="2:18" ht="15" hidden="1" customHeight="1">
      <c r="B56" s="49" t="str">
        <f t="shared" si="10"/>
        <v>per 100 referrals</v>
      </c>
      <c r="C56" s="49">
        <f t="shared" si="10"/>
        <v>0.73</v>
      </c>
      <c r="D56" s="49">
        <f t="shared" si="10"/>
        <v>0.05</v>
      </c>
      <c r="E56" s="49">
        <f>MAX(C56:D56)</f>
        <v>0.73</v>
      </c>
      <c r="G56" s="1" t="str">
        <f>G50</f>
        <v>per 100 referrals</v>
      </c>
      <c r="L56" s="58">
        <f>IF(($E50&gt;0),L50,L49)</f>
        <v>100</v>
      </c>
      <c r="M56" s="58"/>
    </row>
    <row r="57" spans="2:18" ht="15" hidden="1" customHeight="1">
      <c r="B57" s="49" t="str">
        <f>IF(($E51&gt;0),B51,B49)</f>
        <v>per 100 youth petitioned</v>
      </c>
      <c r="C57" s="49">
        <f>IF(($E51&gt;0),C51,C50)</f>
        <v>0.53</v>
      </c>
      <c r="D57" s="49">
        <f>IF(($E51&gt;0),D51,D50)</f>
        <v>0.03</v>
      </c>
      <c r="E57" s="49">
        <f>MAX(C57:D57)</f>
        <v>0.53</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0.01</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5.8440000000000003</v>
      </c>
      <c r="D60" s="56">
        <f>D54</f>
        <v>1.5660000000000001</v>
      </c>
      <c r="E60" s="56">
        <f>MAX(C60:D60)</f>
        <v>5.8440000000000003</v>
      </c>
      <c r="G60" s="1" t="str">
        <f>G54</f>
        <v>per 1000 youth</v>
      </c>
      <c r="L60" s="58">
        <f>L54</f>
        <v>1000</v>
      </c>
      <c r="M60" s="58"/>
    </row>
    <row r="61" spans="2:18" ht="15" hidden="1" customHeight="1">
      <c r="B61" s="49" t="str">
        <f t="shared" ref="B61:D62" si="11">IF(($E55&gt;0),B55,B54)</f>
        <v>per 100 arrests</v>
      </c>
      <c r="C61" s="49">
        <f t="shared" si="11"/>
        <v>0.42</v>
      </c>
      <c r="D61" s="49">
        <f t="shared" si="11"/>
        <v>0.03</v>
      </c>
      <c r="E61" s="49">
        <f>MAX(C61:D61)</f>
        <v>0.42</v>
      </c>
      <c r="G61" s="1" t="str">
        <f>G55</f>
        <v>per 100 arrests</v>
      </c>
      <c r="L61" s="58">
        <f>IF(($E55&gt;0),L55,L54)</f>
        <v>100</v>
      </c>
      <c r="M61" s="58"/>
    </row>
    <row r="62" spans="2:18" ht="15" hidden="1" customHeight="1">
      <c r="B62" s="49" t="str">
        <f t="shared" si="11"/>
        <v>per 100 referrals</v>
      </c>
      <c r="C62" s="49">
        <f t="shared" si="11"/>
        <v>0.73</v>
      </c>
      <c r="D62" s="49">
        <f t="shared" si="11"/>
        <v>0.05</v>
      </c>
      <c r="E62" s="49">
        <f>MAX(C62:D62)</f>
        <v>0.73</v>
      </c>
      <c r="G62" s="1" t="str">
        <f>G56</f>
        <v>per 100 referrals</v>
      </c>
      <c r="L62" s="58">
        <f>IF(($E56&gt;0),L56,L55)</f>
        <v>100</v>
      </c>
      <c r="M62" s="58"/>
    </row>
    <row r="63" spans="2:18" ht="15" hidden="1" customHeight="1">
      <c r="B63" s="49" t="str">
        <f>IF(($E57&gt;0),B57,B55)</f>
        <v>per 100 youth petitioned</v>
      </c>
      <c r="C63" s="49">
        <f>IF(($E57&gt;0),C57,C56)</f>
        <v>0.53</v>
      </c>
      <c r="D63" s="49">
        <f>IF(($E57&gt;0),D57,D56)</f>
        <v>0.03</v>
      </c>
      <c r="E63" s="49">
        <f>MAX(C63:D63)</f>
        <v>0.53</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0.01</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5.8440000000000003</v>
      </c>
      <c r="D66" s="56">
        <f>D60</f>
        <v>1.5660000000000001</v>
      </c>
      <c r="E66" s="56">
        <f>MAX(C66:D66)</f>
        <v>5.8440000000000003</v>
      </c>
      <c r="G66" s="1" t="str">
        <f>G60</f>
        <v>per 1000 youth</v>
      </c>
      <c r="L66" s="58">
        <f>L60</f>
        <v>1000</v>
      </c>
      <c r="M66" s="58">
        <f>IF((B66=G66),1,2)</f>
        <v>1</v>
      </c>
    </row>
    <row r="67" spans="2:13" ht="15" hidden="1" customHeight="1">
      <c r="B67" s="49" t="str">
        <f t="shared" ref="B67:D68" si="12">IF(($E61&gt;0),B61,B60)</f>
        <v>per 100 arrests</v>
      </c>
      <c r="C67" s="49">
        <f t="shared" si="12"/>
        <v>0.42</v>
      </c>
      <c r="D67" s="49">
        <f t="shared" si="12"/>
        <v>0.03</v>
      </c>
      <c r="E67" s="49">
        <f>MAX(C67:D67)</f>
        <v>0.42</v>
      </c>
      <c r="G67" s="1" t="str">
        <f>G61</f>
        <v>per 100 arrests</v>
      </c>
      <c r="L67" s="58">
        <f>IF(($E61&gt;0),L61,L60)</f>
        <v>100</v>
      </c>
      <c r="M67" s="58">
        <f>IF((B67=G67),1,2)</f>
        <v>1</v>
      </c>
    </row>
    <row r="68" spans="2:13" ht="15" hidden="1" customHeight="1">
      <c r="B68" s="49" t="str">
        <f t="shared" si="12"/>
        <v>per 100 referrals</v>
      </c>
      <c r="C68" s="49">
        <f t="shared" si="12"/>
        <v>0.73</v>
      </c>
      <c r="D68" s="49">
        <f t="shared" si="12"/>
        <v>0.05</v>
      </c>
      <c r="E68" s="49">
        <f>MAX(C68:D68)</f>
        <v>0.73</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0.03</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0.01</v>
      </c>
      <c r="E70" s="56">
        <f>MAX(C70:D70)</f>
        <v>0.4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5844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42</v>
      </c>
      <c r="D7" s="34">
        <f>IF((AND(C66&gt;0,C7&gt;0)),(C7/C66),0)</f>
        <v>7.1868583162217652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42</v>
      </c>
      <c r="Q7" s="42">
        <f>C6-C7</f>
        <v>5802</v>
      </c>
      <c r="R7" s="42">
        <f t="shared" ref="R7:R15" si="5">SUM(N7:Q7)</f>
        <v>5844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73</v>
      </c>
      <c r="D8" s="34">
        <f>IF((AND(C67&gt;0,C8&gt;0)),(C8/C67),0)</f>
        <v>173.80952380952382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73</v>
      </c>
      <c r="Q8" s="42">
        <f>(C$67*L67)-C8</f>
        <v>-31</v>
      </c>
      <c r="R8" s="42">
        <f t="shared" si="5"/>
        <v>42.05</v>
      </c>
      <c r="S8" s="30">
        <f t="shared" si="6"/>
        <v>560.21112500000015</v>
      </c>
      <c r="T8" s="30">
        <f t="shared" si="7"/>
        <v>-4744.6350000000002</v>
      </c>
      <c r="U8" s="31">
        <f t="shared" si="8"/>
        <v>-0.1180725440418494</v>
      </c>
    </row>
    <row r="9" spans="2:21" ht="18" customHeight="1">
      <c r="B9" s="32" t="str">
        <f>'Data Entry'!A9</f>
        <v xml:space="preserve">4. Cases Diverted </v>
      </c>
      <c r="C9" s="33">
        <f>'Data Entry'!C9</f>
        <v>2</v>
      </c>
      <c r="D9" s="34">
        <f>IF((AND(C68&gt;0,C9&gt;0)),((C9/C68)),0)</f>
        <v>2.7397260273972601</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71</v>
      </c>
      <c r="R9" s="42">
        <f t="shared" si="5"/>
        <v>73</v>
      </c>
      <c r="S9" s="30">
        <f t="shared" si="6"/>
        <v>0</v>
      </c>
      <c r="T9" s="30">
        <f t="shared" si="7"/>
        <v>0</v>
      </c>
      <c r="U9" s="31" t="str">
        <f t="shared" si="8"/>
        <v>- -</v>
      </c>
    </row>
    <row r="10" spans="2:21" ht="18" customHeight="1">
      <c r="B10" s="32" t="str">
        <f>'Data Entry'!A10</f>
        <v>5. Cases Involving Secure Detention</v>
      </c>
      <c r="C10" s="33">
        <f>'Data Entry'!C10</f>
        <v>15</v>
      </c>
      <c r="D10" s="34">
        <f>IF(((AND(C68&gt;0,C10&gt;0))),(C10/(C68)),0)</f>
        <v>20.547945205479454</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15</v>
      </c>
      <c r="Q10" s="42">
        <f>(C$68*L68)-C10</f>
        <v>58</v>
      </c>
      <c r="R10" s="42">
        <f t="shared" si="5"/>
        <v>73</v>
      </c>
      <c r="S10" s="30">
        <f t="shared" si="6"/>
        <v>0</v>
      </c>
      <c r="T10" s="30">
        <f t="shared" si="7"/>
        <v>0</v>
      </c>
      <c r="U10" s="31" t="str">
        <f t="shared" si="8"/>
        <v>- -</v>
      </c>
    </row>
    <row r="11" spans="2:21" ht="18" customHeight="1">
      <c r="B11" s="32" t="str">
        <f>'Data Entry'!A11</f>
        <v>6. Cases Petitioned (Charge Filed)</v>
      </c>
      <c r="C11" s="33">
        <f>'Data Entry'!C11</f>
        <v>53</v>
      </c>
      <c r="D11" s="34">
        <f>IF(((AND(C68&gt;0,C11&gt;0))),(C11/(C68)),0)</f>
        <v>72.602739726027394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53</v>
      </c>
      <c r="Q11" s="42">
        <f>(C$68*L68)-C11</f>
        <v>20</v>
      </c>
      <c r="R11" s="42">
        <f t="shared" si="5"/>
        <v>73</v>
      </c>
      <c r="S11" s="30">
        <f t="shared" si="6"/>
        <v>0</v>
      </c>
      <c r="T11" s="30">
        <f t="shared" si="7"/>
        <v>0</v>
      </c>
      <c r="U11" s="31" t="str">
        <f t="shared" si="8"/>
        <v>- -</v>
      </c>
    </row>
    <row r="12" spans="2:21" ht="18" customHeight="1">
      <c r="B12" s="32" t="str">
        <f>'Data Entry'!A12</f>
        <v>7. Cases Resulting in Delinquent Findings</v>
      </c>
      <c r="C12" s="33">
        <f>'Data Entry'!C12</f>
        <v>40</v>
      </c>
      <c r="D12" s="34">
        <f>IF(((AND(C69&gt;0,C12&gt;0))),(C12/(C69)),0)</f>
        <v>75.471698113207538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40</v>
      </c>
      <c r="Q12" s="42">
        <f>(C69*L69)-C12</f>
        <v>13</v>
      </c>
      <c r="R12" s="42">
        <f t="shared" si="5"/>
        <v>53</v>
      </c>
      <c r="S12" s="30">
        <f t="shared" si="6"/>
        <v>0</v>
      </c>
      <c r="T12" s="30">
        <f t="shared" si="7"/>
        <v>0</v>
      </c>
      <c r="U12" s="31" t="str">
        <f t="shared" si="8"/>
        <v>- -</v>
      </c>
    </row>
    <row r="13" spans="2:21" ht="18" customHeight="1">
      <c r="B13" s="32" t="str">
        <f>'Data Entry'!A13</f>
        <v>8. Cases Resulting in Probation Placement</v>
      </c>
      <c r="C13" s="33">
        <f>'Data Entry'!C13</f>
        <v>72</v>
      </c>
      <c r="D13" s="34">
        <f>IF(((AND(C70&gt;0,C13&gt;0))),(C13/(C70)),0)</f>
        <v>180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72</v>
      </c>
      <c r="Q13" s="42">
        <f>(C70*L70)-C13</f>
        <v>-32</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39</v>
      </c>
      <c r="D14" s="34">
        <f>IF(((AND(C70&gt;0,C14&gt;0))), ((C14/(C70))),0)</f>
        <v>97.5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39</v>
      </c>
      <c r="Q14" s="42">
        <f>(C70*L70)-C14</f>
        <v>1</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5.8440000000000003</v>
      </c>
      <c r="D42" s="56">
        <f>E6/1000</f>
        <v>0</v>
      </c>
      <c r="E42" s="56">
        <f>MAX(C42:D42)</f>
        <v>5.8440000000000003</v>
      </c>
      <c r="G42" s="1" t="str">
        <f>B42</f>
        <v>per 1000 youth</v>
      </c>
      <c r="L42" s="57">
        <v>1000</v>
      </c>
      <c r="M42" s="57"/>
      <c r="R42" s="49"/>
    </row>
    <row r="43" spans="2:18" ht="15" hidden="1" customHeight="1">
      <c r="B43" s="49" t="s">
        <v>87</v>
      </c>
      <c r="C43" s="56">
        <f>C7/100</f>
        <v>0.42</v>
      </c>
      <c r="D43" s="56">
        <f>E7/100</f>
        <v>0</v>
      </c>
      <c r="E43" s="56">
        <f>MAX(C43:D43,0)</f>
        <v>0.42</v>
      </c>
      <c r="G43" s="1" t="str">
        <f>B43</f>
        <v>per 100 arrests</v>
      </c>
      <c r="L43" s="57">
        <v>100</v>
      </c>
      <c r="M43" s="57"/>
      <c r="R43" s="49"/>
    </row>
    <row r="44" spans="2:18" ht="15" hidden="1" customHeight="1">
      <c r="B44" s="49" t="s">
        <v>88</v>
      </c>
      <c r="C44" s="56">
        <f>C8/100</f>
        <v>0.73</v>
      </c>
      <c r="D44" s="56">
        <f>E8/100</f>
        <v>0</v>
      </c>
      <c r="E44" s="56">
        <f>MAX(C44:D44,0)</f>
        <v>0.73</v>
      </c>
      <c r="G44" s="1" t="str">
        <f>B44</f>
        <v>per 100 referrals</v>
      </c>
      <c r="L44" s="57">
        <v>100</v>
      </c>
      <c r="M44" s="57"/>
      <c r="R44" s="49"/>
    </row>
    <row r="45" spans="2:18" ht="15" hidden="1" customHeight="1">
      <c r="B45" s="49" t="s">
        <v>89</v>
      </c>
      <c r="C45" s="49">
        <f>C11/100</f>
        <v>0.53</v>
      </c>
      <c r="D45" s="49">
        <f>E11/100</f>
        <v>0</v>
      </c>
      <c r="E45" s="56">
        <f>MAX(C45:D45,0)</f>
        <v>0.53</v>
      </c>
      <c r="G45" s="1" t="str">
        <f>B45</f>
        <v>per 100 youth petitioned</v>
      </c>
      <c r="L45" s="57">
        <v>100</v>
      </c>
      <c r="M45" s="57"/>
      <c r="R45" s="49"/>
    </row>
    <row r="46" spans="2:18" ht="15" hidden="1" customHeight="1">
      <c r="B46" s="49" t="s">
        <v>90</v>
      </c>
      <c r="C46" s="49">
        <f>C12/100</f>
        <v>0.4</v>
      </c>
      <c r="D46" s="49">
        <f>E12/100</f>
        <v>0</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5.8440000000000003</v>
      </c>
      <c r="D48" s="56">
        <f>D42</f>
        <v>0</v>
      </c>
      <c r="E48" s="56">
        <f>MAX(C48:D48)</f>
        <v>5.8440000000000003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0.42</v>
      </c>
      <c r="D49" s="49">
        <f t="shared" si="9"/>
        <v>0</v>
      </c>
      <c r="E49" s="49">
        <f>MAX(C49:D49)</f>
        <v>0.42</v>
      </c>
      <c r="G49" s="1" t="str">
        <f>G43</f>
        <v>per 100 arrests</v>
      </c>
      <c r="L49" s="58">
        <f>IF(($E43&gt;0),L43,L42)</f>
        <v>100</v>
      </c>
      <c r="M49" s="58"/>
      <c r="N49" s="21"/>
      <c r="O49" s="21"/>
      <c r="P49" s="21"/>
      <c r="Q49" s="21"/>
      <c r="R49" s="21"/>
    </row>
    <row r="50" spans="2:18" ht="15" hidden="1" customHeight="1">
      <c r="B50" s="49" t="str">
        <f t="shared" si="9"/>
        <v>per 100 referrals</v>
      </c>
      <c r="C50" s="49">
        <f t="shared" si="9"/>
        <v>0.73</v>
      </c>
      <c r="D50" s="49">
        <f t="shared" si="9"/>
        <v>0</v>
      </c>
      <c r="E50" s="49">
        <f>MAX(C50:D50)</f>
        <v>0.73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v>
      </c>
      <c r="E51" s="49">
        <f>MAX(C51:D51)</f>
        <v>0.53</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5.8440000000000003</v>
      </c>
      <c r="D54" s="56">
        <f>D48</f>
        <v>0</v>
      </c>
      <c r="E54" s="56">
        <f>MAX(C54:D54)</f>
        <v>5.8440000000000003</v>
      </c>
      <c r="G54" s="1" t="str">
        <f>G48</f>
        <v>per 1000 youth</v>
      </c>
      <c r="L54" s="58">
        <f>L48</f>
        <v>1000</v>
      </c>
      <c r="M54" s="58"/>
    </row>
    <row r="55" spans="2:18" ht="15" hidden="1" customHeight="1">
      <c r="B55" s="49" t="str">
        <f t="shared" ref="B55:D56" si="10">IF(($E49&gt;0),B49,B48)</f>
        <v>per 100 arrests</v>
      </c>
      <c r="C55" s="49">
        <f t="shared" si="10"/>
        <v>0.42</v>
      </c>
      <c r="D55" s="49">
        <f t="shared" si="10"/>
        <v>0</v>
      </c>
      <c r="E55" s="49">
        <f>MAX(C55:D55)</f>
        <v>0.42</v>
      </c>
      <c r="G55" s="1" t="str">
        <f>G49</f>
        <v>per 100 arrests</v>
      </c>
      <c r="L55" s="58">
        <f>IF(($E49&gt;0),L49,L48)</f>
        <v>100</v>
      </c>
      <c r="M55" s="58"/>
    </row>
    <row r="56" spans="2:18" ht="15" hidden="1" customHeight="1">
      <c r="B56" s="49" t="str">
        <f t="shared" si="10"/>
        <v>per 100 referrals</v>
      </c>
      <c r="C56" s="49">
        <f t="shared" si="10"/>
        <v>0.73</v>
      </c>
      <c r="D56" s="49">
        <f t="shared" si="10"/>
        <v>0</v>
      </c>
      <c r="E56" s="49">
        <f>MAX(C56:D56)</f>
        <v>0.73</v>
      </c>
      <c r="G56" s="1" t="str">
        <f>G50</f>
        <v>per 100 referrals</v>
      </c>
      <c r="L56" s="58">
        <f>IF(($E50&gt;0),L50,L49)</f>
        <v>100</v>
      </c>
      <c r="M56" s="58"/>
    </row>
    <row r="57" spans="2:18" ht="15" hidden="1" customHeight="1">
      <c r="B57" s="49" t="str">
        <f>IF(($E51&gt;0),B51,B49)</f>
        <v>per 100 youth petitioned</v>
      </c>
      <c r="C57" s="49">
        <f>IF(($E51&gt;0),C51,C50)</f>
        <v>0.53</v>
      </c>
      <c r="D57" s="49">
        <f>IF(($E51&gt;0),D51,D50)</f>
        <v>0</v>
      </c>
      <c r="E57" s="49">
        <f>MAX(C57:D57)</f>
        <v>0.53</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5.8440000000000003</v>
      </c>
      <c r="D60" s="56">
        <f>D54</f>
        <v>0</v>
      </c>
      <c r="E60" s="56">
        <f>MAX(C60:D60)</f>
        <v>5.8440000000000003</v>
      </c>
      <c r="G60" s="1" t="str">
        <f>G54</f>
        <v>per 1000 youth</v>
      </c>
      <c r="L60" s="58">
        <f>L54</f>
        <v>1000</v>
      </c>
      <c r="M60" s="58"/>
    </row>
    <row r="61" spans="2:18" ht="15" hidden="1" customHeight="1">
      <c r="B61" s="49" t="str">
        <f t="shared" ref="B61:D62" si="11">IF(($E55&gt;0),B55,B54)</f>
        <v>per 100 arrests</v>
      </c>
      <c r="C61" s="49">
        <f t="shared" si="11"/>
        <v>0.42</v>
      </c>
      <c r="D61" s="49">
        <f t="shared" si="11"/>
        <v>0</v>
      </c>
      <c r="E61" s="49">
        <f>MAX(C61:D61)</f>
        <v>0.42</v>
      </c>
      <c r="G61" s="1" t="str">
        <f>G55</f>
        <v>per 100 arrests</v>
      </c>
      <c r="L61" s="58">
        <f>IF(($E55&gt;0),L55,L54)</f>
        <v>100</v>
      </c>
      <c r="M61" s="58"/>
    </row>
    <row r="62" spans="2:18" ht="15" hidden="1" customHeight="1">
      <c r="B62" s="49" t="str">
        <f t="shared" si="11"/>
        <v>per 100 referrals</v>
      </c>
      <c r="C62" s="49">
        <f t="shared" si="11"/>
        <v>0.73</v>
      </c>
      <c r="D62" s="49">
        <f t="shared" si="11"/>
        <v>0</v>
      </c>
      <c r="E62" s="49">
        <f>MAX(C62:D62)</f>
        <v>0.73</v>
      </c>
      <c r="G62" s="1" t="str">
        <f>G56</f>
        <v>per 100 referrals</v>
      </c>
      <c r="L62" s="58">
        <f>IF(($E56&gt;0),L56,L55)</f>
        <v>100</v>
      </c>
      <c r="M62" s="58"/>
    </row>
    <row r="63" spans="2:18" ht="15" hidden="1" customHeight="1">
      <c r="B63" s="49" t="str">
        <f>IF(($E57&gt;0),B57,B55)</f>
        <v>per 100 youth petitioned</v>
      </c>
      <c r="C63" s="49">
        <f>IF(($E57&gt;0),C57,C56)</f>
        <v>0.53</v>
      </c>
      <c r="D63" s="49">
        <f>IF(($E57&gt;0),D57,D56)</f>
        <v>0</v>
      </c>
      <c r="E63" s="49">
        <f>MAX(C63:D63)</f>
        <v>0.53</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5.8440000000000003</v>
      </c>
      <c r="D66" s="56">
        <f>D60</f>
        <v>0</v>
      </c>
      <c r="E66" s="56">
        <f>MAX(C66:D66)</f>
        <v>5.8440000000000003</v>
      </c>
      <c r="G66" s="1" t="str">
        <f>G60</f>
        <v>per 1000 youth</v>
      </c>
      <c r="L66" s="58">
        <f>L60</f>
        <v>1000</v>
      </c>
      <c r="M66" s="58">
        <f>IF((B66=G66),1,2)</f>
        <v>1</v>
      </c>
    </row>
    <row r="67" spans="2:13" ht="15" hidden="1" customHeight="1">
      <c r="B67" s="49" t="str">
        <f t="shared" ref="B67:D68" si="12">IF(($E61&gt;0),B61,B60)</f>
        <v>per 100 arrests</v>
      </c>
      <c r="C67" s="49">
        <f t="shared" si="12"/>
        <v>0.42</v>
      </c>
      <c r="D67" s="49">
        <f t="shared" si="12"/>
        <v>0</v>
      </c>
      <c r="E67" s="49">
        <f>MAX(C67:D67)</f>
        <v>0.42</v>
      </c>
      <c r="G67" s="1" t="str">
        <f>G61</f>
        <v>per 100 arrests</v>
      </c>
      <c r="L67" s="58">
        <f>IF(($E61&gt;0),L61,L60)</f>
        <v>100</v>
      </c>
      <c r="M67" s="58">
        <f>IF((B67=G67),1,2)</f>
        <v>1</v>
      </c>
    </row>
    <row r="68" spans="2:13" ht="15" hidden="1" customHeight="1">
      <c r="B68" s="49" t="str">
        <f t="shared" si="12"/>
        <v>per 100 referrals</v>
      </c>
      <c r="C68" s="49">
        <f t="shared" si="12"/>
        <v>0.73</v>
      </c>
      <c r="D68" s="49">
        <f t="shared" si="12"/>
        <v>0</v>
      </c>
      <c r="E68" s="49">
        <f>MAX(C68:D68)</f>
        <v>0.73</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Van Buren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5844</v>
      </c>
      <c r="D6" s="34"/>
      <c r="E6" s="33">
        <f>'Data Entry'!H6</f>
        <v>80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42</v>
      </c>
      <c r="D7" s="34">
        <f>IF((AND(C66&gt;0,C7&gt;0)),(C7/C66),0)</f>
        <v>7.1868583162217652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80</v>
      </c>
      <c r="P7" s="42">
        <f t="shared" ref="P7:P15" si="4">C7</f>
        <v>42</v>
      </c>
      <c r="Q7" s="42">
        <f>C6-C7</f>
        <v>5802</v>
      </c>
      <c r="R7" s="42">
        <f t="shared" ref="R7:R15" si="5">SUM(N7:Q7)</f>
        <v>5924</v>
      </c>
      <c r="S7" s="30">
        <f t="shared" ref="S7:S15" si="6">R7*((((N7*Q7)-(O7*P7))^2))</f>
        <v>66879590400</v>
      </c>
      <c r="T7" s="30">
        <f t="shared" ref="T7:T15" si="7">(N7+O7)*(P7+Q7)*(N7+P7)*(O7+Q7)</f>
        <v>115498010880</v>
      </c>
      <c r="U7" s="31">
        <f t="shared" ref="U7:U15" si="8">IF((S7&gt;0),S7/T7,"- -")</f>
        <v>0.57905404509075475</v>
      </c>
    </row>
    <row r="8" spans="2:21" ht="18" customHeight="1">
      <c r="B8" s="32" t="str">
        <f>'Data Entry'!A8</f>
        <v>3. Refer to Juvenile Court</v>
      </c>
      <c r="C8" s="33">
        <f>'Data Entry'!C8</f>
        <v>73</v>
      </c>
      <c r="D8" s="34">
        <f>IF((AND(C67&gt;0,C8&gt;0)),(C8/C67),0)</f>
        <v>173.80952380952382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73</v>
      </c>
      <c r="Q8" s="42">
        <f>(C$67*L67)-C8</f>
        <v>-31</v>
      </c>
      <c r="R8" s="42">
        <f t="shared" si="5"/>
        <v>42.05</v>
      </c>
      <c r="S8" s="30">
        <f t="shared" si="6"/>
        <v>560.21112500000015</v>
      </c>
      <c r="T8" s="30">
        <f t="shared" si="7"/>
        <v>-4744.6350000000002</v>
      </c>
      <c r="U8" s="31">
        <f t="shared" si="8"/>
        <v>-0.1180725440418494</v>
      </c>
    </row>
    <row r="9" spans="2:21" ht="18" customHeight="1">
      <c r="B9" s="32" t="str">
        <f>'Data Entry'!A9</f>
        <v xml:space="preserve">4. Cases Diverted </v>
      </c>
      <c r="C9" s="33">
        <f>'Data Entry'!C9</f>
        <v>2</v>
      </c>
      <c r="D9" s="34">
        <f>IF((AND(C68&gt;0,C9&gt;0)),((C9/C68)),0)</f>
        <v>2.7397260273972601</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2</v>
      </c>
      <c r="Q9" s="42">
        <f>(C$68*L68)-C9</f>
        <v>71</v>
      </c>
      <c r="R9" s="42">
        <f t="shared" si="5"/>
        <v>73</v>
      </c>
      <c r="S9" s="30">
        <f t="shared" si="6"/>
        <v>0</v>
      </c>
      <c r="T9" s="30">
        <f t="shared" si="7"/>
        <v>0</v>
      </c>
      <c r="U9" s="31" t="str">
        <f t="shared" si="8"/>
        <v>- -</v>
      </c>
    </row>
    <row r="10" spans="2:21" ht="18" customHeight="1">
      <c r="B10" s="32" t="str">
        <f>'Data Entry'!A10</f>
        <v>5. Cases Involving Secure Detention</v>
      </c>
      <c r="C10" s="33">
        <f>'Data Entry'!C10</f>
        <v>15</v>
      </c>
      <c r="D10" s="34">
        <f>IF(((AND(C68&gt;0,C10&gt;0))),(C10/(C68)),0)</f>
        <v>20.547945205479454</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15</v>
      </c>
      <c r="Q10" s="42">
        <f>(C$68*L68)-C10</f>
        <v>58</v>
      </c>
      <c r="R10" s="42">
        <f t="shared" si="5"/>
        <v>73</v>
      </c>
      <c r="S10" s="30">
        <f t="shared" si="6"/>
        <v>0</v>
      </c>
      <c r="T10" s="30">
        <f t="shared" si="7"/>
        <v>0</v>
      </c>
      <c r="U10" s="31" t="str">
        <f t="shared" si="8"/>
        <v>- -</v>
      </c>
    </row>
    <row r="11" spans="2:21" ht="18" customHeight="1">
      <c r="B11" s="32" t="str">
        <f>'Data Entry'!A11</f>
        <v>6. Cases Petitioned (Charge Filed)</v>
      </c>
      <c r="C11" s="33">
        <f>'Data Entry'!C11</f>
        <v>53</v>
      </c>
      <c r="D11" s="34">
        <f>IF(((AND(C68&gt;0,C11&gt;0))),(C11/(C68)),0)</f>
        <v>72.602739726027394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53</v>
      </c>
      <c r="Q11" s="42">
        <f>(C$68*L68)-C11</f>
        <v>20</v>
      </c>
      <c r="R11" s="42">
        <f t="shared" si="5"/>
        <v>73</v>
      </c>
      <c r="S11" s="30">
        <f t="shared" si="6"/>
        <v>0</v>
      </c>
      <c r="T11" s="30">
        <f t="shared" si="7"/>
        <v>0</v>
      </c>
      <c r="U11" s="31" t="str">
        <f t="shared" si="8"/>
        <v>- -</v>
      </c>
    </row>
    <row r="12" spans="2:21" ht="18" customHeight="1">
      <c r="B12" s="32" t="str">
        <f>'Data Entry'!A12</f>
        <v>7. Cases Resulting in Delinquent Findings</v>
      </c>
      <c r="C12" s="33">
        <f>'Data Entry'!C12</f>
        <v>40</v>
      </c>
      <c r="D12" s="34">
        <f>IF(((AND(C69&gt;0,C12&gt;0))),(C12/(C69)),0)</f>
        <v>75.471698113207538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40</v>
      </c>
      <c r="Q12" s="42">
        <f>(C69*L69)-C12</f>
        <v>13</v>
      </c>
      <c r="R12" s="42">
        <f t="shared" si="5"/>
        <v>53</v>
      </c>
      <c r="S12" s="30">
        <f t="shared" si="6"/>
        <v>0</v>
      </c>
      <c r="T12" s="30">
        <f t="shared" si="7"/>
        <v>0</v>
      </c>
      <c r="U12" s="31" t="str">
        <f t="shared" si="8"/>
        <v>- -</v>
      </c>
    </row>
    <row r="13" spans="2:21" ht="18" customHeight="1">
      <c r="B13" s="32" t="str">
        <f>'Data Entry'!A13</f>
        <v>8. Cases Resulting in Probation Placement</v>
      </c>
      <c r="C13" s="33">
        <f>'Data Entry'!C13</f>
        <v>72</v>
      </c>
      <c r="D13" s="34">
        <f>IF(((AND(C70&gt;0,C13&gt;0))),(C13/(C70)),0)</f>
        <v>180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72</v>
      </c>
      <c r="Q13" s="42">
        <f>(C70*L70)-C13</f>
        <v>-32</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39</v>
      </c>
      <c r="D14" s="34">
        <f>IF(((AND(C70&gt;0,C14&gt;0))), ((C14/(C70))),0)</f>
        <v>97.5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39</v>
      </c>
      <c r="Q14" s="42">
        <f>(C70*L70)-C14</f>
        <v>1</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53</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5.8440000000000003</v>
      </c>
      <c r="D42" s="56">
        <f>E6/1000</f>
        <v>0.08</v>
      </c>
      <c r="E42" s="56">
        <f>MAX(C42:D42)</f>
        <v>5.8440000000000003</v>
      </c>
      <c r="G42" s="1" t="str">
        <f>B42</f>
        <v>per 1000 youth</v>
      </c>
      <c r="L42" s="57">
        <v>1000</v>
      </c>
      <c r="M42" s="57"/>
      <c r="R42" s="49"/>
    </row>
    <row r="43" spans="2:18" ht="15" hidden="1" customHeight="1">
      <c r="B43" s="49" t="s">
        <v>87</v>
      </c>
      <c r="C43" s="56">
        <f>C7/100</f>
        <v>0.42</v>
      </c>
      <c r="D43" s="56">
        <f>E7/100</f>
        <v>0</v>
      </c>
      <c r="E43" s="56">
        <f>MAX(C43:D43,0)</f>
        <v>0.42</v>
      </c>
      <c r="G43" s="1" t="str">
        <f>B43</f>
        <v>per 100 arrests</v>
      </c>
      <c r="L43" s="57">
        <v>100</v>
      </c>
      <c r="M43" s="57"/>
      <c r="R43" s="49"/>
    </row>
    <row r="44" spans="2:18" ht="15" hidden="1" customHeight="1">
      <c r="B44" s="49" t="s">
        <v>88</v>
      </c>
      <c r="C44" s="56">
        <f>C8/100</f>
        <v>0.73</v>
      </c>
      <c r="D44" s="56">
        <f>E8/100</f>
        <v>0</v>
      </c>
      <c r="E44" s="56">
        <f>MAX(C44:D44,0)</f>
        <v>0.73</v>
      </c>
      <c r="G44" s="1" t="str">
        <f>B44</f>
        <v>per 100 referrals</v>
      </c>
      <c r="L44" s="57">
        <v>100</v>
      </c>
      <c r="M44" s="57"/>
      <c r="R44" s="49"/>
    </row>
    <row r="45" spans="2:18" ht="15" hidden="1" customHeight="1">
      <c r="B45" s="49" t="s">
        <v>89</v>
      </c>
      <c r="C45" s="49">
        <f>C11/100</f>
        <v>0.53</v>
      </c>
      <c r="D45" s="49">
        <f>E11/100</f>
        <v>0</v>
      </c>
      <c r="E45" s="56">
        <f>MAX(C45:D45,0)</f>
        <v>0.53</v>
      </c>
      <c r="G45" s="1" t="str">
        <f>B45</f>
        <v>per 100 youth petitioned</v>
      </c>
      <c r="L45" s="57">
        <v>100</v>
      </c>
      <c r="M45" s="57"/>
      <c r="R45" s="49"/>
    </row>
    <row r="46" spans="2:18" ht="15" hidden="1" customHeight="1">
      <c r="B46" s="49" t="s">
        <v>90</v>
      </c>
      <c r="C46" s="49">
        <f>C12/100</f>
        <v>0.4</v>
      </c>
      <c r="D46" s="49">
        <f>E12/100</f>
        <v>0</v>
      </c>
      <c r="E46" s="56">
        <f>MAX(C46:D46)</f>
        <v>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5.8440000000000003</v>
      </c>
      <c r="D48" s="56">
        <f>D42</f>
        <v>0.08</v>
      </c>
      <c r="E48" s="56">
        <f>MAX(C48:D48)</f>
        <v>5.8440000000000003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0.42</v>
      </c>
      <c r="D49" s="49">
        <f t="shared" si="9"/>
        <v>0</v>
      </c>
      <c r="E49" s="49">
        <f>MAX(C49:D49)</f>
        <v>0.42</v>
      </c>
      <c r="G49" s="1" t="str">
        <f>G43</f>
        <v>per 100 arrests</v>
      </c>
      <c r="L49" s="58">
        <f>IF(($E43&gt;0),L43,L42)</f>
        <v>100</v>
      </c>
      <c r="M49" s="58"/>
      <c r="N49" s="21"/>
      <c r="O49" s="21"/>
      <c r="P49" s="21"/>
      <c r="Q49" s="21"/>
      <c r="R49" s="21"/>
    </row>
    <row r="50" spans="2:18" ht="15" hidden="1" customHeight="1">
      <c r="B50" s="49" t="str">
        <f t="shared" si="9"/>
        <v>per 100 referrals</v>
      </c>
      <c r="C50" s="49">
        <f t="shared" si="9"/>
        <v>0.73</v>
      </c>
      <c r="D50" s="49">
        <f t="shared" si="9"/>
        <v>0</v>
      </c>
      <c r="E50" s="49">
        <f>MAX(C50:D50)</f>
        <v>0.73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0.53</v>
      </c>
      <c r="D51" s="49">
        <f>IF(($E45&gt;0),D45,D44)</f>
        <v>0</v>
      </c>
      <c r="E51" s="49">
        <f>MAX(C51:D51)</f>
        <v>0.53</v>
      </c>
      <c r="G51" s="1" t="str">
        <f>G45</f>
        <v>per 100 youth petitioned</v>
      </c>
      <c r="L51" s="58">
        <f>IF(($E45&gt;0),L45,L44)</f>
        <v>100</v>
      </c>
      <c r="M51" s="58"/>
    </row>
    <row r="52" spans="2:18" ht="15" hidden="1" customHeight="1">
      <c r="B52" s="49" t="str">
        <f>IF(($E46&gt;0),B46,B45)</f>
        <v>per 100 youth found delinquent</v>
      </c>
      <c r="C52" s="49">
        <f>IF(($E46&gt;0),C46,C45)</f>
        <v>0.4</v>
      </c>
      <c r="D52" s="49">
        <f>IF(($E46&gt;0),D46,D45)</f>
        <v>0</v>
      </c>
      <c r="E52" s="56">
        <f>MAX(C52:D52)</f>
        <v>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5.8440000000000003</v>
      </c>
      <c r="D54" s="56">
        <f>D48</f>
        <v>0.08</v>
      </c>
      <c r="E54" s="56">
        <f>MAX(C54:D54)</f>
        <v>5.8440000000000003</v>
      </c>
      <c r="G54" s="1" t="str">
        <f>G48</f>
        <v>per 1000 youth</v>
      </c>
      <c r="L54" s="58">
        <f>L48</f>
        <v>1000</v>
      </c>
      <c r="M54" s="58"/>
    </row>
    <row r="55" spans="2:18" ht="15" hidden="1" customHeight="1">
      <c r="B55" s="49" t="str">
        <f t="shared" ref="B55:D56" si="10">IF(($E49&gt;0),B49,B48)</f>
        <v>per 100 arrests</v>
      </c>
      <c r="C55" s="49">
        <f t="shared" si="10"/>
        <v>0.42</v>
      </c>
      <c r="D55" s="49">
        <f t="shared" si="10"/>
        <v>0</v>
      </c>
      <c r="E55" s="49">
        <f>MAX(C55:D55)</f>
        <v>0.42</v>
      </c>
      <c r="G55" s="1" t="str">
        <f>G49</f>
        <v>per 100 arrests</v>
      </c>
      <c r="L55" s="58">
        <f>IF(($E49&gt;0),L49,L48)</f>
        <v>100</v>
      </c>
      <c r="M55" s="58"/>
    </row>
    <row r="56" spans="2:18" ht="15" hidden="1" customHeight="1">
      <c r="B56" s="49" t="str">
        <f t="shared" si="10"/>
        <v>per 100 referrals</v>
      </c>
      <c r="C56" s="49">
        <f t="shared" si="10"/>
        <v>0.73</v>
      </c>
      <c r="D56" s="49">
        <f t="shared" si="10"/>
        <v>0</v>
      </c>
      <c r="E56" s="49">
        <f>MAX(C56:D56)</f>
        <v>0.73</v>
      </c>
      <c r="G56" s="1" t="str">
        <f>G50</f>
        <v>per 100 referrals</v>
      </c>
      <c r="L56" s="58">
        <f>IF(($E50&gt;0),L50,L49)</f>
        <v>100</v>
      </c>
      <c r="M56" s="58"/>
    </row>
    <row r="57" spans="2:18" ht="15" hidden="1" customHeight="1">
      <c r="B57" s="49" t="str">
        <f>IF(($E51&gt;0),B51,B49)</f>
        <v>per 100 youth petitioned</v>
      </c>
      <c r="C57" s="49">
        <f>IF(($E51&gt;0),C51,C50)</f>
        <v>0.53</v>
      </c>
      <c r="D57" s="49">
        <f>IF(($E51&gt;0),D51,D50)</f>
        <v>0</v>
      </c>
      <c r="E57" s="49">
        <f>MAX(C57:D57)</f>
        <v>0.53</v>
      </c>
      <c r="G57" s="1" t="str">
        <f>G51</f>
        <v>per 100 youth petitioned</v>
      </c>
      <c r="L57" s="58">
        <f>IF(($E51&gt;0),L51,L50)</f>
        <v>100</v>
      </c>
      <c r="M57" s="58"/>
    </row>
    <row r="58" spans="2:18" ht="15" hidden="1" customHeight="1">
      <c r="B58" s="49" t="str">
        <f>IF(($E52&gt;0),B52,B51)</f>
        <v>per 100 youth found delinquent</v>
      </c>
      <c r="C58" s="49">
        <f>IF(($E52&gt;0),C52,C51)</f>
        <v>0.4</v>
      </c>
      <c r="D58" s="49">
        <f>IF(($E52&gt;0),D52,D51)</f>
        <v>0</v>
      </c>
      <c r="E58" s="56">
        <f>MAX(C58:D58)</f>
        <v>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5.8440000000000003</v>
      </c>
      <c r="D60" s="56">
        <f>D54</f>
        <v>0.08</v>
      </c>
      <c r="E60" s="56">
        <f>MAX(C60:D60)</f>
        <v>5.8440000000000003</v>
      </c>
      <c r="G60" s="1" t="str">
        <f>G54</f>
        <v>per 1000 youth</v>
      </c>
      <c r="L60" s="58">
        <f>L54</f>
        <v>1000</v>
      </c>
      <c r="M60" s="58"/>
    </row>
    <row r="61" spans="2:18" ht="15" hidden="1" customHeight="1">
      <c r="B61" s="49" t="str">
        <f t="shared" ref="B61:D62" si="11">IF(($E55&gt;0),B55,B54)</f>
        <v>per 100 arrests</v>
      </c>
      <c r="C61" s="49">
        <f t="shared" si="11"/>
        <v>0.42</v>
      </c>
      <c r="D61" s="49">
        <f t="shared" si="11"/>
        <v>0</v>
      </c>
      <c r="E61" s="49">
        <f>MAX(C61:D61)</f>
        <v>0.42</v>
      </c>
      <c r="G61" s="1" t="str">
        <f>G55</f>
        <v>per 100 arrests</v>
      </c>
      <c r="L61" s="58">
        <f>IF(($E55&gt;0),L55,L54)</f>
        <v>100</v>
      </c>
      <c r="M61" s="58"/>
    </row>
    <row r="62" spans="2:18" ht="15" hidden="1" customHeight="1">
      <c r="B62" s="49" t="str">
        <f t="shared" si="11"/>
        <v>per 100 referrals</v>
      </c>
      <c r="C62" s="49">
        <f t="shared" si="11"/>
        <v>0.73</v>
      </c>
      <c r="D62" s="49">
        <f t="shared" si="11"/>
        <v>0</v>
      </c>
      <c r="E62" s="49">
        <f>MAX(C62:D62)</f>
        <v>0.73</v>
      </c>
      <c r="G62" s="1" t="str">
        <f>G56</f>
        <v>per 100 referrals</v>
      </c>
      <c r="L62" s="58">
        <f>IF(($E56&gt;0),L56,L55)</f>
        <v>100</v>
      </c>
      <c r="M62" s="58"/>
    </row>
    <row r="63" spans="2:18" ht="15" hidden="1" customHeight="1">
      <c r="B63" s="49" t="str">
        <f>IF(($E57&gt;0),B57,B55)</f>
        <v>per 100 youth petitioned</v>
      </c>
      <c r="C63" s="49">
        <f>IF(($E57&gt;0),C57,C56)</f>
        <v>0.53</v>
      </c>
      <c r="D63" s="49">
        <f>IF(($E57&gt;0),D57,D56)</f>
        <v>0</v>
      </c>
      <c r="E63" s="49">
        <f>MAX(C63:D63)</f>
        <v>0.53</v>
      </c>
      <c r="G63" s="1" t="str">
        <f>G57</f>
        <v>per 100 youth petitioned</v>
      </c>
      <c r="L63" s="58">
        <f>IF(($E57&gt;0),L57,L56)</f>
        <v>100</v>
      </c>
      <c r="M63" s="58"/>
    </row>
    <row r="64" spans="2:18" ht="15" hidden="1" customHeight="1">
      <c r="B64" s="49" t="str">
        <f>IF(($E58&gt;0),B58,B57)</f>
        <v>per 100 youth found delinquent</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5.8440000000000003</v>
      </c>
      <c r="D66" s="56">
        <f>D60</f>
        <v>0.08</v>
      </c>
      <c r="E66" s="56">
        <f>MAX(C66:D66)</f>
        <v>5.8440000000000003</v>
      </c>
      <c r="G66" s="1" t="str">
        <f>G60</f>
        <v>per 1000 youth</v>
      </c>
      <c r="L66" s="58">
        <f>L60</f>
        <v>1000</v>
      </c>
      <c r="M66" s="58">
        <f>IF((B66=G66),1,2)</f>
        <v>1</v>
      </c>
    </row>
    <row r="67" spans="2:13" ht="15" hidden="1" customHeight="1">
      <c r="B67" s="49" t="str">
        <f t="shared" ref="B67:D68" si="12">IF(($E61&gt;0),B61,B60)</f>
        <v>per 100 arrests</v>
      </c>
      <c r="C67" s="49">
        <f t="shared" si="12"/>
        <v>0.42</v>
      </c>
      <c r="D67" s="49">
        <f t="shared" si="12"/>
        <v>0</v>
      </c>
      <c r="E67" s="49">
        <f>MAX(C67:D67)</f>
        <v>0.42</v>
      </c>
      <c r="G67" s="1" t="str">
        <f>G61</f>
        <v>per 100 arrests</v>
      </c>
      <c r="L67" s="58">
        <f>IF(($E61&gt;0),L61,L60)</f>
        <v>100</v>
      </c>
      <c r="M67" s="58">
        <f>IF((B67=G67),1,2)</f>
        <v>1</v>
      </c>
    </row>
    <row r="68" spans="2:13" ht="15" hidden="1" customHeight="1">
      <c r="B68" s="49" t="str">
        <f t="shared" si="12"/>
        <v>per 100 referrals</v>
      </c>
      <c r="C68" s="49">
        <f t="shared" si="12"/>
        <v>0.73</v>
      </c>
      <c r="D68" s="49">
        <f t="shared" si="12"/>
        <v>0</v>
      </c>
      <c r="E68" s="49">
        <f>MAX(C68:D68)</f>
        <v>0.73</v>
      </c>
      <c r="G68" s="1" t="str">
        <f>G62</f>
        <v>per 100 referrals</v>
      </c>
      <c r="L68" s="58">
        <f>IF(($E62&gt;0),L62,L61)</f>
        <v>100</v>
      </c>
      <c r="M68" s="58">
        <f>IF((B68=G68),1,2)</f>
        <v>1</v>
      </c>
    </row>
    <row r="69" spans="2:13" ht="15" hidden="1" customHeight="1">
      <c r="B69" s="49" t="str">
        <f>IF(($E63&gt;0),B63,B61)</f>
        <v>per 100 youth petitioned</v>
      </c>
      <c r="C69" s="49">
        <f>IF(($E63&gt;0),C63,C62)</f>
        <v>0.53</v>
      </c>
      <c r="D69" s="49">
        <f>IF(($E63&gt;0),D63,D62)</f>
        <v>0</v>
      </c>
      <c r="E69" s="49">
        <f>MAX(C69:D69)</f>
        <v>0.53</v>
      </c>
      <c r="G69" s="1" t="str">
        <f>G63</f>
        <v>per 100 youth petitioned</v>
      </c>
      <c r="L69" s="58">
        <f>IF(($E63&gt;0),L63,L62)</f>
        <v>100</v>
      </c>
      <c r="M69" s="58">
        <f>IF((B69=G69),1,2)</f>
        <v>1</v>
      </c>
    </row>
    <row r="70" spans="2:13" ht="15" hidden="1" customHeight="1">
      <c r="B70" s="49" t="str">
        <f>IF(($E64&gt;0),B64,B63)</f>
        <v>per 100 youth found delinquent</v>
      </c>
      <c r="C70" s="49">
        <f>IF(($E64&gt;0),C64,C63)</f>
        <v>0.4</v>
      </c>
      <c r="D70" s="49">
        <f>IF(($E64&gt;0),D64,D63)</f>
        <v>0</v>
      </c>
      <c r="E70" s="56">
        <f>MAX(C70:D70)</f>
        <v>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U47JMPN4QEAR-1806752177-30509</_dlc_DocId>
    <_dlc_DocIdUrl xmlns="ac3811b5-0f3e-49e2-ba69-f2ffa0c782af">
      <Url>https://michiganphi.sharepoint.com/sites/CMDMC/_layouts/15/DocIdRedir.aspx?ID=U47JMPN4QEAR-1806752177-30509</Url>
      <Description>U47JMPN4QEAR-1806752177-30509</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1C8A1D0-C223-4892-BD35-42E9EC069343}"/>
</file>

<file path=customXml/itemProps2.xml><?xml version="1.0" encoding="utf-8"?>
<ds:datastoreItem xmlns:ds="http://schemas.openxmlformats.org/officeDocument/2006/customXml" ds:itemID="{1B8BF2F9-9EE5-403E-A69D-C210E540E4ED}">
  <ds:schemaRefs>
    <ds:schemaRef ds:uri="http://schemas.microsoft.com/sharepoint/v3/contenttype/forms"/>
  </ds:schemaRefs>
</ds:datastoreItem>
</file>

<file path=customXml/itemProps3.xml><?xml version="1.0" encoding="utf-8"?>
<ds:datastoreItem xmlns:ds="http://schemas.openxmlformats.org/officeDocument/2006/customXml" ds:itemID="{D02655BD-24FB-4912-8900-575BD3E762CC}">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E839213E-E8B5-4512-B15E-EE744B6E75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2023-09-01T17:01:08Z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62e0212b-39d8-48b6-b3f4-fbdb54627134</vt:lpwstr>
  </property>
</Properties>
</file>