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8" documentId="8_{8EE91F84-0294-4B29-AF65-08D6616A5698}" xr6:coauthVersionLast="47" xr6:coauthVersionMax="47" xr10:uidLastSave="{3D665926-68A3-4890-938A-F035050BC9E8}"/>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J11" i="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3"/>
  <c r="M66" i="3"/>
  <c r="F27" i="6"/>
  <c r="M66" i="6"/>
  <c r="M66" i="7"/>
  <c r="F27" i="7"/>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2" i="16"/>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C64" i="5"/>
  <c r="B64" i="5"/>
  <c r="L64" i="5"/>
  <c r="C57" i="8"/>
  <c r="B57" i="8"/>
  <c r="B56" i="8"/>
  <c r="L56" i="8"/>
  <c r="E58" i="8"/>
  <c r="L64" i="8" s="1"/>
  <c r="L64" i="3"/>
  <c r="B55" i="8"/>
  <c r="D56" i="8"/>
  <c r="E56" i="8" s="1"/>
  <c r="B64" i="4"/>
  <c r="G7" i="8"/>
  <c r="K8" i="16" s="1"/>
  <c r="L7" i="8"/>
  <c r="T8" i="16" s="1"/>
  <c r="E57" i="3"/>
  <c r="L63" i="3" s="1"/>
  <c r="D57" i="8"/>
  <c r="E57" i="8" s="1"/>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C63" i="3"/>
  <c r="Q8" i="13"/>
  <c r="I7" i="9"/>
  <c r="B63" i="8"/>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L70" i="8" s="1"/>
  <c r="E63" i="3"/>
  <c r="C69" i="3" s="1"/>
  <c r="C70" i="3"/>
  <c r="D14" i="3" s="1"/>
  <c r="L70" i="6"/>
  <c r="C70" i="6"/>
  <c r="D13" i="6" s="1"/>
  <c r="L70" i="3"/>
  <c r="D70" i="6"/>
  <c r="F13" i="6" s="1"/>
  <c r="L69" i="7"/>
  <c r="C69" i="7"/>
  <c r="D12" i="7" s="1"/>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69" i="3"/>
  <c r="M69" i="3"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B70" i="8" l="1"/>
  <c r="M70" i="8" s="1"/>
  <c r="C70" i="8"/>
  <c r="Q13" i="8" s="1"/>
  <c r="D69" i="3"/>
  <c r="E69" i="3" s="1"/>
  <c r="D70" i="8"/>
  <c r="F13" i="8" s="1"/>
  <c r="D14" i="6"/>
  <c r="D15" i="7"/>
  <c r="Q12" i="7"/>
  <c r="Q15" i="7"/>
  <c r="E69" i="7"/>
  <c r="Q14" i="6"/>
  <c r="Q13" i="6"/>
  <c r="O15" i="7"/>
  <c r="O12" i="7"/>
  <c r="O13" i="6"/>
  <c r="B69" i="6"/>
  <c r="M69" i="6" s="1"/>
  <c r="F14" i="6"/>
  <c r="Q14" i="3"/>
  <c r="Q13" i="3"/>
  <c r="D13" i="3"/>
  <c r="F34" i="3"/>
  <c r="F14" i="3"/>
  <c r="E70" i="6"/>
  <c r="O14" i="6"/>
  <c r="O13" i="3"/>
  <c r="E70" i="3"/>
  <c r="C69" i="6"/>
  <c r="D12" i="6" s="1"/>
  <c r="F12" i="7"/>
  <c r="F33" i="3"/>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F8" i="2"/>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R14" i="5"/>
  <c r="S14" i="5" s="1"/>
  <c r="U14" i="5" s="1"/>
  <c r="J14" i="5" s="1"/>
  <c r="M14" i="5" s="1"/>
  <c r="C70" i="2"/>
  <c r="D14" i="2" s="1"/>
  <c r="T14" i="5"/>
  <c r="D13" i="8"/>
  <c r="O15" i="3"/>
  <c r="K14" i="5"/>
  <c r="Q15" i="3"/>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3" i="8" l="1"/>
  <c r="F34" i="8"/>
  <c r="E70" i="8"/>
  <c r="F14" i="8"/>
  <c r="O14" i="8"/>
  <c r="R14" i="8" s="1"/>
  <c r="S14" i="8" s="1"/>
  <c r="T12" i="7"/>
  <c r="K12" i="7"/>
  <c r="R12" i="7"/>
  <c r="S12" i="7" s="1"/>
  <c r="U12" i="7" s="1"/>
  <c r="J12" i="7" s="1"/>
  <c r="M12" i="7" s="1"/>
  <c r="K13" i="3"/>
  <c r="T15" i="7"/>
  <c r="R15" i="7"/>
  <c r="S15" i="7" s="1"/>
  <c r="U15" i="7" s="1"/>
  <c r="J15" i="7" s="1"/>
  <c r="M15" i="7" s="1"/>
  <c r="T13" i="6"/>
  <c r="K15" i="7"/>
  <c r="T14" i="3"/>
  <c r="R14" i="6"/>
  <c r="S14" i="6" s="1"/>
  <c r="U14" i="6" s="1"/>
  <c r="J14" i="6" s="1"/>
  <c r="M14" i="6" s="1"/>
  <c r="G14" i="6" s="1"/>
  <c r="M15" i="13" s="1"/>
  <c r="R13" i="6"/>
  <c r="S13" i="6" s="1"/>
  <c r="U13" i="6" s="1"/>
  <c r="J13" i="6" s="1"/>
  <c r="M13" i="6" s="1"/>
  <c r="G13" i="6" s="1"/>
  <c r="M14" i="13" s="1"/>
  <c r="F32" i="6"/>
  <c r="F35" i="6"/>
  <c r="K13" i="6"/>
  <c r="K14" i="6"/>
  <c r="R14" i="3"/>
  <c r="S14" i="3" s="1"/>
  <c r="U14" i="3" s="1"/>
  <c r="J14" i="3" s="1"/>
  <c r="M14" i="3" s="1"/>
  <c r="G14" i="3" s="1"/>
  <c r="I15" i="16" s="1"/>
  <c r="T13" i="8"/>
  <c r="U13" i="8" s="1"/>
  <c r="J13" i="8" s="1"/>
  <c r="M13" i="8" s="1"/>
  <c r="K14" i="3"/>
  <c r="T14" i="6"/>
  <c r="T13" i="3"/>
  <c r="R13" i="3"/>
  <c r="S13" i="3" s="1"/>
  <c r="U13" i="3" s="1"/>
  <c r="J13" i="3" s="1"/>
  <c r="M13" i="3" s="1"/>
  <c r="G13" i="3" s="1"/>
  <c r="Q12" i="6"/>
  <c r="Q15" i="6"/>
  <c r="D15" i="6"/>
  <c r="O12" i="6"/>
  <c r="E69" i="6"/>
  <c r="O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4" i="8" l="1"/>
  <c r="G13" i="9"/>
  <c r="K14" i="8"/>
  <c r="L12" i="7"/>
  <c r="S13" i="16" s="1"/>
  <c r="L15" i="7"/>
  <c r="S16" i="16" s="1"/>
  <c r="L13" i="6"/>
  <c r="R14" i="16" s="1"/>
  <c r="L14" i="3"/>
  <c r="P15" i="16" s="1"/>
  <c r="G13" i="8"/>
  <c r="K14" i="16" s="1"/>
  <c r="I15" i="13"/>
  <c r="E14" i="9"/>
  <c r="N30" i="3"/>
  <c r="L13" i="3"/>
  <c r="P14" i="16" s="1"/>
  <c r="R15" i="6"/>
  <c r="S15" i="6" s="1"/>
  <c r="U15" i="6" s="1"/>
  <c r="J15" i="6" s="1"/>
  <c r="M15" i="6" s="1"/>
  <c r="G15" i="6" s="1"/>
  <c r="T15" i="6"/>
  <c r="L13" i="8"/>
  <c r="T14" i="16" s="1"/>
  <c r="U14" i="8"/>
  <c r="J14" i="8" s="1"/>
  <c r="N30" i="8" s="1"/>
  <c r="R12" i="6"/>
  <c r="S12" i="6" s="1"/>
  <c r="U12" i="6" s="1"/>
  <c r="J12" i="6" s="1"/>
  <c r="M12" i="6" s="1"/>
  <c r="G12" i="6" s="1"/>
  <c r="K15" i="6"/>
  <c r="K12" i="6"/>
  <c r="T12" i="6"/>
  <c r="M13" i="9"/>
  <c r="U14" i="13"/>
  <c r="U12" i="13"/>
  <c r="M11" i="9"/>
  <c r="R12" i="8"/>
  <c r="S12" i="8" s="1"/>
  <c r="T13" i="2"/>
  <c r="U8" i="6"/>
  <c r="J8" i="6" s="1"/>
  <c r="M8" i="6" s="1"/>
  <c r="G8" i="6" s="1"/>
  <c r="M9" i="13" s="1"/>
  <c r="R13" i="2"/>
  <c r="S13" i="2" s="1"/>
  <c r="U13" i="2" s="1"/>
  <c r="J13" i="2" s="1"/>
  <c r="M13" i="2" s="1"/>
  <c r="T15" i="8"/>
  <c r="V11" i="13"/>
  <c r="G14" i="9"/>
  <c r="T12" i="8"/>
  <c r="K12" i="8"/>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X14" i="13" l="1"/>
  <c r="P13" i="9"/>
  <c r="Q12" i="9"/>
  <c r="Q14" i="13"/>
  <c r="L15" i="6"/>
  <c r="R16" i="16" s="1"/>
  <c r="V15" i="13"/>
  <c r="N14" i="9"/>
  <c r="Z14" i="13"/>
  <c r="I13" i="9"/>
  <c r="G13" i="2"/>
  <c r="E14" i="16" s="1"/>
  <c r="N13" i="9"/>
  <c r="U12" i="8"/>
  <c r="J12" i="8" s="1"/>
  <c r="L12" i="8" s="1"/>
  <c r="T13" i="16" s="1"/>
  <c r="V14" i="13"/>
  <c r="M14" i="8"/>
  <c r="G14" i="8" s="1"/>
  <c r="K15" i="16" s="1"/>
  <c r="L14" i="8"/>
  <c r="T15" i="16" s="1"/>
  <c r="R13" i="9"/>
  <c r="L12" i="6"/>
  <c r="R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6" i="13" l="1"/>
  <c r="P15" i="9"/>
  <c r="R14" i="9"/>
  <c r="E14" i="13"/>
  <c r="M12" i="8"/>
  <c r="G12" i="8" s="1"/>
  <c r="K13" i="16" s="1"/>
  <c r="C13" i="9"/>
  <c r="Z15" i="13"/>
  <c r="Q15" i="13"/>
  <c r="I14"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I12" i="9" l="1"/>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<sst xmlns="http://schemas.openxmlformats.org/spreadsheetml/2006/main" count="654" uniqueCount="141">
  <si>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</si>
  <si>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</si>
  <si>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</si>
  <si>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</si>
  <si>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</si>
  <si>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</si>
  <si>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</si>
  <si>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</si>
  <si>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</si>
  <si>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</si>
  <si>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</si>
  <si>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</si>
  <si>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</si>
  <si>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</si>
  <si>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</si>
  <si>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</si>
  <si>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</si>
  <si>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</si>
  <si>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</si>
  <si>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</si>
  <si>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</si>
  <si>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</si>
  <si>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</si>
  <si>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</si>
  <si>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</si>
  <si>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</si>
  <si>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</si>
  <si>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</si>
  <si>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</si>
  <si>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</si>
  <si>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</si>
  <si>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</si>
  <si>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</si>
  <si>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</si>
  <si>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</si>
  <si>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</si>
  <si>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</si>
  <si>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</si>
  <si>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</si>
  <si>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</si>
  <si>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</si>
  <si>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</si>
  <si>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</si>
  <si>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</si>
  <si>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</si>
  <si>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</si>
  <si>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</si>
  <si>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</si>
  <si>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</si>
  <si>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</si>
  <si>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</si>
  <si>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</si>
  <si>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</si>
  <si>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</si>
  <si>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</si>
  <si>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</si>
  <si>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</si>
  <si>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</si>
  <si>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</si>
  <si>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</si>
  <si>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</si>
  <si>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</si>
  <si>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</si>
  <si>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</si>
  <si>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</si>
  <si>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</si>
  <si>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</si>
  <si>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</si>
  <si>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</si>
  <si>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</si>
  <si>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</si>
  <si>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</si>
  <si>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</si>
  <si>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</si>
  <si>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</si>
  <si>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</si>
  <si>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</si>
  <si>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</si>
  <si>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</si>
  <si>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</si>
  <si>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</si>
  <si>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</si>
  <si>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</si>
  <si>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</si>
  <si>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</si>
  <si>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</si>
  <si>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</si>
  <si>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</si>
  <si>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</si>
  <si>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</si>
  <si>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</si>
  <si>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</si>
  <si>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</si>
  <si>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</si>
  <si>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</si>
  <si>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</si>
  <si>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</si>
  <si>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</si>
  <si>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</si>
  <si>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</si>
  <si>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</si>
  <si>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</si>
  <si>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</si>
  <si>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</si>
  <si>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</si>
  <si>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</si>
  <si>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</si>
  <si>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</si>
  <si>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</si>
  <si>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</si>
  <si>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</si>
  <si>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</si>
  <si>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</si>
  <si>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</si>
  <si>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</si>
  <si>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</si>
  <si>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</si>
  <si>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</si>
  <si>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</si>
  <si>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</si>
  <si>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</si>
  <si>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</si>
  <si>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</si>
  <si>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</si>
  <si>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</si>
  <si>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</si>
  <si>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</si>
  <si>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</si>
  <si>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</si>
  <si>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</si>
  <si>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</si>
  <si>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</si>
  <si>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</si>
  <si>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</si>
  <si>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</si>
  <si>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</si>
  <si>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Tuscola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</si>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</sst>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Tuscola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N=42</c:v>
                </c:pt>
                <c:pt idx="3">
                  <c:v>Petitions, total N=46</c:v>
                </c:pt>
                <c:pt idx="4">
                  <c:v>Detentions, total N=6</c:v>
                </c:pt>
                <c:pt idx="5">
                  <c:v>Referrals, total N=90</c:v>
                </c:pt>
                <c:pt idx="6">
                  <c:v>Arrests, total N=64</c:v>
                </c:pt>
                <c:pt idx="7">
                  <c:v>Population, total N=5119</c:v>
                </c:pt>
              </c:strCache>
            </c:strRef>
          </c:cat>
          <c:val>
            <c:numRef>
              <c:f>'Stacked 100%'!$B$7:$B$14</c:f>
              <c:numCache>
                <c:formatCode>0%</c:formatCode>
                <c:ptCount val="8"/>
                <c:pt idx="0">
                  <c:v>0</c:v>
                </c:pt>
                <c:pt idx="1">
                  <c:v>0</c:v>
                </c:pt>
                <c:pt idx="2">
                  <c:v>2.3809523809523808E-2</c:v>
                </c:pt>
                <c:pt idx="3">
                  <c:v>2.1739130434782608E-2</c:v>
                </c:pt>
                <c:pt idx="4">
                  <c:v>0</c:v>
                </c:pt>
                <c:pt idx="5">
                  <c:v>0.18888888888888888</c:v>
                </c:pt>
                <c:pt idx="6">
                  <c:v>6.25E-2</c:v>
                </c:pt>
                <c:pt idx="7">
                  <c:v>3.8093377612815005E-2</c:v>
                </c:pt>
              </c:numCache>
            </c:numRef>
          </c:val>
          <c:extLst>
            <c:ext xmlns:c16="http://schemas.microsoft.com/office/drawing/2014/chart" uri="{C3380CC4-5D6E-409C-BE32-E72D297353CC}">
              <c16:uniqueId val="{00000000-67DF-406A-8E1E-7D615C6B6B1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N=42</c:v>
                </c:pt>
                <c:pt idx="3">
                  <c:v>Petitions, total N=46</c:v>
                </c:pt>
                <c:pt idx="4">
                  <c:v>Detentions, total N=6</c:v>
                </c:pt>
                <c:pt idx="5">
                  <c:v>Referrals, total N=90</c:v>
                </c:pt>
                <c:pt idx="6">
                  <c:v>Arrests, total N=64</c:v>
                </c:pt>
                <c:pt idx="7">
                  <c:v>Population, total N=5119</c:v>
                </c:pt>
              </c:strCache>
            </c:strRef>
          </c:cat>
          <c:val>
            <c:numRef>
              <c:f>'Stacked 100%'!$C$7:$C$14</c:f>
              <c:numCache>
                <c:formatCode>0%</c:formatCode>
                <c:ptCount val="8"/>
                <c:pt idx="0">
                  <c:v>0</c:v>
                </c:pt>
                <c:pt idx="1">
                  <c:v>0</c:v>
                </c:pt>
                <c:pt idx="2">
                  <c:v>0</c:v>
                </c:pt>
                <c:pt idx="3">
                  <c:v>0</c:v>
                </c:pt>
                <c:pt idx="4">
                  <c:v>0</c:v>
                </c:pt>
                <c:pt idx="5">
                  <c:v>0</c:v>
                </c:pt>
                <c:pt idx="6">
                  <c:v>1.5625E-2</c:v>
                </c:pt>
                <c:pt idx="7">
                  <c:v>5.8605196327407696E-2</c:v>
                </c:pt>
              </c:numCache>
            </c:numRef>
          </c:val>
          <c:extLst>
            <c:ext xmlns:c16="http://schemas.microsoft.com/office/drawing/2014/chart" uri="{C3380CC4-5D6E-409C-BE32-E72D297353CC}">
              <c16:uniqueId val="{00000001-67DF-406A-8E1E-7D615C6B6B1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N=42</c:v>
                </c:pt>
                <c:pt idx="3">
                  <c:v>Petitions, total N=46</c:v>
                </c:pt>
                <c:pt idx="4">
                  <c:v>Detentions, total N=6</c:v>
                </c:pt>
                <c:pt idx="5">
                  <c:v>Referrals, total N=90</c:v>
                </c:pt>
                <c:pt idx="6">
                  <c:v>Arrests, total N=64</c:v>
                </c:pt>
                <c:pt idx="7">
                  <c:v>Population, total N=5119</c:v>
                </c:pt>
              </c:strCache>
            </c:strRef>
          </c:cat>
          <c:val>
            <c:numRef>
              <c:f>'Stacked 100%'!$H$7:$H$14</c:f>
              <c:numCache>
                <c:formatCode>0%</c:formatCode>
                <c:ptCount val="8"/>
                <c:pt idx="0">
                  <c:v>0</c:v>
                </c:pt>
                <c:pt idx="1">
                  <c:v>0</c:v>
                </c:pt>
                <c:pt idx="2">
                  <c:v>0</c:v>
                </c:pt>
                <c:pt idx="3">
                  <c:v>0</c:v>
                </c:pt>
                <c:pt idx="4">
                  <c:v>0</c:v>
                </c:pt>
                <c:pt idx="5">
                  <c:v>0</c:v>
                </c:pt>
                <c:pt idx="6">
                  <c:v>0</c:v>
                </c:pt>
                <c:pt idx="7">
                  <c:v>2.595007716522578E-6</c:v>
                </c:pt>
              </c:numCache>
            </c:numRef>
          </c:val>
          <c:extLst>
            <c:ext xmlns:c16="http://schemas.microsoft.com/office/drawing/2014/chart" uri="{C3380CC4-5D6E-409C-BE32-E72D297353CC}">
              <c16:uniqueId val="{00000002-67DF-406A-8E1E-7D615C6B6B1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N=42</c:v>
                </c:pt>
                <c:pt idx="3">
                  <c:v>Petitions, total N=46</c:v>
                </c:pt>
                <c:pt idx="4">
                  <c:v>Detentions, total N=6</c:v>
                </c:pt>
                <c:pt idx="5">
                  <c:v>Referrals, total N=90</c:v>
                </c:pt>
                <c:pt idx="6">
                  <c:v>Arrests, total N=64</c:v>
                </c:pt>
                <c:pt idx="7">
                  <c:v>Population, total N=5119</c:v>
                </c:pt>
              </c:strCache>
            </c:strRef>
          </c:cat>
          <c:val>
            <c:numRef>
              <c:f>'Stacked 100%'!$I$7:$I$14</c:f>
              <c:numCache>
                <c:formatCode>0%</c:formatCode>
                <c:ptCount val="8"/>
                <c:pt idx="0">
                  <c:v>0</c:v>
                </c:pt>
                <c:pt idx="1">
                  <c:v>0</c:v>
                </c:pt>
                <c:pt idx="2">
                  <c:v>0.73809523809523814</c:v>
                </c:pt>
                <c:pt idx="3">
                  <c:v>0.76086956521739135</c:v>
                </c:pt>
                <c:pt idx="4">
                  <c:v>0.83333333333333337</c:v>
                </c:pt>
                <c:pt idx="5">
                  <c:v>0.64444444444444449</c:v>
                </c:pt>
                <c:pt idx="6">
                  <c:v>0.84375</c:v>
                </c:pt>
                <c:pt idx="7">
                  <c:v>0.89001758155889821</c:v>
                </c:pt>
              </c:numCache>
            </c:numRef>
          </c:val>
          <c:extLst>
            <c:ext xmlns:c16="http://schemas.microsoft.com/office/drawing/2014/chart" uri="{C3380CC4-5D6E-409C-BE32-E72D297353CC}">
              <c16:uniqueId val="{00000003-67DF-406A-8E1E-7D615C6B6B19}"/>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N=42</c:v>
                </c:pt>
                <c:pt idx="3">
                  <c:v>Petitions, total N=46</c:v>
                </c:pt>
                <c:pt idx="4">
                  <c:v>Detentions, total N=6</c:v>
                </c:pt>
                <c:pt idx="5">
                  <c:v>Referrals, total N=90</c:v>
                </c:pt>
                <c:pt idx="6">
                  <c:v>Arrests, total N=64</c:v>
                </c:pt>
                <c:pt idx="7">
                  <c:v>Population, total N=5119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7DF-406A-8E1E-7D615C6B6B19}"/>
            </c:ext>
          </c:extLst>
        </c:ser>
        <c:dLbls>
          <c:showLegendKey val="0"/>
          <c:showVal val="0"/>
          <c:showCatName val="0"/>
          <c:showSerName val="0"/>
          <c:showPercent val="0"/>
          <c:showBubbleSize val="0"/>
        </c:dLbls>
        <c:gapWidth val="150"/>
        <c:overlap val="100"/>
        <c:axId val="107926272"/>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07926272"/>
        <c:crosses val="max"/>
        <c:crossBetween val="between"/>
      </c:valAx>
      <c:catAx>
        <c:axId val="107926272"/>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5119</v>
      </c>
      <c r="C6" s="11">
        <v>4556</v>
      </c>
      <c r="D6" s="11">
        <v>195</v>
      </c>
      <c r="E6" s="11">
        <v>300</v>
      </c>
      <c r="F6" s="11">
        <v>29</v>
      </c>
      <c r="G6" s="11"/>
      <c r="H6" s="11">
        <v>39</v>
      </c>
      <c r="I6" s="11"/>
      <c r="J6" s="91">
        <f>SUM(D6:I6)</f>
        <v>563</v>
      </c>
      <c r="K6" s="92"/>
    </row>
    <row r="7" spans="1:11" ht="15.75" customHeight="1" thickBot="1">
      <c r="A7" s="10" t="s">
        <v>8</v>
      </c>
      <c r="B7" s="11">
        <f t="shared" ref="B7:B15" si="0">SUM(C7:I7)+K7</f>
        <v>64</v>
      </c>
      <c r="C7" s="11">
        <v>54</v>
      </c>
      <c r="D7" s="11">
        <v>4</v>
      </c>
      <c r="E7" s="11">
        <v>1</v>
      </c>
      <c r="F7" s="11"/>
      <c r="G7" s="11"/>
      <c r="H7" s="11"/>
      <c r="I7" s="11"/>
      <c r="J7" s="91">
        <f t="shared" ref="J7:J15" si="1">SUM(D7:I7)</f>
        <v>5</v>
      </c>
      <c r="K7" s="92">
        <v>5</v>
      </c>
    </row>
    <row r="8" spans="1:11" ht="15.75" customHeight="1" thickBot="1">
      <c r="A8" s="10" t="s">
        <v>9</v>
      </c>
      <c r="B8" s="11">
        <f t="shared" si="0"/>
        <v>90</v>
      </c>
      <c r="C8" s="11">
        <v>58</v>
      </c>
      <c r="D8" s="11">
        <v>17</v>
      </c>
      <c r="E8" s="11"/>
      <c r="F8" s="11"/>
      <c r="G8" s="11"/>
      <c r="H8" s="11"/>
      <c r="I8" s="11"/>
      <c r="J8" s="91">
        <f t="shared" si="1"/>
        <v>17</v>
      </c>
      <c r="K8" s="11">
        <v>15</v>
      </c>
    </row>
    <row r="9" spans="1:11" ht="15.75" customHeight="1" thickBot="1">
      <c r="A9" s="10" t="s">
        <v>10</v>
      </c>
      <c r="B9" s="11">
        <f t="shared" si="0"/>
        <v>0</v>
      </c>
      <c r="C9" s="11"/>
      <c r="D9" s="11"/>
      <c r="E9" s="11"/>
      <c r="F9" s="11"/>
      <c r="G9" s="11"/>
      <c r="H9" s="11"/>
      <c r="I9" s="11"/>
      <c r="J9" s="91">
        <f t="shared" si="1"/>
        <v>0</v>
      </c>
      <c r="K9" s="11"/>
    </row>
    <row r="10" spans="1:11" ht="15.75" customHeight="1" thickBot="1">
      <c r="A10" s="10" t="s">
        <v>11</v>
      </c>
      <c r="B10" s="11">
        <f t="shared" si="0"/>
        <v>6</v>
      </c>
      <c r="C10" s="11">
        <v>5</v>
      </c>
      <c r="D10" s="11"/>
      <c r="E10" s="11"/>
      <c r="F10" s="11"/>
      <c r="G10" s="11"/>
      <c r="H10" s="11"/>
      <c r="I10" s="11"/>
      <c r="J10" s="91">
        <f t="shared" si="1"/>
        <v>0</v>
      </c>
      <c r="K10" s="11">
        <v>1</v>
      </c>
    </row>
    <row r="11" spans="1:11" ht="15.75" customHeight="1" thickBot="1">
      <c r="A11" s="10" t="s">
        <v>12</v>
      </c>
      <c r="B11" s="11">
        <f t="shared" si="0"/>
        <v>46</v>
      </c>
      <c r="C11" s="11">
        <v>35</v>
      </c>
      <c r="D11" s="11">
        <v>1</v>
      </c>
      <c r="E11" s="11"/>
      <c r="F11" s="11"/>
      <c r="G11" s="11"/>
      <c r="H11" s="11"/>
      <c r="I11" s="11"/>
      <c r="J11" s="91">
        <f>SUM(D11:I11)</f>
        <v>1</v>
      </c>
      <c r="K11" s="11">
        <v>10</v>
      </c>
    </row>
    <row r="12" spans="1:11" ht="15.75" customHeight="1" thickBot="1">
      <c r="A12" s="10" t="s">
        <v>13</v>
      </c>
      <c r="B12" s="11">
        <f t="shared" si="0"/>
        <v>42</v>
      </c>
      <c r="C12" s="11">
        <v>31</v>
      </c>
      <c r="D12" s="11">
        <v>1</v>
      </c>
      <c r="E12" s="11"/>
      <c r="F12" s="11"/>
      <c r="G12" s="11"/>
      <c r="H12" s="11"/>
      <c r="I12" s="11"/>
      <c r="J12" s="91">
        <f t="shared" si="1"/>
        <v>1</v>
      </c>
      <c r="K12" s="11">
        <v>10</v>
      </c>
    </row>
    <row r="13" spans="1:11" ht="15.75" customHeight="1" thickBot="1">
      <c r="A13" s="10" t="s">
        <v>133</v>
      </c>
      <c r="B13" s="11">
        <f t="shared" si="0"/>
        <v>84</v>
      </c>
      <c r="C13" s="11">
        <v>53</v>
      </c>
      <c r="D13" s="11">
        <v>16</v>
      </c>
      <c r="E13" s="11"/>
      <c r="F13" s="11"/>
      <c r="G13" s="11"/>
      <c r="H13" s="11"/>
      <c r="I13" s="11"/>
      <c r="J13" s="91">
        <f t="shared" si="1"/>
        <v>16</v>
      </c>
      <c r="K13" s="11">
        <v>15</v>
      </c>
    </row>
    <row r="14" spans="1:11" ht="26.25" customHeight="1" thickBot="1">
      <c r="A14" s="10" t="s">
        <v>123</v>
      </c>
      <c r="B14" s="11">
        <f t="shared" si="0"/>
        <v>1</v>
      </c>
      <c r="C14" s="11"/>
      <c r="D14" s="11"/>
      <c r="E14" s="11"/>
      <c r="F14" s="11"/>
      <c r="G14" s="11"/>
      <c r="H14" s="11"/>
      <c r="I14" s="11"/>
      <c r="J14" s="91">
        <f t="shared" si="1"/>
        <v>0</v>
      </c>
      <c r="K14" s="11">
        <v>1</v>
      </c>
    </row>
    <row r="15" spans="1:11" ht="15.75" customHeight="1" thickBot="1">
      <c r="A15" s="10" t="s">
        <v>16</v>
      </c>
      <c r="B15" s="11">
        <f t="shared" si="0"/>
        <v>0</v>
      </c>
      <c r="C15" s="11"/>
      <c r="D15" s="11"/>
      <c r="E15" s="11"/>
      <c r="F15" s="11"/>
      <c r="G15" s="11"/>
      <c r="H15" s="11"/>
      <c r="I15" s="11"/>
      <c r="J15" s="91">
        <f t="shared" si="1"/>
        <v>0</v>
      </c>
      <c r="K15" s="11"/>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4556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54</v>
      </c>
      <c r="D7" s="34">
        <f>IF((AND(C66&gt;0,C7&gt;0)),(C7/C66),0)</f>
        <v>11.852502194907814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54</v>
      </c>
      <c r="Q7" s="42">
        <f>C6-C7</f>
        <v>4502</v>
      </c>
      <c r="R7" s="42">
        <f t="shared" ref="R7:R15" si="5">SUM(N7:Q7)</f>
        <v>4556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58</v>
      </c>
      <c r="D8" s="34">
        <f>IF((AND(C67&gt;0,C8&gt;0)),(C8/C67),0)</f>
        <v>107.4074074074074</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58</v>
      </c>
      <c r="Q8" s="42">
        <f>(C$67*L67)-C8</f>
        <v>-4</v>
      </c>
      <c r="R8" s="42">
        <f t="shared" si="5"/>
        <v>54.05</v>
      </c>
      <c r="S8" s="30">
        <f t="shared" si="6"/>
        <v>454.5605000000001</v>
      </c>
      <c r="T8" s="30">
        <f t="shared" si="7"/>
        <v>-618.57000000000016</v>
      </c>
      <c r="U8" s="31">
        <f t="shared" si="8"/>
        <v>-0.73485700890764183</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57.999999999999993</v>
      </c>
      <c r="R9" s="42">
        <f t="shared" si="5"/>
        <v>57.999999999999993</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8.6206896551724146</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52.999999999999993</v>
      </c>
      <c r="R10" s="42">
        <f t="shared" si="5"/>
        <v>57.999999999999993</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60.344827586206904</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22.999999999999993</v>
      </c>
      <c r="R11" s="42">
        <f t="shared" si="5"/>
        <v>57.999999999999993</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88.571428571428584</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4</v>
      </c>
      <c r="R12" s="42">
        <f t="shared" si="5"/>
        <v>35</v>
      </c>
      <c r="S12" s="30">
        <f t="shared" si="6"/>
        <v>0</v>
      </c>
      <c r="T12" s="30">
        <f t="shared" si="7"/>
        <v>0</v>
      </c>
      <c r="U12" s="31" t="str">
        <f t="shared" si="8"/>
        <v>- -</v>
      </c>
    </row>
    <row r="13" spans="2:21" ht="18" customHeight="1">
      <c r="B13" s="32" t="str">
        <f>'Data Entry'!A13</f>
        <v>8. Cases Resulting in Probation Placement</v>
      </c>
      <c r="C13" s="33">
        <f>'Data Entry'!C13</f>
        <v>53</v>
      </c>
      <c r="D13" s="34">
        <f>IF(((AND(C70&gt;0,C13&gt;0))),(C13/(C70)),0)</f>
        <v>170.96774193548387</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53</v>
      </c>
      <c r="Q13" s="42">
        <f>(C70*L70)-C13</f>
        <v>-22</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31</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4.556</v>
      </c>
      <c r="D42" s="56">
        <f>E6/1000</f>
        <v>0</v>
      </c>
      <c r="E42" s="56">
        <f>MAX(C42:D42)</f>
        <v>4.556</v>
      </c>
      <c r="G42" s="1" t="str">
        <f>B42</f>
        <v>per 1000 youth</v>
      </c>
      <c r="L42" s="57">
        <v>1000</v>
      </c>
      <c r="M42" s="57"/>
      <c r="R42" s="49"/>
    </row>
    <row r="43" spans="2:18" ht="15" hidden="1" customHeight="1">
      <c r="B43" s="49" t="s">
        <v>87</v>
      </c>
      <c r="C43" s="56">
        <f>C7/100</f>
        <v>0.54</v>
      </c>
      <c r="D43" s="56">
        <f>E7/100</f>
        <v>0</v>
      </c>
      <c r="E43" s="56">
        <f>MAX(C43:D43,0)</f>
        <v>0.54</v>
      </c>
      <c r="G43" s="1" t="str">
        <f>B43</f>
        <v>per 100 arrests</v>
      </c>
      <c r="L43" s="57">
        <v>100</v>
      </c>
      <c r="M43" s="57"/>
      <c r="R43" s="49"/>
    </row>
    <row r="44" spans="2:18" ht="15" hidden="1" customHeight="1">
      <c r="B44" s="49" t="s">
        <v>88</v>
      </c>
      <c r="C44" s="56">
        <f>C8/100</f>
        <v>0.57999999999999996</v>
      </c>
      <c r="D44" s="56">
        <f>E8/100</f>
        <v>0</v>
      </c>
      <c r="E44" s="56">
        <f>MAX(C44:D44,0)</f>
        <v>0.57999999999999996</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4.556</v>
      </c>
      <c r="D48" s="56">
        <f>D42</f>
        <v>0</v>
      </c>
      <c r="E48" s="56">
        <f>MAX(C48:D48)</f>
        <v>4.556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0.54</v>
      </c>
      <c r="D49" s="49">
        <f t="shared" si="9"/>
        <v>0</v>
      </c>
      <c r="E49" s="49">
        <f>MAX(C49:D49)</f>
        <v>0.54</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4.556</v>
      </c>
      <c r="D54" s="56">
        <f>D48</f>
        <v>0</v>
      </c>
      <c r="E54" s="56">
        <f>MAX(C54:D54)</f>
        <v>4.556</v>
      </c>
      <c r="G54" s="1" t="str">
        <f>G48</f>
        <v>per 1000 youth</v>
      </c>
      <c r="L54" s="58">
        <f>L48</f>
        <v>1000</v>
      </c>
      <c r="M54" s="58"/>
    </row>
    <row r="55" spans="2:18" ht="15" hidden="1" customHeight="1">
      <c r="B55" s="49" t="str">
        <f t="shared" ref="B55:D56" si="10">IF(($E49&gt;0),B49,B48)</f>
        <v>per 100 arrests</v>
      </c>
      <c r="C55" s="49">
        <f t="shared" si="10"/>
        <v>0.54</v>
      </c>
      <c r="D55" s="49">
        <f t="shared" si="10"/>
        <v>0</v>
      </c>
      <c r="E55" s="49">
        <f>MAX(C55:D55)</f>
        <v>0.54</v>
      </c>
      <c r="G55" s="1" t="str">
        <f>G49</f>
        <v>per 100 arrests</v>
      </c>
      <c r="L55" s="58">
        <f>IF(($E49&gt;0),L49,L48)</f>
        <v>100</v>
      </c>
      <c r="M55" s="58"/>
    </row>
    <row r="56" spans="2:18" ht="15" hidden="1" customHeight="1">
      <c r="B56" s="49" t="str">
        <f t="shared" si="10"/>
        <v>per 100 referrals</v>
      </c>
      <c r="C56" s="49">
        <f t="shared" si="10"/>
        <v>0.57999999999999996</v>
      </c>
      <c r="D56" s="49">
        <f t="shared" si="10"/>
        <v>0</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4.556</v>
      </c>
      <c r="D60" s="56">
        <f>D54</f>
        <v>0</v>
      </c>
      <c r="E60" s="56">
        <f>MAX(C60:D60)</f>
        <v>4.556</v>
      </c>
      <c r="G60" s="1" t="str">
        <f>G54</f>
        <v>per 1000 youth</v>
      </c>
      <c r="L60" s="58">
        <f>L54</f>
        <v>1000</v>
      </c>
      <c r="M60" s="58"/>
    </row>
    <row r="61" spans="2:18" ht="15" hidden="1" customHeight="1">
      <c r="B61" s="49" t="str">
        <f t="shared" ref="B61:D62" si="11">IF(($E55&gt;0),B55,B54)</f>
        <v>per 100 arrests</v>
      </c>
      <c r="C61" s="49">
        <f t="shared" si="11"/>
        <v>0.54</v>
      </c>
      <c r="D61" s="49">
        <f t="shared" si="11"/>
        <v>0</v>
      </c>
      <c r="E61" s="49">
        <f>MAX(C61:D61)</f>
        <v>0.54</v>
      </c>
      <c r="G61" s="1" t="str">
        <f>G55</f>
        <v>per 100 arrests</v>
      </c>
      <c r="L61" s="58">
        <f>IF(($E55&gt;0),L55,L54)</f>
        <v>100</v>
      </c>
      <c r="M61" s="58"/>
    </row>
    <row r="62" spans="2:18" ht="15" hidden="1" customHeight="1">
      <c r="B62" s="49" t="str">
        <f t="shared" si="11"/>
        <v>per 100 referrals</v>
      </c>
      <c r="C62" s="49">
        <f t="shared" si="11"/>
        <v>0.57999999999999996</v>
      </c>
      <c r="D62" s="49">
        <f t="shared" si="11"/>
        <v>0</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4.556</v>
      </c>
      <c r="D66" s="56">
        <f>D60</f>
        <v>0</v>
      </c>
      <c r="E66" s="56">
        <f>MAX(C66:D66)</f>
        <v>4.556</v>
      </c>
      <c r="G66" s="1" t="str">
        <f>G60</f>
        <v>per 1000 youth</v>
      </c>
      <c r="L66" s="58">
        <f>L60</f>
        <v>1000</v>
      </c>
      <c r="M66" s="58">
        <f>IF((B66=G66),1,2)</f>
        <v>1</v>
      </c>
    </row>
    <row r="67" spans="2:13" ht="15" hidden="1" customHeight="1">
      <c r="B67" s="49" t="str">
        <f t="shared" ref="B67:D68" si="12">IF(($E61&gt;0),B61,B60)</f>
        <v>per 100 arrests</v>
      </c>
      <c r="C67" s="49">
        <f t="shared" si="12"/>
        <v>0.54</v>
      </c>
      <c r="D67" s="49">
        <f t="shared" si="12"/>
        <v>0</v>
      </c>
      <c r="E67" s="49">
        <f>MAX(C67:D67)</f>
        <v>0.54</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4556</v>
      </c>
      <c r="D6" s="34"/>
      <c r="E6" s="33">
        <f>'Data Entry'!J6</f>
        <v>563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54</v>
      </c>
      <c r="D7" s="34">
        <f>IF((AND(C66&gt;0,C7&gt;0)),(C7/C66),0)</f>
        <v>11.852502194907814</v>
      </c>
      <c r="E7" s="33">
        <f>'Data Entry'!J7</f>
        <v>5</v>
      </c>
      <c r="F7" s="34">
        <f>IF((AND($E$7&gt;0,$D$66&gt;0)),($E$7/$D$66),0)</f>
        <v>8.8809946714031973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5</v>
      </c>
      <c r="O7" s="42">
        <f>E6-E7</f>
        <v>558</v>
      </c>
      <c r="P7" s="42">
        <f t="shared" ref="P7:P15" si="4">C7</f>
        <v>54</v>
      </c>
      <c r="Q7" s="42">
        <f>C6-C7</f>
        <v>4502</v>
      </c>
      <c r="R7" s="42">
        <f t="shared" ref="R7:R15" si="5">SUM(N7:Q7)</f>
        <v>5119</v>
      </c>
      <c r="S7" s="30">
        <f t="shared" ref="S7:S15" si="6">R7*((((N7*Q7)-(O7*P7))^2))</f>
        <v>297387711196</v>
      </c>
      <c r="T7" s="30">
        <f t="shared" ref="T7:T15" si="7">(N7+O7)*(P7+Q7)*(N7+P7)*(O7+Q7)</f>
        <v>765763459120</v>
      </c>
      <c r="U7" s="31">
        <f t="shared" ref="U7:U15" si="8">IF((S7&gt;0),S7/T7,"- -")</f>
        <v>0.3883545338370572</v>
      </c>
    </row>
    <row r="8" spans="2:21" ht="18" customHeight="1">
      <c r="B8" s="32" t="str">
        <f>'Data Entry'!A8</f>
        <v>3. Refer to Juvenile Court</v>
      </c>
      <c r="C8" s="33">
        <f>'Data Entry'!C8</f>
        <v>58</v>
      </c>
      <c r="D8" s="34">
        <f>IF((AND(C67&gt;0,C8&gt;0)),(C8/C67),0)</f>
        <v>107.4074074074074</v>
      </c>
      <c r="E8" s="33">
        <f>'Data Entry'!J8</f>
        <v>17</v>
      </c>
      <c r="F8" s="34">
        <f>IF((AND($E$8&gt;0,$D$67&gt;0)),($E8/$D67),0)</f>
        <v>340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17</v>
      </c>
      <c r="O8" s="42">
        <f>((D67*L67)-E8)+0.05</f>
        <v>-11.95</v>
      </c>
      <c r="P8" s="42">
        <f t="shared" si="4"/>
        <v>58</v>
      </c>
      <c r="Q8" s="42">
        <f>(C$67*L67)-C8</f>
        <v>-4</v>
      </c>
      <c r="R8" s="42">
        <f t="shared" si="5"/>
        <v>59.05</v>
      </c>
      <c r="S8" s="30">
        <f t="shared" si="6"/>
        <v>23073788.090499993</v>
      </c>
      <c r="T8" s="30">
        <f t="shared" si="7"/>
        <v>-326217.37500000006</v>
      </c>
      <c r="U8" s="31">
        <f t="shared" si="8"/>
        <v>-70.731327816306504</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17</v>
      </c>
      <c r="P9" s="42">
        <f t="shared" si="4"/>
        <v>0</v>
      </c>
      <c r="Q9" s="42">
        <f>(C$68*L68)-C9</f>
        <v>57.999999999999993</v>
      </c>
      <c r="R9" s="42">
        <f t="shared" si="5"/>
        <v>75</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8.6206896551724146</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17</v>
      </c>
      <c r="P10" s="42">
        <f t="shared" si="4"/>
        <v>5</v>
      </c>
      <c r="Q10" s="42">
        <f>(C$68*L68)-C10</f>
        <v>52.999999999999993</v>
      </c>
      <c r="R10" s="42">
        <f t="shared" si="5"/>
        <v>75</v>
      </c>
      <c r="S10" s="30">
        <f t="shared" si="6"/>
        <v>541875</v>
      </c>
      <c r="T10" s="30">
        <f t="shared" si="7"/>
        <v>345099.99999999994</v>
      </c>
      <c r="U10" s="31">
        <f t="shared" si="8"/>
        <v>1.5701970443349755</v>
      </c>
    </row>
    <row r="11" spans="2:21" ht="18" customHeight="1">
      <c r="B11" s="32" t="str">
        <f>'Data Entry'!A11</f>
        <v>6. Cases Petitioned (Charge Filed)</v>
      </c>
      <c r="C11" s="33">
        <f>'Data Entry'!C11</f>
        <v>35</v>
      </c>
      <c r="D11" s="34">
        <f>IF(((AND(C68&gt;0,C11&gt;0))),(C11/(C68)),0)</f>
        <v>60.344827586206904</v>
      </c>
      <c r="E11" s="33">
        <f>'Data Entry'!J11</f>
        <v>1</v>
      </c>
      <c r="F11" s="34">
        <f>IF(((AND($E$11&gt;0,$D$68&gt;0))),($E$11/($D$68)),0)</f>
        <v>5.8823529411764701</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1</v>
      </c>
      <c r="O11" s="42">
        <f>(D$68*L68)-E11</f>
        <v>16</v>
      </c>
      <c r="P11" s="42">
        <f t="shared" si="4"/>
        <v>35</v>
      </c>
      <c r="Q11" s="42">
        <f>(C$68*L68)-C11</f>
        <v>22.999999999999993</v>
      </c>
      <c r="R11" s="42">
        <f t="shared" si="5"/>
        <v>75</v>
      </c>
      <c r="S11" s="30">
        <f t="shared" si="6"/>
        <v>21627675</v>
      </c>
      <c r="T11" s="30">
        <f t="shared" si="7"/>
        <v>1384343.9999999995</v>
      </c>
      <c r="U11" s="31">
        <f t="shared" si="8"/>
        <v>15.62304961772508</v>
      </c>
    </row>
    <row r="12" spans="2:21" ht="18" customHeight="1">
      <c r="B12" s="32" t="str">
        <f>'Data Entry'!A12</f>
        <v>7. Cases Resulting in Delinquent Findings</v>
      </c>
      <c r="C12" s="33">
        <f>'Data Entry'!C12</f>
        <v>31</v>
      </c>
      <c r="D12" s="34">
        <f>IF(((AND(C69&gt;0,C12&gt;0))),(C12/(C69)),0)</f>
        <v>88.571428571428584</v>
      </c>
      <c r="E12" s="33">
        <f>'Data Entry'!J12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31</v>
      </c>
      <c r="Q12" s="42">
        <f>(C69*L69)-C12</f>
        <v>4</v>
      </c>
      <c r="R12" s="42">
        <f t="shared" si="5"/>
        <v>36</v>
      </c>
      <c r="S12" s="30">
        <f t="shared" si="6"/>
        <v>576</v>
      </c>
      <c r="T12" s="30">
        <f t="shared" si="7"/>
        <v>4480</v>
      </c>
      <c r="U12" s="31">
        <f t="shared" si="8"/>
        <v>0.12857142857142856</v>
      </c>
    </row>
    <row r="13" spans="2:21" ht="18" customHeight="1">
      <c r="B13" s="32" t="str">
        <f>'Data Entry'!A13</f>
        <v>8. Cases Resulting in Probation Placement</v>
      </c>
      <c r="C13" s="33">
        <f>'Data Entry'!C13</f>
        <v>53</v>
      </c>
      <c r="D13" s="34">
        <f>IF(((AND(C70&gt;0,C13&gt;0))),(C13/(C70)),0)</f>
        <v>170.96774193548387</v>
      </c>
      <c r="E13" s="33">
        <f>'Data Entry'!J13</f>
        <v>16</v>
      </c>
      <c r="F13" s="34">
        <f>IF(((AND($D$70&gt;0,$E$13&gt;0))),($E$13/($D$70)),0)</f>
        <v>1600</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16</v>
      </c>
      <c r="O13" s="42">
        <f>(D70*L70)-E13</f>
        <v>-15</v>
      </c>
      <c r="P13" s="42">
        <f t="shared" si="4"/>
        <v>53</v>
      </c>
      <c r="Q13" s="42">
        <f>(C70*L70)-C13</f>
        <v>-22</v>
      </c>
      <c r="R13" s="42">
        <f t="shared" si="5"/>
        <v>32</v>
      </c>
      <c r="S13" s="30">
        <f t="shared" si="6"/>
        <v>6279968</v>
      </c>
      <c r="T13" s="30">
        <f t="shared" si="7"/>
        <v>-79143</v>
      </c>
      <c r="U13" s="31">
        <f t="shared" si="8"/>
        <v>-79.349632942900826</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31</v>
      </c>
      <c r="R14" s="42">
        <f t="shared" si="5"/>
        <v>32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35</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4.556</v>
      </c>
      <c r="D42" s="56">
        <f>E6/1000</f>
        <v>0.56299999999999994</v>
      </c>
      <c r="E42" s="56">
        <f>MAX(C42:D42)</f>
        <v>4.556</v>
      </c>
      <c r="G42" s="1" t="str">
        <f>B42</f>
        <v>per 1000 youth</v>
      </c>
      <c r="L42" s="57">
        <v>1000</v>
      </c>
      <c r="M42" s="57"/>
      <c r="R42" s="49"/>
    </row>
    <row r="43" spans="2:18" ht="15" hidden="1" customHeight="1">
      <c r="B43" s="49" t="s">
        <v>87</v>
      </c>
      <c r="C43" s="56">
        <f>C7/100</f>
        <v>0.54</v>
      </c>
      <c r="D43" s="56">
        <f>E7/100</f>
        <v>0.05</v>
      </c>
      <c r="E43" s="56">
        <f>MAX(C43:D43,0)</f>
        <v>0.54</v>
      </c>
      <c r="G43" s="1" t="str">
        <f>B43</f>
        <v>per 100 arrests</v>
      </c>
      <c r="L43" s="57">
        <v>100</v>
      </c>
      <c r="M43" s="57"/>
      <c r="R43" s="49"/>
    </row>
    <row r="44" spans="2:18" ht="15" hidden="1" customHeight="1">
      <c r="B44" s="49" t="s">
        <v>88</v>
      </c>
      <c r="C44" s="56">
        <f>C8/100</f>
        <v>0.57999999999999996</v>
      </c>
      <c r="D44" s="56">
        <f>E8/100</f>
        <v>0.17</v>
      </c>
      <c r="E44" s="56">
        <f>MAX(C44:D44,0)</f>
        <v>0.57999999999999996</v>
      </c>
      <c r="G44" s="1" t="str">
        <f>B44</f>
        <v>per 100 referrals</v>
      </c>
      <c r="L44" s="57">
        <v>100</v>
      </c>
      <c r="M44" s="57"/>
      <c r="R44" s="49"/>
    </row>
    <row r="45" spans="2:18" ht="15" hidden="1" customHeight="1">
      <c r="B45" s="49" t="s">
        <v>89</v>
      </c>
      <c r="C45" s="49">
        <f>C11/100</f>
        <v>0.35</v>
      </c>
      <c r="D45" s="49">
        <f>E11/100</f>
        <v>0.01</v>
      </c>
      <c r="E45" s="56">
        <f>MAX(C45:D45,0)</f>
        <v>0.35</v>
      </c>
      <c r="G45" s="1" t="str">
        <f>B45</f>
        <v>per 100 youth petitioned</v>
      </c>
      <c r="L45" s="57">
        <v>100</v>
      </c>
      <c r="M45" s="57"/>
      <c r="R45" s="49"/>
    </row>
    <row r="46" spans="2:18" ht="15" hidden="1" customHeight="1">
      <c r="B46" s="49" t="s">
        <v>90</v>
      </c>
      <c r="C46" s="49">
        <f>C12/100</f>
        <v>0.31</v>
      </c>
      <c r="D46" s="49">
        <f>E12/100</f>
        <v>0.01</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4.556</v>
      </c>
      <c r="D48" s="56">
        <f>D42</f>
        <v>0.56299999999999994</v>
      </c>
      <c r="E48" s="56">
        <f>MAX(C48:D48)</f>
        <v>4.556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0.54</v>
      </c>
      <c r="D49" s="49">
        <f t="shared" si="9"/>
        <v>0.05</v>
      </c>
      <c r="E49" s="49">
        <f>MAX(C49:D49)</f>
        <v>0.54</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0.17</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0.01</v>
      </c>
      <c r="E51" s="49">
        <f>MAX(C51:D51)</f>
        <v>0.35</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0.01</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4.556</v>
      </c>
      <c r="D54" s="56">
        <f>D48</f>
        <v>0.56299999999999994</v>
      </c>
      <c r="E54" s="56">
        <f>MAX(C54:D54)</f>
        <v>4.556</v>
      </c>
      <c r="G54" s="1" t="str">
        <f>G48</f>
        <v>per 1000 youth</v>
      </c>
      <c r="L54" s="58">
        <f>L48</f>
        <v>1000</v>
      </c>
      <c r="M54" s="58"/>
    </row>
    <row r="55" spans="2:18" ht="15" hidden="1" customHeight="1">
      <c r="B55" s="49" t="str">
        <f t="shared" ref="B55:D56" si="10">IF(($E49&gt;0),B49,B48)</f>
        <v>per 100 arrests</v>
      </c>
      <c r="C55" s="49">
        <f t="shared" si="10"/>
        <v>0.54</v>
      </c>
      <c r="D55" s="49">
        <f t="shared" si="10"/>
        <v>0.05</v>
      </c>
      <c r="E55" s="49">
        <f>MAX(C55:D55)</f>
        <v>0.54</v>
      </c>
      <c r="G55" s="1" t="str">
        <f>G49</f>
        <v>per 100 arrests</v>
      </c>
      <c r="L55" s="58">
        <f>IF(($E49&gt;0),L49,L48)</f>
        <v>100</v>
      </c>
      <c r="M55" s="58"/>
    </row>
    <row r="56" spans="2:18" ht="15" hidden="1" customHeight="1">
      <c r="B56" s="49" t="str">
        <f t="shared" si="10"/>
        <v>per 100 referrals</v>
      </c>
      <c r="C56" s="49">
        <f t="shared" si="10"/>
        <v>0.57999999999999996</v>
      </c>
      <c r="D56" s="49">
        <f t="shared" si="10"/>
        <v>0.17</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0.35</v>
      </c>
      <c r="D57" s="49">
        <f>IF(($E51&gt;0),D51,D50)</f>
        <v>0.01</v>
      </c>
      <c r="E57" s="49">
        <f>MAX(C57:D57)</f>
        <v>0.35</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0.01</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4.556</v>
      </c>
      <c r="D60" s="56">
        <f>D54</f>
        <v>0.56299999999999994</v>
      </c>
      <c r="E60" s="56">
        <f>MAX(C60:D60)</f>
        <v>4.556</v>
      </c>
      <c r="G60" s="1" t="str">
        <f>G54</f>
        <v>per 1000 youth</v>
      </c>
      <c r="L60" s="58">
        <f>L54</f>
        <v>1000</v>
      </c>
      <c r="M60" s="58"/>
    </row>
    <row r="61" spans="2:18" ht="15" hidden="1" customHeight="1">
      <c r="B61" s="49" t="str">
        <f t="shared" ref="B61:D62" si="11">IF(($E55&gt;0),B55,B54)</f>
        <v>per 100 arrests</v>
      </c>
      <c r="C61" s="49">
        <f t="shared" si="11"/>
        <v>0.54</v>
      </c>
      <c r="D61" s="49">
        <f t="shared" si="11"/>
        <v>0.05</v>
      </c>
      <c r="E61" s="49">
        <f>MAX(C61:D61)</f>
        <v>0.54</v>
      </c>
      <c r="G61" s="1" t="str">
        <f>G55</f>
        <v>per 100 arrests</v>
      </c>
      <c r="L61" s="58">
        <f>IF(($E55&gt;0),L55,L54)</f>
        <v>100</v>
      </c>
      <c r="M61" s="58"/>
    </row>
    <row r="62" spans="2:18" ht="15" hidden="1" customHeight="1">
      <c r="B62" s="49" t="str">
        <f t="shared" si="11"/>
        <v>per 100 referrals</v>
      </c>
      <c r="C62" s="49">
        <f t="shared" si="11"/>
        <v>0.57999999999999996</v>
      </c>
      <c r="D62" s="49">
        <f t="shared" si="11"/>
        <v>0.17</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0.35</v>
      </c>
      <c r="D63" s="49">
        <f>IF(($E57&gt;0),D57,D56)</f>
        <v>0.01</v>
      </c>
      <c r="E63" s="49">
        <f>MAX(C63:D63)</f>
        <v>0.35</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0.01</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4.556</v>
      </c>
      <c r="D66" s="56">
        <f>D60</f>
        <v>0.56299999999999994</v>
      </c>
      <c r="E66" s="56">
        <f>MAX(C66:D66)</f>
        <v>4.556</v>
      </c>
      <c r="G66" s="1" t="str">
        <f>G60</f>
        <v>per 1000 youth</v>
      </c>
      <c r="L66" s="58">
        <f>L60</f>
        <v>1000</v>
      </c>
      <c r="M66" s="58">
        <f>IF((B66=G66),1,2)</f>
        <v>1</v>
      </c>
    </row>
    <row r="67" spans="2:13" ht="15" hidden="1" customHeight="1">
      <c r="B67" s="49" t="str">
        <f t="shared" ref="B67:D68" si="12">IF(($E61&gt;0),B61,B60)</f>
        <v>per 100 arrests</v>
      </c>
      <c r="C67" s="49">
        <f t="shared" si="12"/>
        <v>0.54</v>
      </c>
      <c r="D67" s="49">
        <f t="shared" si="12"/>
        <v>0.05</v>
      </c>
      <c r="E67" s="49">
        <f>MAX(C67:D67)</f>
        <v>0.54</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0.17</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0.01</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0.01</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Tuscola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139</v>
      </c>
      <c r="O8" s="1">
        <f>Hawaiian!L8</f>
        <v>139</v>
      </c>
      <c r="P8" s="1">
        <f>'Am Indian'!L8</f>
        <v>139</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20</v>
      </c>
      <c r="M11" s="1" t="e">
        <f>Hispanic!L11</f>
        <v>#VALUE!</v>
      </c>
      <c r="N11" s="1" t="e">
        <f>Asian!L11</f>
        <v>#VALUE!</v>
      </c>
      <c r="O11" s="1" t="e">
        <f>Hawaiian!L11</f>
        <v>#VALUE!</v>
      </c>
      <c r="P11" s="1" t="e">
        <f>'Am Indian'!L11</f>
        <v>#VALUE!</v>
      </c>
      <c r="Q11" s="1" t="e">
        <f>'Other - Mixed'!L11</f>
        <v>#VALUE!</v>
      </c>
      <c r="R11" s="1">
        <f>'All Minorities'!L11</f>
        <v>20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t="e">
        <f>Hispanic!L13</f>
        <v>#VALUE!</v>
      </c>
      <c r="N13" s="1" t="e">
        <f>Asian!L13</f>
        <v>#VALUE!</v>
      </c>
      <c r="O13" s="1" t="e">
        <f>Hawaiian!L13</f>
        <v>#VALUE!</v>
      </c>
      <c r="P13" s="1" t="e">
        <f>'Am Indian'!L13</f>
        <v>#VALUE!</v>
      </c>
      <c r="Q13" s="1" t="e">
        <f>'Other - Mixed'!L13</f>
        <v>#VALUE!</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5119</v>
      </c>
      <c r="D3" s="57">
        <f>'Data Entry'!C6</f>
        <v>4556</v>
      </c>
      <c r="E3" s="57">
        <f>'Data Entry'!D6</f>
        <v>195</v>
      </c>
      <c r="F3" s="57">
        <f>'Data Entry'!E6</f>
        <v>300</v>
      </c>
      <c r="G3" s="57">
        <f>'Data Entry'!F6</f>
        <v>29</v>
      </c>
      <c r="H3" s="57">
        <f>'Data Entry'!G6</f>
        <v>0</v>
      </c>
      <c r="I3" s="57">
        <f>'Data Entry'!H6</f>
        <v>39</v>
      </c>
      <c r="J3" s="57">
        <f>'Data Entry'!I6</f>
        <v>0</v>
      </c>
      <c r="K3" s="57">
        <f>'Data Entry'!J6</f>
        <v>563</v>
      </c>
    </row>
    <row r="4" spans="2:11" ht="15" customHeight="1">
      <c r="B4" s="16" t="s">
        <v>8</v>
      </c>
      <c r="C4" s="1">
        <f>IF((C$3&gt;0),(1000*('Data Entry'!B7/'Data Entry'!B$6)), 0)</f>
        <v>12.502441883180309</v>
      </c>
      <c r="D4" s="1">
        <f>IF((D$3&gt;0),(1000*('Data Entry'!C7/'Data Entry'!C$6)), 0)</f>
        <v>11.852502194907816</v>
      </c>
      <c r="E4" s="1">
        <f>IF((E$3&gt;0),(1000*('Data Entry'!D7/'Data Entry'!D$6)), 0)</f>
        <v>20.512820512820515</v>
      </c>
      <c r="F4" s="1">
        <f>IF((F$3&gt;0),(1000*('Data Entry'!E7/'Data Entry'!E$6)), 0)</f>
        <v>3.3333333333333335</v>
      </c>
      <c r="G4" s="1">
        <f>IF((G$3&gt;0),(1000*('Data Entry'!F7/'Data Entry'!F$6)), 0)</f>
        <v>0</v>
      </c>
      <c r="H4" s="1">
        <f>IF((H$3&gt;0),(1000*('Data Entry'!G7/'Data Entry'!G$6)), 0)</f>
        <v>0</v>
      </c>
      <c r="I4" s="1">
        <f>IF((I$3&gt;0),(1000*('Data Entry'!H7/'Data Entry'!H$6)), 0)</f>
        <v>0</v>
      </c>
      <c r="J4" s="1">
        <f>IF((J$3&gt;0),(1000*('Data Entry'!I7/'Data Entry'!I$6)), 0)</f>
        <v>0</v>
      </c>
      <c r="K4" s="1">
        <f>IF((K$3&gt;0),(1000*('Data Entry'!J7/'Data Entry'!J$6)), 0)</f>
        <v>8.8809946714031973</v>
      </c>
    </row>
    <row r="5" spans="2:11" ht="15" customHeight="1">
      <c r="B5" s="16" t="s">
        <v>9</v>
      </c>
      <c r="C5" s="1">
        <f>IF((C$3&gt;0),(1000*('Data Entry'!B8/'Data Entry'!B$6)), 0)</f>
        <v>17.581558898222308</v>
      </c>
      <c r="D5" s="1">
        <f>IF((D$3&gt;0),(1000*('Data Entry'!C8/'Data Entry'!C$6)), 0)</f>
        <v>12.730465320456542</v>
      </c>
      <c r="E5" s="1">
        <f>IF((E$3&gt;0),(1000*('Data Entry'!D8/'Data Entry'!D$6)), 0)</f>
        <v>87.179487179487168</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30.195381882770871</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1.1721039265481541</v>
      </c>
      <c r="D7" s="1">
        <f>IF((D$3&gt;0),(1000*('Data Entry'!C10/'Data Entry'!C$6)), 0)</f>
        <v>1.0974539069359088</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8.9861301035358458</v>
      </c>
      <c r="D8" s="1">
        <f>IF((D$3&gt;0),(1000*('Data Entry'!C11/'Data Entry'!C$6)), 0)</f>
        <v>7.6821773485513605</v>
      </c>
      <c r="E8" s="1">
        <f>IF((E$3&gt;0),(1000*('Data Entry'!D11/'Data Entry'!D$6)), 0)</f>
        <v>5.1282051282051286</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1.7761989342806395</v>
      </c>
    </row>
    <row r="9" spans="2:11" ht="15" customHeight="1">
      <c r="B9" s="16" t="s">
        <v>13</v>
      </c>
      <c r="C9" s="1">
        <f>IF((C$3&gt;0),(1000*('Data Entry'!B12/'Data Entry'!B$6)), 0)</f>
        <v>8.2047274858370773</v>
      </c>
      <c r="D9" s="1">
        <f>IF((D$3&gt;0),(1000*('Data Entry'!C12/'Data Entry'!C$6)), 0)</f>
        <v>6.8042142230026341</v>
      </c>
      <c r="E9" s="1">
        <f>IF((E$3&gt;0),(1000*('Data Entry'!D12/'Data Entry'!D$6)), 0)</f>
        <v>5.1282051282051286</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1.7761989342806395</v>
      </c>
    </row>
    <row r="10" spans="2:11" ht="15" customHeight="1">
      <c r="B10" s="16" t="s">
        <v>14</v>
      </c>
      <c r="C10" s="1">
        <f>IF((C$3&gt;0),(1000*('Data Entry'!B13/'Data Entry'!B$6)), 0)</f>
        <v>16.409454971674155</v>
      </c>
      <c r="D10" s="1">
        <f>IF((D$3&gt;0),(1000*('Data Entry'!C13/'Data Entry'!C$6)), 0)</f>
        <v>11.633011413520631</v>
      </c>
      <c r="E10" s="1">
        <f>IF((E$3&gt;0),(1000*('Data Entry'!D13/'Data Entry'!D$6)), 0)</f>
        <v>82.051282051282058</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28.419182948490231</v>
      </c>
    </row>
    <row r="11" spans="2:11" ht="25.5" customHeight="1">
      <c r="B11" s="16" t="s">
        <v>15</v>
      </c>
      <c r="C11" s="1">
        <f>IF((C$3&gt;0),(1000*('Data Entry'!B14/'Data Entry'!B$6)), 0)</f>
        <v>0.19535065442469232</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Tuscola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1.7306742640075972</v>
      </c>
      <c r="E19" s="72">
        <f t="shared" si="1"/>
        <v>0.28123456790123452</v>
      </c>
      <c r="F19" s="72" t="str">
        <f t="shared" si="1"/>
        <v>--</v>
      </c>
      <c r="G19" s="72" t="str">
        <f t="shared" si="1"/>
        <v>--</v>
      </c>
      <c r="H19" s="72" t="str">
        <f t="shared" si="1"/>
        <v>--</v>
      </c>
      <c r="I19" s="72" t="str">
        <f t="shared" si="1"/>
        <v>--</v>
      </c>
      <c r="J19" s="73">
        <f t="shared" si="1"/>
        <v>0.74929280968357337</v>
      </c>
    </row>
    <row r="20" spans="2:10" ht="15" customHeight="1">
      <c r="B20" s="71" t="s">
        <v>9</v>
      </c>
      <c r="C20" s="72">
        <f t="shared" ref="C20:J27" si="2">IF(AND(($D5&gt;0),(D5&gt;0)), (D5/$D5),"--")</f>
        <v>1</v>
      </c>
      <c r="D20" s="72">
        <f t="shared" si="2"/>
        <v>6.8480990274093712</v>
      </c>
      <c r="E20" s="72" t="str">
        <f t="shared" si="2"/>
        <v>--</v>
      </c>
      <c r="F20" s="72" t="str">
        <f t="shared" si="2"/>
        <v>--</v>
      </c>
      <c r="G20" s="72" t="str">
        <f t="shared" si="2"/>
        <v>--</v>
      </c>
      <c r="H20" s="72" t="str">
        <f t="shared" si="2"/>
        <v>--</v>
      </c>
      <c r="I20" s="72" t="str">
        <f t="shared" si="2"/>
        <v>--</v>
      </c>
      <c r="J20" s="73">
        <f t="shared" si="2"/>
        <v>2.371899307894898</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0.66754578754578764</v>
      </c>
      <c r="E23" s="72" t="str">
        <f t="shared" si="2"/>
        <v>--</v>
      </c>
      <c r="F23" s="72" t="str">
        <f t="shared" si="2"/>
        <v>--</v>
      </c>
      <c r="G23" s="72" t="str">
        <f t="shared" si="2"/>
        <v>--</v>
      </c>
      <c r="H23" s="72" t="str">
        <f t="shared" si="2"/>
        <v>--</v>
      </c>
      <c r="I23" s="72" t="str">
        <f t="shared" si="2"/>
        <v>--</v>
      </c>
      <c r="J23" s="73">
        <f t="shared" si="2"/>
        <v>0.23121035270235982</v>
      </c>
    </row>
    <row r="24" spans="2:10" ht="15" customHeight="1">
      <c r="B24" s="71" t="s">
        <v>13</v>
      </c>
      <c r="C24" s="72">
        <f t="shared" si="2"/>
        <v>1</v>
      </c>
      <c r="D24" s="72">
        <f t="shared" si="2"/>
        <v>0.75368072787427631</v>
      </c>
      <c r="E24" s="72" t="str">
        <f t="shared" si="2"/>
        <v>--</v>
      </c>
      <c r="F24" s="72" t="str">
        <f t="shared" si="2"/>
        <v>--</v>
      </c>
      <c r="G24" s="72" t="str">
        <f t="shared" si="2"/>
        <v>--</v>
      </c>
      <c r="H24" s="72" t="str">
        <f t="shared" si="2"/>
        <v>--</v>
      </c>
      <c r="I24" s="72" t="str">
        <f t="shared" si="2"/>
        <v>--</v>
      </c>
      <c r="J24" s="73">
        <f t="shared" si="2"/>
        <v>0.26104394659943847</v>
      </c>
    </row>
    <row r="25" spans="2:10" ht="15" customHeight="1">
      <c r="B25" s="71" t="s">
        <v>14</v>
      </c>
      <c r="C25" s="72">
        <f t="shared" si="2"/>
        <v>1</v>
      </c>
      <c r="D25" s="72">
        <f t="shared" si="2"/>
        <v>7.0533139816158696</v>
      </c>
      <c r="E25" s="72" t="str">
        <f t="shared" si="2"/>
        <v>--</v>
      </c>
      <c r="F25" s="72" t="str">
        <f t="shared" si="2"/>
        <v>--</v>
      </c>
      <c r="G25" s="72" t="str">
        <f t="shared" si="2"/>
        <v>--</v>
      </c>
      <c r="H25" s="72" t="str">
        <f t="shared" si="2"/>
        <v>--</v>
      </c>
      <c r="I25" s="72" t="str">
        <f t="shared" si="2"/>
        <v>--</v>
      </c>
      <c r="J25" s="73">
        <f t="shared" si="2"/>
        <v>2.4429773115721041</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Tuscola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4556</v>
      </c>
      <c r="D7" s="104">
        <f>'Data Entry'!D6</f>
        <v>195</v>
      </c>
      <c r="E7" s="105"/>
      <c r="F7" s="106">
        <f>'Data Entry'!E6</f>
        <v>300</v>
      </c>
      <c r="G7" s="105"/>
      <c r="H7" s="106">
        <f>'Data Entry'!F6</f>
        <v>29</v>
      </c>
      <c r="I7" s="105"/>
      <c r="J7" s="106">
        <f>'Data Entry'!G6</f>
        <v>0</v>
      </c>
      <c r="K7" s="105"/>
      <c r="L7" s="106">
        <f>'Data Entry'!H6</f>
        <v>39</v>
      </c>
      <c r="M7" s="105"/>
      <c r="N7" s="106">
        <f>'Data Entry'!I6</f>
        <v>0</v>
      </c>
      <c r="O7" s="105"/>
      <c r="P7" s="106">
        <f>'Data Entry'!J6</f>
        <v>563</v>
      </c>
      <c r="Q7" s="107"/>
    </row>
    <row r="8" spans="2:26" s="1" customFormat="1" ht="15" customHeight="1">
      <c r="B8" s="142" t="s">
        <v>8</v>
      </c>
      <c r="C8" s="103">
        <f>'Data Entry'!C7</f>
        <v>54</v>
      </c>
      <c r="D8" s="104">
        <f>'Data Entry'!D7</f>
        <v>4</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5</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58</v>
      </c>
      <c r="D9" s="108">
        <f>'Data Entry'!D8</f>
        <v>17</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17</v>
      </c>
      <c r="Q9" s="111" t="str">
        <f>'All Minorities'!G8</f>
        <v>**</v>
      </c>
      <c r="R9"/>
      <c r="T9" s="1">
        <f>'Black or African-American'!L8</f>
        <v>20</v>
      </c>
      <c r="U9" s="1">
        <f>Hispanic!L8</f>
        <v>20</v>
      </c>
      <c r="V9" s="1">
        <f>Asian!L8</f>
        <v>139</v>
      </c>
      <c r="W9" s="1">
        <f>Hawaiian!L8</f>
        <v>139</v>
      </c>
      <c r="X9" s="1">
        <f>'Am Indian'!L8</f>
        <v>139</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5</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35</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v>
      </c>
      <c r="Q12" s="115" t="str">
        <f>'All Minorities'!G11</f>
        <v>**</v>
      </c>
      <c r="R12"/>
      <c r="T12" s="1">
        <f>'Black or African-American'!L11</f>
        <v>20</v>
      </c>
      <c r="U12" s="1" t="e">
        <f>Hispanic!L11</f>
        <v>#VALUE!</v>
      </c>
      <c r="V12" s="1" t="e">
        <f>Asian!L11</f>
        <v>#VALUE!</v>
      </c>
      <c r="W12" s="1" t="e">
        <f>Hawaiian!L11</f>
        <v>#VALUE!</v>
      </c>
      <c r="X12" s="1" t="e">
        <f>'Am Indian'!L11</f>
        <v>#VALUE!</v>
      </c>
      <c r="Y12" s="1" t="e">
        <f>'Other - Mixed'!L11</f>
        <v>#VALUE!</v>
      </c>
      <c r="Z12" s="1">
        <f>'All Minorities'!L11</f>
        <v>20</v>
      </c>
    </row>
    <row r="13" spans="2:26" s="1" customFormat="1" ht="15" customHeight="1">
      <c r="B13" s="142" t="s">
        <v>13</v>
      </c>
      <c r="C13" s="103">
        <f>'Data Entry'!C12</f>
        <v>31</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53</v>
      </c>
      <c r="D14" s="112">
        <f>'Data Entry'!D13</f>
        <v>16</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16</v>
      </c>
      <c r="Q14" s="115" t="str">
        <f>'All Minorities'!G13</f>
        <v>**</v>
      </c>
      <c r="R14"/>
      <c r="T14" s="1">
        <f>'Black or African-American'!L13</f>
        <v>20</v>
      </c>
      <c r="U14" s="1" t="e">
        <f>Hispanic!L13</f>
        <v>#VALUE!</v>
      </c>
      <c r="V14" s="1" t="e">
        <f>Asian!L13</f>
        <v>#VALUE!</v>
      </c>
      <c r="W14" s="1" t="e">
        <f>Hawaiian!L13</f>
        <v>#VALUE!</v>
      </c>
      <c r="X14" s="1" t="e">
        <f>'Am Indian'!L13</f>
        <v>#VALUE!</v>
      </c>
      <c r="Y14" s="1" t="e">
        <f>'Other - Mixed'!L13</f>
        <v>#VALUE!</v>
      </c>
      <c r="Z14" s="1">
        <f>'All Minorities'!L13</f>
        <v>20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Tuscola</v>
      </c>
    </row>
    <row r="6" spans="1:12">
      <c r="A6" s="135" t="str">
        <f>CONCATENATE("Percentage of Minorities at Stages of the Juvenile Justice System, ", A5, " 2022")</f>
        <v>Percentage of Minorities at Stages of the Juvenile Justice System, County: Tuscola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8.0923623445825932</v>
      </c>
    </row>
    <row r="8" spans="1:12" ht="25.5" customHeight="1">
      <c r="A8" s="151" t="str">
        <f>CONCATENATE("Confinement, total N=", 'Data Entry'!B14)</f>
        <v>Confinement, total N=1</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v>
      </c>
      <c r="K8" s="96" t="str">
        <f>A8</f>
        <v>Confinement, total N=1</v>
      </c>
      <c r="L8">
        <f>I14/(SUM(B14:G14))</f>
        <v>8.0923623445825932</v>
      </c>
    </row>
    <row r="9" spans="1:12">
      <c r="A9" s="128" t="str">
        <f>CONCATENATE("Delinquent Findings, total N=", 'Data Entry'!B12)</f>
        <v>Delinquent Findings, total N=42</v>
      </c>
      <c r="B9" s="150">
        <f>'Data Entry'!D12/'Data Entry'!B12</f>
        <v>2.3809523809523808E-2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0.73809523809523814</v>
      </c>
      <c r="K9" s="96" t="str">
        <f t="shared" si="0"/>
        <v>Delinquent Findings, total N=42</v>
      </c>
      <c r="L9">
        <f>I14/(SUM(B14:G14))</f>
        <v>8.0923623445825932</v>
      </c>
    </row>
    <row r="10" spans="1:12">
      <c r="A10" s="128" t="str">
        <f>CONCATENATE("Petitions, total N=", 'Data Entry'!B11)</f>
        <v>Petitions, total N=46</v>
      </c>
      <c r="B10" s="150">
        <f>'Data Entry'!D11/'Data Entry'!B11</f>
        <v>2.1739130434782608E-2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0.76086956521739135</v>
      </c>
      <c r="K10" s="96" t="str">
        <f t="shared" si="0"/>
        <v>Petitions, total N=46</v>
      </c>
      <c r="L10">
        <f>I14/(SUM(B14:G14))</f>
        <v>8.0923623445825932</v>
      </c>
    </row>
    <row r="11" spans="1:12">
      <c r="A11" s="128" t="str">
        <f>CONCATENATE("Detentions, total N=", 'Data Entry'!B10)</f>
        <v>Detentions, total N=6</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0.83333333333333337</v>
      </c>
      <c r="K11" s="96" t="str">
        <f t="shared" si="0"/>
        <v>Detentions, total N=6</v>
      </c>
      <c r="L11">
        <f>I14/(SUM(B14:G14))</f>
        <v>8.0923623445825932</v>
      </c>
    </row>
    <row r="12" spans="1:12">
      <c r="A12" s="128" t="str">
        <f>CONCATENATE("Referrals, total N=", 'Data Entry'!B8)</f>
        <v>Referrals, total N=90</v>
      </c>
      <c r="B12" s="150">
        <f>'Data Entry'!D8/'Data Entry'!B8</f>
        <v>0.18888888888888888</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0.64444444444444449</v>
      </c>
      <c r="K12" s="96" t="str">
        <f t="shared" si="0"/>
        <v>Referrals, total N=90</v>
      </c>
      <c r="L12">
        <f>I14/(SUM(B14:G14))</f>
        <v>8.0923623445825932</v>
      </c>
    </row>
    <row r="13" spans="1:12">
      <c r="A13" s="128" t="str">
        <f>CONCATENATE("Arrests, total N=", 'Data Entry'!B7)</f>
        <v>Arrests, total N=64</v>
      </c>
      <c r="B13" s="150">
        <f>'Data Entry'!D7/'Data Entry'!B7</f>
        <v>6.25E-2</v>
      </c>
      <c r="C13" s="150">
        <f>'Data Entry'!E7/'Data Entry'!B7</f>
        <v>1.5625E-2</v>
      </c>
      <c r="D13" s="150">
        <f>'Data Entry'!F7/'Data Entry'!B7</f>
        <v>0</v>
      </c>
      <c r="E13" s="150">
        <f>'Data Entry'!G7/'Data Entry'!B7</f>
        <v>0</v>
      </c>
      <c r="F13" s="150">
        <f>'Data Entry'!H7/'Data Entry'!B7</f>
        <v>0</v>
      </c>
      <c r="G13" s="150">
        <f>'Data Entry'!I7/'Data Entry'!B7</f>
        <v>0</v>
      </c>
      <c r="H13" s="150">
        <f>SUM(D13:G13)/'Data Entry'!B7</f>
        <v>0</v>
      </c>
      <c r="I13" s="150">
        <f>'Data Entry'!C7/'Data Entry'!B7</f>
        <v>0.84375</v>
      </c>
      <c r="K13" s="96" t="str">
        <f t="shared" si="0"/>
        <v>Arrests, total N=64</v>
      </c>
      <c r="L13">
        <f>I14/(SUM(B14:G14))</f>
        <v>8.0923623445825932</v>
      </c>
    </row>
    <row r="14" spans="1:12">
      <c r="A14" s="128" t="str">
        <f>CONCATENATE("Population, total N=", 'Data Entry'!B6)</f>
        <v>Population, total N=5119</v>
      </c>
      <c r="B14" s="150">
        <f>'Data Entry'!D6/'Data Entry'!B6</f>
        <v>3.8093377612815005E-2</v>
      </c>
      <c r="C14" s="150">
        <f>'Data Entry'!E6/'Data Entry'!B6</f>
        <v>5.8605196327407696E-2</v>
      </c>
      <c r="D14" s="150">
        <f>'Data Entry'!F6/'Data Entry'!B6</f>
        <v>5.6651689783160774E-3</v>
      </c>
      <c r="E14" s="150">
        <f>'Data Entry'!G6/'Data Entry'!B6</f>
        <v>0</v>
      </c>
      <c r="F14" s="150">
        <f>'Data Entry'!H6/'Data Entry'!B6</f>
        <v>7.6186755225630008E-3</v>
      </c>
      <c r="G14" s="150">
        <f>'Data Entry'!I6/'Data Entry'!B6</f>
        <v>0</v>
      </c>
      <c r="H14" s="150">
        <f>SUM(D14:G14)/'Data Entry'!B6</f>
        <v>2.595007716522578E-6</v>
      </c>
      <c r="I14" s="150">
        <f>'Data Entry'!C6/'Data Entry'!B6</f>
        <v>0.89001758155889821</v>
      </c>
      <c r="K14" s="96" t="str">
        <f t="shared" si="0"/>
        <v>Population, total N=5119</v>
      </c>
      <c r="L14">
        <f>I14/(SUM(B14:G14))</f>
        <v>8.0923623445825932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Tuscola</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4556</v>
      </c>
      <c r="D7" s="104">
        <f>'Data Entry'!D6</f>
        <v>195</v>
      </c>
      <c r="E7" s="105"/>
      <c r="F7" s="106">
        <f>'Data Entry'!E6</f>
        <v>300</v>
      </c>
      <c r="G7" s="105"/>
      <c r="H7" s="106">
        <f>'Data Entry'!F6</f>
        <v>29</v>
      </c>
      <c r="I7" s="105"/>
      <c r="J7" s="106">
        <f>'Data Entry'!J6</f>
        <v>563</v>
      </c>
      <c r="K7" s="107"/>
    </row>
    <row r="8" spans="2:30" s="1" customFormat="1" ht="15" customHeight="1">
      <c r="B8" s="121" t="s">
        <v>8</v>
      </c>
      <c r="C8" s="103">
        <f>'Data Entry'!C7</f>
        <v>54</v>
      </c>
      <c r="D8" s="104">
        <f>'Data Entry'!D7</f>
        <v>4</v>
      </c>
      <c r="E8" s="105" t="str">
        <f>'Black or African-American'!$G7</f>
        <v>**</v>
      </c>
      <c r="F8" s="106">
        <f>'Data Entry'!E7</f>
        <v>1</v>
      </c>
      <c r="G8" s="105" t="str">
        <f>Hispanic!G7</f>
        <v>**</v>
      </c>
      <c r="H8" s="106">
        <f>'Data Entry'!F7</f>
        <v>0</v>
      </c>
      <c r="I8" s="105" t="str">
        <f>Asian!G7</f>
        <v>*</v>
      </c>
      <c r="J8" s="106">
        <f>'Data Entry'!J7</f>
        <v>5</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58</v>
      </c>
      <c r="D9" s="108">
        <f>'Data Entry'!D8</f>
        <v>17</v>
      </c>
      <c r="E9" s="109" t="str">
        <f>'Black or African-American'!$G8</f>
        <v>**</v>
      </c>
      <c r="F9" s="110">
        <f>'Data Entry'!E8</f>
        <v>0</v>
      </c>
      <c r="G9" s="109" t="str">
        <f>Hispanic!G8</f>
        <v>**</v>
      </c>
      <c r="H9" s="110">
        <f>'Data Entry'!F8</f>
        <v>0</v>
      </c>
      <c r="I9" s="109" t="str">
        <f>Asian!G8</f>
        <v>*</v>
      </c>
      <c r="J9" s="110">
        <f>'Data Entry'!J8</f>
        <v>17</v>
      </c>
      <c r="K9" s="111" t="str">
        <f>'All Minorities'!G8</f>
        <v>**</v>
      </c>
      <c r="L9"/>
      <c r="N9" s="1">
        <f>'Black or African-American'!L8</f>
        <v>20</v>
      </c>
      <c r="O9" s="1">
        <f>Hispanic!L8</f>
        <v>20</v>
      </c>
      <c r="P9" s="1">
        <f>Asian!L8</f>
        <v>139</v>
      </c>
      <c r="Q9" s="1">
        <f>Hawaiian!L8</f>
        <v>139</v>
      </c>
      <c r="R9" s="1">
        <f>'Am Indian'!L8</f>
        <v>139</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5</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35</v>
      </c>
      <c r="D12" s="112">
        <f>'Data Entry'!D11</f>
        <v>1</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f>'Black or African-American'!L11</f>
        <v>20</v>
      </c>
      <c r="O12" s="1" t="e">
        <f>Hispanic!L11</f>
        <v>#VALUE!</v>
      </c>
      <c r="P12" s="1" t="e">
        <f>Asian!L11</f>
        <v>#VALUE!</v>
      </c>
      <c r="Q12" s="1" t="e">
        <f>Hawaiian!L11</f>
        <v>#VALUE!</v>
      </c>
      <c r="R12" s="1" t="e">
        <f>'Am Indian'!L11</f>
        <v>#VALUE!</v>
      </c>
      <c r="S12" s="1" t="e">
        <f>'Other - Mixed'!L11</f>
        <v>#VALUE!</v>
      </c>
      <c r="T12" s="1">
        <f>'All Minorities'!L11</f>
        <v>20</v>
      </c>
    </row>
    <row r="13" spans="2:30" s="1" customFormat="1" ht="15" customHeight="1">
      <c r="B13" s="121" t="s">
        <v>13</v>
      </c>
      <c r="C13" s="103">
        <f>'Data Entry'!C12</f>
        <v>31</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53</v>
      </c>
      <c r="D14" s="112">
        <f>'Data Entry'!D13</f>
        <v>16</v>
      </c>
      <c r="E14" s="113" t="str">
        <f>'Black or African-American'!$G13</f>
        <v>**</v>
      </c>
      <c r="F14" s="114">
        <f>'Data Entry'!E13</f>
        <v>0</v>
      </c>
      <c r="G14" s="113" t="str">
        <f>Hispanic!G13</f>
        <v>--</v>
      </c>
      <c r="H14" s="114">
        <f>'Data Entry'!F13</f>
        <v>0</v>
      </c>
      <c r="I14" s="113" t="str">
        <f>Asian!G13</f>
        <v>*</v>
      </c>
      <c r="J14" s="114">
        <f>'Data Entry'!J13</f>
        <v>16</v>
      </c>
      <c r="K14" s="115" t="str">
        <f>'All Minorities'!G13</f>
        <v>**</v>
      </c>
      <c r="L14"/>
      <c r="N14" s="1">
        <f>'Black or African-American'!L13</f>
        <v>20</v>
      </c>
      <c r="O14" s="1" t="e">
        <f>Hispanic!L13</f>
        <v>#VALUE!</v>
      </c>
      <c r="P14" s="1" t="e">
        <f>Asian!L13</f>
        <v>#VALUE!</v>
      </c>
      <c r="Q14" s="1" t="e">
        <f>Hawaiian!L13</f>
        <v>#VALUE!</v>
      </c>
      <c r="R14" s="1" t="e">
        <f>'Am Indian'!L13</f>
        <v>#VALUE!</v>
      </c>
      <c r="S14" s="1" t="e">
        <f>'Other - Mixed'!L13</f>
        <v>#VALUE!</v>
      </c>
      <c r="T14" s="1">
        <f>'All Minorities'!L13</f>
        <v>20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4556</v>
      </c>
      <c r="D6" s="34"/>
      <c r="E6" s="33">
        <f>'Data Entry'!D6</f>
        <v>195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54</v>
      </c>
      <c r="D7" s="34">
        <f>IF((AND(C66&gt;0,C7&gt;0)),(C7/C66),0)</f>
        <v>11.852502194907814</v>
      </c>
      <c r="E7" s="33">
        <f>'Data Entry'!D7</f>
        <v>4</v>
      </c>
      <c r="F7" s="34">
        <f>IF((AND($E$7&gt;0,$D$66&gt;0)),($E$7/$D$66),0)</f>
        <v>20.512820512820511</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4</v>
      </c>
      <c r="O7" s="42">
        <f>E6-E7</f>
        <v>191</v>
      </c>
      <c r="P7" s="42">
        <f t="shared" ref="P7:P15" si="2">C7</f>
        <v>54</v>
      </c>
      <c r="Q7" s="42">
        <f>C6-C7</f>
        <v>4502</v>
      </c>
      <c r="R7" s="42">
        <f t="shared" ref="R7:R15" si="3">SUM(N7:Q7)</f>
        <v>4751</v>
      </c>
      <c r="S7" s="30">
        <f t="shared" ref="S7:S15" si="4">R7*((((N7*Q7)-(O7*P7))^2))</f>
        <v>281247968636</v>
      </c>
      <c r="T7" s="30">
        <f t="shared" ref="T7:T15" si="5">(N7+O7)*(P7+Q7)*(N7+P7)*(O7+Q7)</f>
        <v>241822593480</v>
      </c>
      <c r="U7" s="31">
        <f t="shared" ref="U7:U15" si="6">IF((S7&gt;0),S7/T7,"- -")</f>
        <v>1.1630342913316769</v>
      </c>
    </row>
    <row r="8" spans="2:21" ht="18" customHeight="1">
      <c r="B8" s="32" t="str">
        <f>'Data Entry'!A8</f>
        <v>3. Refer to Juvenile Court</v>
      </c>
      <c r="C8" s="33">
        <f>'Data Entry'!C8</f>
        <v>58</v>
      </c>
      <c r="D8" s="34">
        <f>IF((AND(C67&gt;0,C8&gt;0)),(C8/C67),0)</f>
        <v>107.4074074074074</v>
      </c>
      <c r="E8" s="33">
        <f>'Data Entry'!D8</f>
        <v>17</v>
      </c>
      <c r="F8" s="34">
        <f>IF((AND($E$8&gt;0,$D$67&gt;0)),($E8/$D67),0)</f>
        <v>425</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17</v>
      </c>
      <c r="O8" s="42">
        <f>((D67*L67)-E8)+0.05</f>
        <v>-12.95</v>
      </c>
      <c r="P8" s="42">
        <f t="shared" si="2"/>
        <v>58</v>
      </c>
      <c r="Q8" s="42">
        <f>(C$67*L67)-C8</f>
        <v>-4</v>
      </c>
      <c r="R8" s="42">
        <f t="shared" si="3"/>
        <v>58.05</v>
      </c>
      <c r="S8" s="30">
        <f t="shared" si="4"/>
        <v>27087616.66049999</v>
      </c>
      <c r="T8" s="30">
        <f t="shared" si="5"/>
        <v>-278022.37500000006</v>
      </c>
      <c r="U8" s="31">
        <f t="shared" si="6"/>
        <v>-97.429628318584008</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17</v>
      </c>
      <c r="P9" s="42">
        <f t="shared" si="2"/>
        <v>0</v>
      </c>
      <c r="Q9" s="42">
        <f>(C$68*L68)-C9</f>
        <v>57.999999999999993</v>
      </c>
      <c r="R9" s="42">
        <f t="shared" si="3"/>
        <v>75</v>
      </c>
      <c r="S9" s="30">
        <f t="shared" si="4"/>
        <v>0</v>
      </c>
      <c r="T9" s="30">
        <f t="shared" si="5"/>
        <v>0</v>
      </c>
      <c r="U9" s="31" t="str">
        <f t="shared" si="6"/>
        <v>- -</v>
      </c>
    </row>
    <row r="10" spans="2:21" ht="18" customHeight="1">
      <c r="B10" s="32" t="str">
        <f>'Data Entry'!A10</f>
        <v>5. Cases Involving Secure Detention</v>
      </c>
      <c r="C10" s="33">
        <f>'Data Entry'!C10</f>
        <v>5</v>
      </c>
      <c r="D10" s="34">
        <f>IF(((AND(C68&gt;0,C10&gt;0))),(C10/(C68)),0)</f>
        <v>8.6206896551724146</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17</v>
      </c>
      <c r="P10" s="42">
        <f t="shared" si="2"/>
        <v>5</v>
      </c>
      <c r="Q10" s="42">
        <f>(C$68*L68)-C10</f>
        <v>52.999999999999993</v>
      </c>
      <c r="R10" s="42">
        <f t="shared" si="3"/>
        <v>75</v>
      </c>
      <c r="S10" s="30">
        <f t="shared" si="4"/>
        <v>541875</v>
      </c>
      <c r="T10" s="30">
        <f t="shared" si="5"/>
        <v>345099.99999999994</v>
      </c>
      <c r="U10" s="31">
        <f t="shared" si="6"/>
        <v>1.5701970443349755</v>
      </c>
    </row>
    <row r="11" spans="2:21" ht="18" customHeight="1">
      <c r="B11" s="32" t="str">
        <f>'Data Entry'!A11</f>
        <v>6. Cases Petitioned (Charge Filed)</v>
      </c>
      <c r="C11" s="33">
        <f>'Data Entry'!C11</f>
        <v>35</v>
      </c>
      <c r="D11" s="34">
        <f>IF(((AND(C68&gt;0,C11&gt;0))),(C11/(C68)),0)</f>
        <v>60.344827586206904</v>
      </c>
      <c r="E11" s="33">
        <f>'Data Entry'!D11</f>
        <v>1</v>
      </c>
      <c r="F11" s="34">
        <f>IF(((AND($E$11&gt;0,$D$68&gt;0))),($E$11/($D$68)),0)</f>
        <v>5.8823529411764701</v>
      </c>
      <c r="G11" s="39" t="str">
        <f t="shared" si="7"/>
        <v>**</v>
      </c>
      <c r="H11" s="40"/>
      <c r="I11" s="41"/>
      <c r="J11" s="40">
        <f>IF((ABS($U11)&gt;Defaults!D$7),1,2)</f>
        <v>1</v>
      </c>
      <c r="K11" s="39">
        <f>IF((AND(N11&gt;Defaults!B$12,(N11+O11)&gt;Defaults!B$13, P11 &gt; Defaults!B$12, (P11+Q11) &gt; Defaults!B$13)),1,20)</f>
        <v>20</v>
      </c>
      <c r="L11" s="1">
        <f t="shared" si="8"/>
        <v>20</v>
      </c>
      <c r="M11" s="1" t="b">
        <f t="shared" si="0"/>
        <v>1</v>
      </c>
      <c r="N11" s="42">
        <f t="shared" si="1"/>
        <v>1</v>
      </c>
      <c r="O11" s="42">
        <f>(D$68*L68)-E11</f>
        <v>16</v>
      </c>
      <c r="P11" s="42">
        <f t="shared" si="2"/>
        <v>35</v>
      </c>
      <c r="Q11" s="42">
        <f>(C$68*L68)-C11</f>
        <v>22.999999999999993</v>
      </c>
      <c r="R11" s="42">
        <f t="shared" si="3"/>
        <v>75</v>
      </c>
      <c r="S11" s="30">
        <f t="shared" si="4"/>
        <v>21627675</v>
      </c>
      <c r="T11" s="30">
        <f t="shared" si="5"/>
        <v>1384343.9999999995</v>
      </c>
      <c r="U11" s="31">
        <f t="shared" si="6"/>
        <v>15.62304961772508</v>
      </c>
    </row>
    <row r="12" spans="2:21" ht="18" customHeight="1">
      <c r="B12" s="32" t="str">
        <f>'Data Entry'!A12</f>
        <v>7. Cases Resulting in Delinquent Findings</v>
      </c>
      <c r="C12" s="33">
        <f>'Data Entry'!C12</f>
        <v>31</v>
      </c>
      <c r="D12" s="34">
        <f>IF(((AND(C69&gt;0,C12&gt;0))),(C12/(C69)),0)</f>
        <v>88.571428571428584</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31</v>
      </c>
      <c r="Q12" s="42">
        <f>(C69*L69)-C12</f>
        <v>4</v>
      </c>
      <c r="R12" s="42">
        <f t="shared" si="3"/>
        <v>36</v>
      </c>
      <c r="S12" s="30">
        <f t="shared" si="4"/>
        <v>576</v>
      </c>
      <c r="T12" s="30">
        <f t="shared" si="5"/>
        <v>4480</v>
      </c>
      <c r="U12" s="31">
        <f t="shared" si="6"/>
        <v>0.12857142857142856</v>
      </c>
    </row>
    <row r="13" spans="2:21" ht="18" customHeight="1">
      <c r="B13" s="32" t="str">
        <f>'Data Entry'!A13</f>
        <v>8. Cases Resulting in Probation Placement</v>
      </c>
      <c r="C13" s="33">
        <f>'Data Entry'!C13</f>
        <v>53</v>
      </c>
      <c r="D13" s="34">
        <f>IF(((AND(C70&gt;0,C13&gt;0))),(C13/(C70)),0)</f>
        <v>170.96774193548387</v>
      </c>
      <c r="E13" s="33">
        <f>'Data Entry'!D13</f>
        <v>16</v>
      </c>
      <c r="F13" s="34">
        <f>IF(((AND($D$70&gt;0,$E$13&gt;0))),($E$13/($D$70)),0)</f>
        <v>1600</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16</v>
      </c>
      <c r="O13" s="42">
        <f>(D70*L70)-E13</f>
        <v>-15</v>
      </c>
      <c r="P13" s="42">
        <f t="shared" si="2"/>
        <v>53</v>
      </c>
      <c r="Q13" s="42">
        <f>(C70*L70)-C13</f>
        <v>-22</v>
      </c>
      <c r="R13" s="42">
        <f t="shared" si="3"/>
        <v>32</v>
      </c>
      <c r="S13" s="30">
        <f t="shared" si="4"/>
        <v>6279968</v>
      </c>
      <c r="T13" s="30">
        <f t="shared" si="5"/>
        <v>-79143</v>
      </c>
      <c r="U13" s="31">
        <f t="shared" si="6"/>
        <v>-79.349632942900826</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31</v>
      </c>
      <c r="R14" s="42">
        <f t="shared" si="3"/>
        <v>32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35</v>
      </c>
      <c r="R15" s="42">
        <f t="shared" si="3"/>
        <v>36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4.556</v>
      </c>
      <c r="D42" s="56">
        <f>E6/1000</f>
        <v>0.19500000000000001</v>
      </c>
      <c r="E42" s="56">
        <f>MAX(C42:D42)</f>
        <v>4.556</v>
      </c>
      <c r="G42" s="1" t="str">
        <f>B42</f>
        <v>per 1000 youth</v>
      </c>
      <c r="L42" s="57">
        <v>1000</v>
      </c>
      <c r="M42" s="57"/>
      <c r="R42" s="49"/>
    </row>
    <row r="43" spans="2:18" ht="15" hidden="1" customHeight="1">
      <c r="B43" s="49" t="s">
        <v>87</v>
      </c>
      <c r="C43" s="56">
        <f>C7/100</f>
        <v>0.54</v>
      </c>
      <c r="D43" s="56">
        <f>E7/100</f>
        <v>0.04</v>
      </c>
      <c r="E43" s="56">
        <f>MAX(C43:D43,0)</f>
        <v>0.54</v>
      </c>
      <c r="G43" s="1" t="str">
        <f>B43</f>
        <v>per 100 arrests</v>
      </c>
      <c r="L43" s="57">
        <v>100</v>
      </c>
      <c r="M43" s="57"/>
      <c r="R43" s="49"/>
    </row>
    <row r="44" spans="2:18" ht="15" hidden="1" customHeight="1">
      <c r="B44" s="49" t="s">
        <v>88</v>
      </c>
      <c r="C44" s="56">
        <f>C8/100</f>
        <v>0.57999999999999996</v>
      </c>
      <c r="D44" s="56">
        <f>E8/100</f>
        <v>0.17</v>
      </c>
      <c r="E44" s="56">
        <f>MAX(C44:D44,0)</f>
        <v>0.57999999999999996</v>
      </c>
      <c r="G44" s="1" t="str">
        <f>B44</f>
        <v>per 100 referrals</v>
      </c>
      <c r="L44" s="57">
        <v>100</v>
      </c>
      <c r="M44" s="57"/>
      <c r="R44" s="49"/>
    </row>
    <row r="45" spans="2:18" ht="15" hidden="1" customHeight="1">
      <c r="B45" s="49" t="s">
        <v>89</v>
      </c>
      <c r="C45" s="49">
        <f>C11/100</f>
        <v>0.35</v>
      </c>
      <c r="D45" s="49">
        <f>E11/100</f>
        <v>0.01</v>
      </c>
      <c r="E45" s="56">
        <f>MAX(C45:D45,0)</f>
        <v>0.35</v>
      </c>
      <c r="G45" s="1" t="str">
        <f>B45</f>
        <v>per 100 youth petitioned</v>
      </c>
      <c r="L45" s="57">
        <v>100</v>
      </c>
      <c r="M45" s="57"/>
      <c r="R45" s="49"/>
    </row>
    <row r="46" spans="2:18" ht="15" hidden="1" customHeight="1">
      <c r="B46" s="49" t="s">
        <v>90</v>
      </c>
      <c r="C46" s="49">
        <f>C12/100</f>
        <v>0.31</v>
      </c>
      <c r="D46" s="49">
        <f>E12/100</f>
        <v>0.01</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4.556</v>
      </c>
      <c r="D48" s="56">
        <f>D42</f>
        <v>0.19500000000000001</v>
      </c>
      <c r="E48" s="56">
        <f>MAX(C48:D48)</f>
        <v>4.556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0.54</v>
      </c>
      <c r="D49" s="49">
        <f t="shared" si="9"/>
        <v>0.04</v>
      </c>
      <c r="E49" s="49">
        <f>MAX(C49:D49)</f>
        <v>0.54</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0.17</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0.01</v>
      </c>
      <c r="E51" s="49">
        <f>MAX(C51:D51)</f>
        <v>0.35</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0.01</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4.556</v>
      </c>
      <c r="D54" s="56">
        <f>D48</f>
        <v>0.19500000000000001</v>
      </c>
      <c r="E54" s="56">
        <f>MAX(C54:D54)</f>
        <v>4.556</v>
      </c>
      <c r="G54" s="1" t="str">
        <f>G48</f>
        <v>per 1000 youth</v>
      </c>
      <c r="L54" s="58">
        <f>L48</f>
        <v>1000</v>
      </c>
      <c r="M54" s="58"/>
    </row>
    <row r="55" spans="2:18" ht="15" hidden="1" customHeight="1">
      <c r="B55" s="49" t="str">
        <f t="shared" ref="B55:D56" si="10">IF(($E49&gt;0),B49,B48)</f>
        <v>per 100 arrests</v>
      </c>
      <c r="C55" s="49">
        <f t="shared" si="10"/>
        <v>0.54</v>
      </c>
      <c r="D55" s="49">
        <f t="shared" si="10"/>
        <v>0.04</v>
      </c>
      <c r="E55" s="49">
        <f>MAX(C55:D55)</f>
        <v>0.54</v>
      </c>
      <c r="G55" s="1" t="str">
        <f>G49</f>
        <v>per 100 arrests</v>
      </c>
      <c r="L55" s="58">
        <f>IF(($E49&gt;0),L49,L48)</f>
        <v>100</v>
      </c>
      <c r="M55" s="58"/>
    </row>
    <row r="56" spans="2:18" ht="15" hidden="1" customHeight="1">
      <c r="B56" s="49" t="str">
        <f t="shared" si="10"/>
        <v>per 100 referrals</v>
      </c>
      <c r="C56" s="49">
        <f t="shared" si="10"/>
        <v>0.57999999999999996</v>
      </c>
      <c r="D56" s="49">
        <f t="shared" si="10"/>
        <v>0.17</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0.35</v>
      </c>
      <c r="D57" s="49">
        <f>IF(($E51&gt;0),D51,D50)</f>
        <v>0.01</v>
      </c>
      <c r="E57" s="49">
        <f>MAX(C57:D57)</f>
        <v>0.35</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0.01</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4.556</v>
      </c>
      <c r="D60" s="56">
        <f>D54</f>
        <v>0.19500000000000001</v>
      </c>
      <c r="E60" s="56">
        <f>MAX(C60:D60)</f>
        <v>4.556</v>
      </c>
      <c r="G60" s="1" t="str">
        <f>G54</f>
        <v>per 1000 youth</v>
      </c>
      <c r="L60" s="58">
        <f>L54</f>
        <v>1000</v>
      </c>
      <c r="M60" s="58"/>
    </row>
    <row r="61" spans="2:18" ht="15" hidden="1" customHeight="1">
      <c r="B61" s="49" t="str">
        <f t="shared" ref="B61:D62" si="11">IF(($E55&gt;0),B55,B54)</f>
        <v>per 100 arrests</v>
      </c>
      <c r="C61" s="49">
        <f t="shared" si="11"/>
        <v>0.54</v>
      </c>
      <c r="D61" s="49">
        <f t="shared" si="11"/>
        <v>0.04</v>
      </c>
      <c r="E61" s="49">
        <f>MAX(C61:D61)</f>
        <v>0.54</v>
      </c>
      <c r="G61" s="1" t="str">
        <f>G55</f>
        <v>per 100 arrests</v>
      </c>
      <c r="L61" s="58">
        <f>IF(($E55&gt;0),L55,L54)</f>
        <v>100</v>
      </c>
      <c r="M61" s="58"/>
    </row>
    <row r="62" spans="2:18" ht="15" hidden="1" customHeight="1">
      <c r="B62" s="49" t="str">
        <f t="shared" si="11"/>
        <v>per 100 referrals</v>
      </c>
      <c r="C62" s="49">
        <f t="shared" si="11"/>
        <v>0.57999999999999996</v>
      </c>
      <c r="D62" s="49">
        <f t="shared" si="11"/>
        <v>0.17</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0.35</v>
      </c>
      <c r="D63" s="49">
        <f>IF(($E57&gt;0),D57,D56)</f>
        <v>0.01</v>
      </c>
      <c r="E63" s="49">
        <f>MAX(C63:D63)</f>
        <v>0.35</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0.01</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4.556</v>
      </c>
      <c r="D66" s="56">
        <f>D60</f>
        <v>0.19500000000000001</v>
      </c>
      <c r="E66" s="56">
        <f>MAX(C66:D66)</f>
        <v>4.556</v>
      </c>
      <c r="G66" s="1" t="str">
        <f>G60</f>
        <v>per 1000 youth</v>
      </c>
      <c r="L66" s="58">
        <f>L60</f>
        <v>1000</v>
      </c>
      <c r="M66" s="58">
        <f>IF((B66=G66),1,2)</f>
        <v>1</v>
      </c>
    </row>
    <row r="67" spans="2:13" ht="15" hidden="1" customHeight="1">
      <c r="B67" s="49" t="str">
        <f t="shared" ref="B67:D68" si="12">IF(($E61&gt;0),B61,B60)</f>
        <v>per 100 arrests</v>
      </c>
      <c r="C67" s="49">
        <f t="shared" si="12"/>
        <v>0.54</v>
      </c>
      <c r="D67" s="49">
        <f t="shared" si="12"/>
        <v>0.04</v>
      </c>
      <c r="E67" s="49">
        <f>MAX(C67:D67)</f>
        <v>0.54</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0.17</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0.01</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0.01</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4556</v>
      </c>
      <c r="D6" s="34"/>
      <c r="E6" s="33">
        <f>'Data Entry'!F6</f>
        <v>29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54</v>
      </c>
      <c r="D7" s="34">
        <f>IF((AND(C66&gt;0,C7&gt;0)),(C7/C66),0)</f>
        <v>11.852502194907814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29</v>
      </c>
      <c r="P7" s="42">
        <f t="shared" ref="P7:P15" si="4">C7</f>
        <v>54</v>
      </c>
      <c r="Q7" s="42">
        <f>C6-C7</f>
        <v>4502</v>
      </c>
      <c r="R7" s="42">
        <f t="shared" ref="R7:R15" si="5">SUM(N7:Q7)</f>
        <v>4585</v>
      </c>
      <c r="S7" s="30">
        <f t="shared" ref="S7:S15" si="6">R7*((((N7*Q7)-(O7*P7))^2))</f>
        <v>11244052260</v>
      </c>
      <c r="T7" s="30">
        <f t="shared" ref="T7:T15" si="7">(N7+O7)*(P7+Q7)*(N7+P7)*(O7+Q7)</f>
        <v>32327307576</v>
      </c>
      <c r="U7" s="31">
        <f t="shared" ref="U7:U15" si="8">IF((S7&gt;0),S7/T7,"- -")</f>
        <v>0.34781901442196367</v>
      </c>
    </row>
    <row r="8" spans="2:21" ht="18" customHeight="1">
      <c r="B8" s="32" t="str">
        <f>'Data Entry'!A8</f>
        <v>3. Refer to Juvenile Court</v>
      </c>
      <c r="C8" s="33">
        <f>'Data Entry'!C8</f>
        <v>58</v>
      </c>
      <c r="D8" s="34">
        <f>IF((AND(C67&gt;0,C8&gt;0)),(C8/C67),0)</f>
        <v>107.4074074074074</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58</v>
      </c>
      <c r="Q8" s="42">
        <f>(C$67*L67)-C8</f>
        <v>-4</v>
      </c>
      <c r="R8" s="42">
        <f t="shared" si="5"/>
        <v>54.05</v>
      </c>
      <c r="S8" s="30">
        <f t="shared" si="6"/>
        <v>454.5605000000001</v>
      </c>
      <c r="T8" s="30">
        <f t="shared" si="7"/>
        <v>-618.57000000000016</v>
      </c>
      <c r="U8" s="31">
        <f t="shared" si="8"/>
        <v>-0.73485700890764183</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57.999999999999993</v>
      </c>
      <c r="R9" s="42">
        <f t="shared" si="5"/>
        <v>57.999999999999993</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8.6206896551724146</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52.999999999999993</v>
      </c>
      <c r="R10" s="42">
        <f t="shared" si="5"/>
        <v>57.999999999999993</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60.344827586206904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22.999999999999993</v>
      </c>
      <c r="R11" s="42">
        <f t="shared" si="5"/>
        <v>57.999999999999993</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88.571428571428584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4</v>
      </c>
      <c r="R12" s="42">
        <f t="shared" si="5"/>
        <v>35</v>
      </c>
      <c r="S12" s="30">
        <f t="shared" si="6"/>
        <v>0</v>
      </c>
      <c r="T12" s="30">
        <f t="shared" si="7"/>
        <v>0</v>
      </c>
      <c r="U12" s="31" t="str">
        <f t="shared" si="8"/>
        <v>- -</v>
      </c>
    </row>
    <row r="13" spans="2:21" ht="18" customHeight="1">
      <c r="B13" s="32" t="str">
        <f>'Data Entry'!A13</f>
        <v>8. Cases Resulting in Probation Placement</v>
      </c>
      <c r="C13" s="33">
        <f>'Data Entry'!C13</f>
        <v>53</v>
      </c>
      <c r="D13" s="34">
        <f>IF(((AND(C70&gt;0,C13&gt;0))),(C13/(C70)),0)</f>
        <v>170.96774193548387</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53</v>
      </c>
      <c r="Q13" s="42">
        <f>(C70*L70)-C13</f>
        <v>-22</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31</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4.556</v>
      </c>
      <c r="D42" s="56">
        <f>E6/1000</f>
        <v>2.9000000000000001E-2</v>
      </c>
      <c r="E42" s="56">
        <f>MAX(C42:D42)</f>
        <v>4.556</v>
      </c>
      <c r="G42" s="1" t="str">
        <f>B42</f>
        <v>per 1000 youth</v>
      </c>
      <c r="L42" s="57">
        <v>1000</v>
      </c>
      <c r="M42" s="57"/>
      <c r="R42" s="49"/>
    </row>
    <row r="43" spans="2:18" ht="15" hidden="1" customHeight="1">
      <c r="B43" s="49" t="s">
        <v>87</v>
      </c>
      <c r="C43" s="56">
        <f>C7/100</f>
        <v>0.54</v>
      </c>
      <c r="D43" s="56">
        <f>E7/100</f>
        <v>0</v>
      </c>
      <c r="E43" s="56">
        <f>MAX(C43:D43,0)</f>
        <v>0.54</v>
      </c>
      <c r="G43" s="1" t="str">
        <f>B43</f>
        <v>per 100 arrests</v>
      </c>
      <c r="L43" s="57">
        <v>100</v>
      </c>
      <c r="M43" s="57"/>
      <c r="R43" s="49"/>
    </row>
    <row r="44" spans="2:18" ht="15" hidden="1" customHeight="1">
      <c r="B44" s="49" t="s">
        <v>88</v>
      </c>
      <c r="C44" s="56">
        <f>C8/100</f>
        <v>0.57999999999999996</v>
      </c>
      <c r="D44" s="56">
        <f>E8/100</f>
        <v>0</v>
      </c>
      <c r="E44" s="56">
        <f>MAX(C44:D44,0)</f>
        <v>0.57999999999999996</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4.556</v>
      </c>
      <c r="D48" s="56">
        <f>D42</f>
        <v>2.9000000000000001E-2</v>
      </c>
      <c r="E48" s="56">
        <f>MAX(C48:D48)</f>
        <v>4.556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0.54</v>
      </c>
      <c r="D49" s="49">
        <f t="shared" si="9"/>
        <v>0</v>
      </c>
      <c r="E49" s="49">
        <f>MAX(C49:D49)</f>
        <v>0.54</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4.556</v>
      </c>
      <c r="D54" s="56">
        <f>D48</f>
        <v>2.9000000000000001E-2</v>
      </c>
      <c r="E54" s="56">
        <f>MAX(C54:D54)</f>
        <v>4.556</v>
      </c>
      <c r="G54" s="1" t="str">
        <f>G48</f>
        <v>per 1000 youth</v>
      </c>
      <c r="L54" s="58">
        <f>L48</f>
        <v>1000</v>
      </c>
      <c r="M54" s="58"/>
    </row>
    <row r="55" spans="2:18" ht="15" hidden="1" customHeight="1">
      <c r="B55" s="49" t="str">
        <f t="shared" ref="B55:D56" si="10">IF(($E49&gt;0),B49,B48)</f>
        <v>per 100 arrests</v>
      </c>
      <c r="C55" s="49">
        <f t="shared" si="10"/>
        <v>0.54</v>
      </c>
      <c r="D55" s="49">
        <f t="shared" si="10"/>
        <v>0</v>
      </c>
      <c r="E55" s="49">
        <f>MAX(C55:D55)</f>
        <v>0.54</v>
      </c>
      <c r="G55" s="1" t="str">
        <f>G49</f>
        <v>per 100 arrests</v>
      </c>
      <c r="L55" s="58">
        <f>IF(($E49&gt;0),L49,L48)</f>
        <v>100</v>
      </c>
      <c r="M55" s="58"/>
    </row>
    <row r="56" spans="2:18" ht="15" hidden="1" customHeight="1">
      <c r="B56" s="49" t="str">
        <f t="shared" si="10"/>
        <v>per 100 referrals</v>
      </c>
      <c r="C56" s="49">
        <f t="shared" si="10"/>
        <v>0.57999999999999996</v>
      </c>
      <c r="D56" s="49">
        <f t="shared" si="10"/>
        <v>0</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4.556</v>
      </c>
      <c r="D60" s="56">
        <f>D54</f>
        <v>2.9000000000000001E-2</v>
      </c>
      <c r="E60" s="56">
        <f>MAX(C60:D60)</f>
        <v>4.556</v>
      </c>
      <c r="G60" s="1" t="str">
        <f>G54</f>
        <v>per 1000 youth</v>
      </c>
      <c r="L60" s="58">
        <f>L54</f>
        <v>1000</v>
      </c>
      <c r="M60" s="58"/>
    </row>
    <row r="61" spans="2:18" ht="15" hidden="1" customHeight="1">
      <c r="B61" s="49" t="str">
        <f t="shared" ref="B61:D62" si="11">IF(($E55&gt;0),B55,B54)</f>
        <v>per 100 arrests</v>
      </c>
      <c r="C61" s="49">
        <f t="shared" si="11"/>
        <v>0.54</v>
      </c>
      <c r="D61" s="49">
        <f t="shared" si="11"/>
        <v>0</v>
      </c>
      <c r="E61" s="49">
        <f>MAX(C61:D61)</f>
        <v>0.54</v>
      </c>
      <c r="G61" s="1" t="str">
        <f>G55</f>
        <v>per 100 arrests</v>
      </c>
      <c r="L61" s="58">
        <f>IF(($E55&gt;0),L55,L54)</f>
        <v>100</v>
      </c>
      <c r="M61" s="58"/>
    </row>
    <row r="62" spans="2:18" ht="15" hidden="1" customHeight="1">
      <c r="B62" s="49" t="str">
        <f t="shared" si="11"/>
        <v>per 100 referrals</v>
      </c>
      <c r="C62" s="49">
        <f t="shared" si="11"/>
        <v>0.57999999999999996</v>
      </c>
      <c r="D62" s="49">
        <f t="shared" si="11"/>
        <v>0</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4.556</v>
      </c>
      <c r="D66" s="56">
        <f>D60</f>
        <v>2.9000000000000001E-2</v>
      </c>
      <c r="E66" s="56">
        <f>MAX(C66:D66)</f>
        <v>4.556</v>
      </c>
      <c r="G66" s="1" t="str">
        <f>G60</f>
        <v>per 1000 youth</v>
      </c>
      <c r="L66" s="58">
        <f>L60</f>
        <v>1000</v>
      </c>
      <c r="M66" s="58">
        <f>IF((B66=G66),1,2)</f>
        <v>1</v>
      </c>
    </row>
    <row r="67" spans="2:13" ht="15" hidden="1" customHeight="1">
      <c r="B67" s="49" t="str">
        <f t="shared" ref="B67:D68" si="12">IF(($E61&gt;0),B61,B60)</f>
        <v>per 100 arrests</v>
      </c>
      <c r="C67" s="49">
        <f t="shared" si="12"/>
        <v>0.54</v>
      </c>
      <c r="D67" s="49">
        <f t="shared" si="12"/>
        <v>0</v>
      </c>
      <c r="E67" s="49">
        <f>MAX(C67:D67)</f>
        <v>0.54</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4556</v>
      </c>
      <c r="D6" s="34"/>
      <c r="E6" s="33">
        <f>'Data Entry'!E6</f>
        <v>300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54</v>
      </c>
      <c r="D7" s="34">
        <f>IF((AND(C66&gt;0,C7&gt;0)),(C7/C66),0)</f>
        <v>11.852502194907814</v>
      </c>
      <c r="E7" s="33">
        <f>'Data Entry'!E7</f>
        <v>1</v>
      </c>
      <c r="F7" s="34">
        <f>IF((AND($E$7&gt;0,$D$66&gt;0)),($E$7/$D$66),0)</f>
        <v>3.3333333333333335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299</v>
      </c>
      <c r="P7" s="42">
        <f t="shared" ref="P7:P15" si="4">C7</f>
        <v>54</v>
      </c>
      <c r="Q7" s="42">
        <f>C6-C7</f>
        <v>4502</v>
      </c>
      <c r="R7" s="42">
        <f t="shared" ref="R7:R15" si="5">SUM(N7:Q7)</f>
        <v>4856</v>
      </c>
      <c r="S7" s="30">
        <f t="shared" ref="S7:S15" si="6">R7*((((N7*Q7)-(O7*P7))^2))</f>
        <v>658389766016</v>
      </c>
      <c r="T7" s="30">
        <f t="shared" ref="T7:T15" si="7">(N7+O7)*(P7+Q7)*(N7+P7)*(O7+Q7)</f>
        <v>360910374000</v>
      </c>
      <c r="U7" s="31">
        <f t="shared" ref="U7:U15" si="8">IF((S7&gt;0),S7/T7,"- -")</f>
        <v>1.8242472742443252</v>
      </c>
    </row>
    <row r="8" spans="2:21" ht="18" customHeight="1">
      <c r="B8" s="32" t="str">
        <f>'Data Entry'!A8</f>
        <v>3. Refer to Juvenile Court</v>
      </c>
      <c r="C8" s="33">
        <f>'Data Entry'!C8</f>
        <v>58</v>
      </c>
      <c r="D8" s="34">
        <f>IF((AND(C67&gt;0,C8&gt;0)),(C8/C67),0)</f>
        <v>107.4074074074074</v>
      </c>
      <c r="E8" s="33">
        <f>'Data Entry'!E8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1.05</v>
      </c>
      <c r="P8" s="42">
        <f t="shared" si="4"/>
        <v>58</v>
      </c>
      <c r="Q8" s="42">
        <f>(C$67*L67)-C8</f>
        <v>-4</v>
      </c>
      <c r="R8" s="42">
        <f t="shared" si="5"/>
        <v>55.05</v>
      </c>
      <c r="S8" s="30">
        <f t="shared" si="6"/>
        <v>204169.99050000004</v>
      </c>
      <c r="T8" s="30">
        <f t="shared" si="7"/>
        <v>-9701.3700000000008</v>
      </c>
      <c r="U8" s="31">
        <f t="shared" si="8"/>
        <v>-21.045480225988705</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57.999999999999993</v>
      </c>
      <c r="R9" s="42">
        <f t="shared" si="5"/>
        <v>57.999999999999993</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8.6206896551724146</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52.999999999999993</v>
      </c>
      <c r="R10" s="42">
        <f t="shared" si="5"/>
        <v>57.999999999999993</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60.344827586206904</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22.999999999999993</v>
      </c>
      <c r="R11" s="42">
        <f t="shared" si="5"/>
        <v>57.999999999999993</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88.571428571428584</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4</v>
      </c>
      <c r="R12" s="42">
        <f t="shared" si="5"/>
        <v>35</v>
      </c>
      <c r="S12" s="30">
        <f t="shared" si="6"/>
        <v>0</v>
      </c>
      <c r="T12" s="30">
        <f t="shared" si="7"/>
        <v>0</v>
      </c>
      <c r="U12" s="31" t="str">
        <f t="shared" si="8"/>
        <v>- -</v>
      </c>
    </row>
    <row r="13" spans="2:21" ht="18" customHeight="1">
      <c r="B13" s="32" t="str">
        <f>'Data Entry'!A13</f>
        <v>8. Cases Resulting in Probation Placement</v>
      </c>
      <c r="C13" s="33">
        <f>'Data Entry'!C13</f>
        <v>53</v>
      </c>
      <c r="D13" s="34">
        <f>IF(((AND(C70&gt;0,C13&gt;0))),(C13/(C70)),0)</f>
        <v>170.96774193548387</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53</v>
      </c>
      <c r="Q13" s="42">
        <f>(C70*L70)-C13</f>
        <v>-22</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31</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4.556</v>
      </c>
      <c r="D42" s="56">
        <f>E6/1000</f>
        <v>0.3</v>
      </c>
      <c r="E42" s="56">
        <f>MAX(C42:D42)</f>
        <v>4.556</v>
      </c>
      <c r="G42" s="1" t="str">
        <f>B42</f>
        <v>per 1000 youth</v>
      </c>
      <c r="L42" s="57">
        <v>1000</v>
      </c>
      <c r="M42" s="57"/>
      <c r="R42" s="49"/>
    </row>
    <row r="43" spans="2:18" ht="15" hidden="1" customHeight="1">
      <c r="B43" s="49" t="s">
        <v>87</v>
      </c>
      <c r="C43" s="56">
        <f>C7/100</f>
        <v>0.54</v>
      </c>
      <c r="D43" s="56">
        <f>E7/100</f>
        <v>0.01</v>
      </c>
      <c r="E43" s="56">
        <f>MAX(C43:D43,0)</f>
        <v>0.54</v>
      </c>
      <c r="G43" s="1" t="str">
        <f>B43</f>
        <v>per 100 arrests</v>
      </c>
      <c r="L43" s="57">
        <v>100</v>
      </c>
      <c r="M43" s="57"/>
      <c r="R43" s="49"/>
    </row>
    <row r="44" spans="2:18" ht="15" hidden="1" customHeight="1">
      <c r="B44" s="49" t="s">
        <v>88</v>
      </c>
      <c r="C44" s="56">
        <f>C8/100</f>
        <v>0.57999999999999996</v>
      </c>
      <c r="D44" s="56">
        <f>E8/100</f>
        <v>0</v>
      </c>
      <c r="E44" s="56">
        <f>MAX(C44:D44,0)</f>
        <v>0.57999999999999996</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4.556</v>
      </c>
      <c r="D48" s="56">
        <f>D42</f>
        <v>0.3</v>
      </c>
      <c r="E48" s="56">
        <f>MAX(C48:D48)</f>
        <v>4.556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0.54</v>
      </c>
      <c r="D49" s="49">
        <f t="shared" si="9"/>
        <v>0.01</v>
      </c>
      <c r="E49" s="49">
        <f>MAX(C49:D49)</f>
        <v>0.54</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4.556</v>
      </c>
      <c r="D54" s="56">
        <f>D48</f>
        <v>0.3</v>
      </c>
      <c r="E54" s="56">
        <f>MAX(C54:D54)</f>
        <v>4.556</v>
      </c>
      <c r="G54" s="1" t="str">
        <f>G48</f>
        <v>per 1000 youth</v>
      </c>
      <c r="L54" s="58">
        <f>L48</f>
        <v>1000</v>
      </c>
      <c r="M54" s="58"/>
    </row>
    <row r="55" spans="2:18" ht="15" hidden="1" customHeight="1">
      <c r="B55" s="49" t="str">
        <f t="shared" ref="B55:D56" si="10">IF(($E49&gt;0),B49,B48)</f>
        <v>per 100 arrests</v>
      </c>
      <c r="C55" s="49">
        <f t="shared" si="10"/>
        <v>0.54</v>
      </c>
      <c r="D55" s="49">
        <f t="shared" si="10"/>
        <v>0.01</v>
      </c>
      <c r="E55" s="49">
        <f>MAX(C55:D55)</f>
        <v>0.54</v>
      </c>
      <c r="G55" s="1" t="str">
        <f>G49</f>
        <v>per 100 arrests</v>
      </c>
      <c r="L55" s="58">
        <f>IF(($E49&gt;0),L49,L48)</f>
        <v>100</v>
      </c>
      <c r="M55" s="58"/>
    </row>
    <row r="56" spans="2:18" ht="15" hidden="1" customHeight="1">
      <c r="B56" s="49" t="str">
        <f t="shared" si="10"/>
        <v>per 100 referrals</v>
      </c>
      <c r="C56" s="49">
        <f t="shared" si="10"/>
        <v>0.57999999999999996</v>
      </c>
      <c r="D56" s="49">
        <f t="shared" si="10"/>
        <v>0</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4.556</v>
      </c>
      <c r="D60" s="56">
        <f>D54</f>
        <v>0.3</v>
      </c>
      <c r="E60" s="56">
        <f>MAX(C60:D60)</f>
        <v>4.556</v>
      </c>
      <c r="G60" s="1" t="str">
        <f>G54</f>
        <v>per 1000 youth</v>
      </c>
      <c r="L60" s="58">
        <f>L54</f>
        <v>1000</v>
      </c>
      <c r="M60" s="58"/>
    </row>
    <row r="61" spans="2:18" ht="15" hidden="1" customHeight="1">
      <c r="B61" s="49" t="str">
        <f t="shared" ref="B61:D62" si="11">IF(($E55&gt;0),B55,B54)</f>
        <v>per 100 arrests</v>
      </c>
      <c r="C61" s="49">
        <f t="shared" si="11"/>
        <v>0.54</v>
      </c>
      <c r="D61" s="49">
        <f t="shared" si="11"/>
        <v>0.01</v>
      </c>
      <c r="E61" s="49">
        <f>MAX(C61:D61)</f>
        <v>0.54</v>
      </c>
      <c r="G61" s="1" t="str">
        <f>G55</f>
        <v>per 100 arrests</v>
      </c>
      <c r="L61" s="58">
        <f>IF(($E55&gt;0),L55,L54)</f>
        <v>100</v>
      </c>
      <c r="M61" s="58"/>
    </row>
    <row r="62" spans="2:18" ht="15" hidden="1" customHeight="1">
      <c r="B62" s="49" t="str">
        <f t="shared" si="11"/>
        <v>per 100 referrals</v>
      </c>
      <c r="C62" s="49">
        <f t="shared" si="11"/>
        <v>0.57999999999999996</v>
      </c>
      <c r="D62" s="49">
        <f t="shared" si="11"/>
        <v>0</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4.556</v>
      </c>
      <c r="D66" s="56">
        <f>D60</f>
        <v>0.3</v>
      </c>
      <c r="E66" s="56">
        <f>MAX(C66:D66)</f>
        <v>4.556</v>
      </c>
      <c r="G66" s="1" t="str">
        <f>G60</f>
        <v>per 1000 youth</v>
      </c>
      <c r="L66" s="58">
        <f>L60</f>
        <v>1000</v>
      </c>
      <c r="M66" s="58">
        <f>IF((B66=G66),1,2)</f>
        <v>1</v>
      </c>
    </row>
    <row r="67" spans="2:13" ht="15" hidden="1" customHeight="1">
      <c r="B67" s="49" t="str">
        <f t="shared" ref="B67:D68" si="12">IF(($E61&gt;0),B61,B60)</f>
        <v>per 100 arrests</v>
      </c>
      <c r="C67" s="49">
        <f t="shared" si="12"/>
        <v>0.54</v>
      </c>
      <c r="D67" s="49">
        <f t="shared" si="12"/>
        <v>0.01</v>
      </c>
      <c r="E67" s="49">
        <f>MAX(C67:D67)</f>
        <v>0.54</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4556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54</v>
      </c>
      <c r="D7" s="34">
        <f>IF((AND(C66&gt;0,C7&gt;0)),(C7/C66),0)</f>
        <v>11.852502194907814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54</v>
      </c>
      <c r="Q7" s="42">
        <f>C6-C7</f>
        <v>4502</v>
      </c>
      <c r="R7" s="42">
        <f t="shared" ref="R7:R15" si="5">SUM(N7:Q7)</f>
        <v>4556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58</v>
      </c>
      <c r="D8" s="34">
        <f>IF((AND(C67&gt;0,C8&gt;0)),(C8/C67),0)</f>
        <v>107.4074074074074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58</v>
      </c>
      <c r="Q8" s="42">
        <f>(C$67*L67)-C8</f>
        <v>-4</v>
      </c>
      <c r="R8" s="42">
        <f t="shared" si="5"/>
        <v>54.05</v>
      </c>
      <c r="S8" s="30">
        <f t="shared" si="6"/>
        <v>454.5605000000001</v>
      </c>
      <c r="T8" s="30">
        <f t="shared" si="7"/>
        <v>-618.57000000000016</v>
      </c>
      <c r="U8" s="31">
        <f t="shared" si="8"/>
        <v>-0.73485700890764183</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57.999999999999993</v>
      </c>
      <c r="R9" s="42">
        <f t="shared" si="5"/>
        <v>57.999999999999993</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8.6206896551724146</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52.999999999999993</v>
      </c>
      <c r="R10" s="42">
        <f t="shared" si="5"/>
        <v>57.999999999999993</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60.344827586206904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22.999999999999993</v>
      </c>
      <c r="R11" s="42">
        <f t="shared" si="5"/>
        <v>57.999999999999993</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88.571428571428584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4</v>
      </c>
      <c r="R12" s="42">
        <f t="shared" si="5"/>
        <v>35</v>
      </c>
      <c r="S12" s="30">
        <f t="shared" si="6"/>
        <v>0</v>
      </c>
      <c r="T12" s="30">
        <f t="shared" si="7"/>
        <v>0</v>
      </c>
      <c r="U12" s="31" t="str">
        <f t="shared" si="8"/>
        <v>- -</v>
      </c>
    </row>
    <row r="13" spans="2:21" ht="18" customHeight="1">
      <c r="B13" s="32" t="str">
        <f>'Data Entry'!A13</f>
        <v>8. Cases Resulting in Probation Placement</v>
      </c>
      <c r="C13" s="33">
        <f>'Data Entry'!C13</f>
        <v>53</v>
      </c>
      <c r="D13" s="34">
        <f>IF(((AND(C70&gt;0,C13&gt;0))),(C13/(C70)),0)</f>
        <v>170.96774193548387</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53</v>
      </c>
      <c r="Q13" s="42">
        <f>(C70*L70)-C13</f>
        <v>-22</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31</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4.556</v>
      </c>
      <c r="D42" s="56">
        <f>E6/1000</f>
        <v>0</v>
      </c>
      <c r="E42" s="56">
        <f>MAX(C42:D42)</f>
        <v>4.556</v>
      </c>
      <c r="G42" s="1" t="str">
        <f>B42</f>
        <v>per 1000 youth</v>
      </c>
      <c r="L42" s="57">
        <v>1000</v>
      </c>
      <c r="M42" s="57"/>
      <c r="R42" s="49"/>
    </row>
    <row r="43" spans="2:18" ht="15" hidden="1" customHeight="1">
      <c r="B43" s="49" t="s">
        <v>87</v>
      </c>
      <c r="C43" s="56">
        <f>C7/100</f>
        <v>0.54</v>
      </c>
      <c r="D43" s="56">
        <f>E7/100</f>
        <v>0</v>
      </c>
      <c r="E43" s="56">
        <f>MAX(C43:D43,0)</f>
        <v>0.54</v>
      </c>
      <c r="G43" s="1" t="str">
        <f>B43</f>
        <v>per 100 arrests</v>
      </c>
      <c r="L43" s="57">
        <v>100</v>
      </c>
      <c r="M43" s="57"/>
      <c r="R43" s="49"/>
    </row>
    <row r="44" spans="2:18" ht="15" hidden="1" customHeight="1">
      <c r="B44" s="49" t="s">
        <v>88</v>
      </c>
      <c r="C44" s="56">
        <f>C8/100</f>
        <v>0.57999999999999996</v>
      </c>
      <c r="D44" s="56">
        <f>E8/100</f>
        <v>0</v>
      </c>
      <c r="E44" s="56">
        <f>MAX(C44:D44,0)</f>
        <v>0.57999999999999996</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4.556</v>
      </c>
      <c r="D48" s="56">
        <f>D42</f>
        <v>0</v>
      </c>
      <c r="E48" s="56">
        <f>MAX(C48:D48)</f>
        <v>4.556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0.54</v>
      </c>
      <c r="D49" s="49">
        <f t="shared" si="9"/>
        <v>0</v>
      </c>
      <c r="E49" s="49">
        <f>MAX(C49:D49)</f>
        <v>0.54</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4.556</v>
      </c>
      <c r="D54" s="56">
        <f>D48</f>
        <v>0</v>
      </c>
      <c r="E54" s="56">
        <f>MAX(C54:D54)</f>
        <v>4.556</v>
      </c>
      <c r="G54" s="1" t="str">
        <f>G48</f>
        <v>per 1000 youth</v>
      </c>
      <c r="L54" s="58">
        <f>L48</f>
        <v>1000</v>
      </c>
      <c r="M54" s="58"/>
    </row>
    <row r="55" spans="2:18" ht="15" hidden="1" customHeight="1">
      <c r="B55" s="49" t="str">
        <f t="shared" ref="B55:D56" si="10">IF(($E49&gt;0),B49,B48)</f>
        <v>per 100 arrests</v>
      </c>
      <c r="C55" s="49">
        <f t="shared" si="10"/>
        <v>0.54</v>
      </c>
      <c r="D55" s="49">
        <f t="shared" si="10"/>
        <v>0</v>
      </c>
      <c r="E55" s="49">
        <f>MAX(C55:D55)</f>
        <v>0.54</v>
      </c>
      <c r="G55" s="1" t="str">
        <f>G49</f>
        <v>per 100 arrests</v>
      </c>
      <c r="L55" s="58">
        <f>IF(($E49&gt;0),L49,L48)</f>
        <v>100</v>
      </c>
      <c r="M55" s="58"/>
    </row>
    <row r="56" spans="2:18" ht="15" hidden="1" customHeight="1">
      <c r="B56" s="49" t="str">
        <f t="shared" si="10"/>
        <v>per 100 referrals</v>
      </c>
      <c r="C56" s="49">
        <f t="shared" si="10"/>
        <v>0.57999999999999996</v>
      </c>
      <c r="D56" s="49">
        <f t="shared" si="10"/>
        <v>0</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4.556</v>
      </c>
      <c r="D60" s="56">
        <f>D54</f>
        <v>0</v>
      </c>
      <c r="E60" s="56">
        <f>MAX(C60:D60)</f>
        <v>4.556</v>
      </c>
      <c r="G60" s="1" t="str">
        <f>G54</f>
        <v>per 1000 youth</v>
      </c>
      <c r="L60" s="58">
        <f>L54</f>
        <v>1000</v>
      </c>
      <c r="M60" s="58"/>
    </row>
    <row r="61" spans="2:18" ht="15" hidden="1" customHeight="1">
      <c r="B61" s="49" t="str">
        <f t="shared" ref="B61:D62" si="11">IF(($E55&gt;0),B55,B54)</f>
        <v>per 100 arrests</v>
      </c>
      <c r="C61" s="49">
        <f t="shared" si="11"/>
        <v>0.54</v>
      </c>
      <c r="D61" s="49">
        <f t="shared" si="11"/>
        <v>0</v>
      </c>
      <c r="E61" s="49">
        <f>MAX(C61:D61)</f>
        <v>0.54</v>
      </c>
      <c r="G61" s="1" t="str">
        <f>G55</f>
        <v>per 100 arrests</v>
      </c>
      <c r="L61" s="58">
        <f>IF(($E55&gt;0),L55,L54)</f>
        <v>100</v>
      </c>
      <c r="M61" s="58"/>
    </row>
    <row r="62" spans="2:18" ht="15" hidden="1" customHeight="1">
      <c r="B62" s="49" t="str">
        <f t="shared" si="11"/>
        <v>per 100 referrals</v>
      </c>
      <c r="C62" s="49">
        <f t="shared" si="11"/>
        <v>0.57999999999999996</v>
      </c>
      <c r="D62" s="49">
        <f t="shared" si="11"/>
        <v>0</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4.556</v>
      </c>
      <c r="D66" s="56">
        <f>D60</f>
        <v>0</v>
      </c>
      <c r="E66" s="56">
        <f>MAX(C66:D66)</f>
        <v>4.556</v>
      </c>
      <c r="G66" s="1" t="str">
        <f>G60</f>
        <v>per 1000 youth</v>
      </c>
      <c r="L66" s="58">
        <f>L60</f>
        <v>1000</v>
      </c>
      <c r="M66" s="58">
        <f>IF((B66=G66),1,2)</f>
        <v>1</v>
      </c>
    </row>
    <row r="67" spans="2:13" ht="15" hidden="1" customHeight="1">
      <c r="B67" s="49" t="str">
        <f t="shared" ref="B67:D68" si="12">IF(($E61&gt;0),B61,B60)</f>
        <v>per 100 arrests</v>
      </c>
      <c r="C67" s="49">
        <f t="shared" si="12"/>
        <v>0.54</v>
      </c>
      <c r="D67" s="49">
        <f t="shared" si="12"/>
        <v>0</v>
      </c>
      <c r="E67" s="49">
        <f>MAX(C67:D67)</f>
        <v>0.54</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4556</v>
      </c>
      <c r="D6" s="34"/>
      <c r="E6" s="33">
        <f>'Data Entry'!H6</f>
        <v>39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54</v>
      </c>
      <c r="D7" s="34">
        <f>IF((AND(C66&gt;0,C7&gt;0)),(C7/C66),0)</f>
        <v>11.852502194907814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39</v>
      </c>
      <c r="P7" s="42">
        <f t="shared" ref="P7:P15" si="4">C7</f>
        <v>54</v>
      </c>
      <c r="Q7" s="42">
        <f>C6-C7</f>
        <v>4502</v>
      </c>
      <c r="R7" s="42">
        <f t="shared" ref="R7:R15" si="5">SUM(N7:Q7)</f>
        <v>4595</v>
      </c>
      <c r="S7" s="30">
        <f t="shared" ref="S7:S15" si="6">R7*((((N7*Q7)-(O7*P7))^2))</f>
        <v>20379909420</v>
      </c>
      <c r="T7" s="30">
        <f t="shared" ref="T7:T15" si="7">(N7+O7)*(P7+Q7)*(N7+P7)*(O7+Q7)</f>
        <v>43570604376</v>
      </c>
      <c r="U7" s="31">
        <f t="shared" ref="U7:U15" si="8">IF((S7&gt;0),S7/T7,"- -")</f>
        <v>0.46774447386885154</v>
      </c>
    </row>
    <row r="8" spans="2:21" ht="18" customHeight="1">
      <c r="B8" s="32" t="str">
        <f>'Data Entry'!A8</f>
        <v>3. Refer to Juvenile Court</v>
      </c>
      <c r="C8" s="33">
        <f>'Data Entry'!C8</f>
        <v>58</v>
      </c>
      <c r="D8" s="34">
        <f>IF((AND(C67&gt;0,C8&gt;0)),(C8/C67),0)</f>
        <v>107.4074074074074</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58</v>
      </c>
      <c r="Q8" s="42">
        <f>(C$67*L67)-C8</f>
        <v>-4</v>
      </c>
      <c r="R8" s="42">
        <f t="shared" si="5"/>
        <v>54.05</v>
      </c>
      <c r="S8" s="30">
        <f t="shared" si="6"/>
        <v>454.5605000000001</v>
      </c>
      <c r="T8" s="30">
        <f t="shared" si="7"/>
        <v>-618.57000000000016</v>
      </c>
      <c r="U8" s="31">
        <f t="shared" si="8"/>
        <v>-0.73485700890764183</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57.999999999999993</v>
      </c>
      <c r="R9" s="42">
        <f t="shared" si="5"/>
        <v>57.999999999999993</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8.6206896551724146</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52.999999999999993</v>
      </c>
      <c r="R10" s="42">
        <f t="shared" si="5"/>
        <v>57.999999999999993</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60.344827586206904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22.999999999999993</v>
      </c>
      <c r="R11" s="42">
        <f t="shared" si="5"/>
        <v>57.999999999999993</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88.571428571428584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4</v>
      </c>
      <c r="R12" s="42">
        <f t="shared" si="5"/>
        <v>35</v>
      </c>
      <c r="S12" s="30">
        <f t="shared" si="6"/>
        <v>0</v>
      </c>
      <c r="T12" s="30">
        <f t="shared" si="7"/>
        <v>0</v>
      </c>
      <c r="U12" s="31" t="str">
        <f t="shared" si="8"/>
        <v>- -</v>
      </c>
    </row>
    <row r="13" spans="2:21" ht="18" customHeight="1">
      <c r="B13" s="32" t="str">
        <f>'Data Entry'!A13</f>
        <v>8. Cases Resulting in Probation Placement</v>
      </c>
      <c r="C13" s="33">
        <f>'Data Entry'!C13</f>
        <v>53</v>
      </c>
      <c r="D13" s="34">
        <f>IF(((AND(C70&gt;0,C13&gt;0))),(C13/(C70)),0)</f>
        <v>170.96774193548387</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53</v>
      </c>
      <c r="Q13" s="42">
        <f>(C70*L70)-C13</f>
        <v>-22</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31</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4.556</v>
      </c>
      <c r="D42" s="56">
        <f>E6/1000</f>
        <v>3.9E-2</v>
      </c>
      <c r="E42" s="56">
        <f>MAX(C42:D42)</f>
        <v>4.556</v>
      </c>
      <c r="G42" s="1" t="str">
        <f>B42</f>
        <v>per 1000 youth</v>
      </c>
      <c r="L42" s="57">
        <v>1000</v>
      </c>
      <c r="M42" s="57"/>
      <c r="R42" s="49"/>
    </row>
    <row r="43" spans="2:18" ht="15" hidden="1" customHeight="1">
      <c r="B43" s="49" t="s">
        <v>87</v>
      </c>
      <c r="C43" s="56">
        <f>C7/100</f>
        <v>0.54</v>
      </c>
      <c r="D43" s="56">
        <f>E7/100</f>
        <v>0</v>
      </c>
      <c r="E43" s="56">
        <f>MAX(C43:D43,0)</f>
        <v>0.54</v>
      </c>
      <c r="G43" s="1" t="str">
        <f>B43</f>
        <v>per 100 arrests</v>
      </c>
      <c r="L43" s="57">
        <v>100</v>
      </c>
      <c r="M43" s="57"/>
      <c r="R43" s="49"/>
    </row>
    <row r="44" spans="2:18" ht="15" hidden="1" customHeight="1">
      <c r="B44" s="49" t="s">
        <v>88</v>
      </c>
      <c r="C44" s="56">
        <f>C8/100</f>
        <v>0.57999999999999996</v>
      </c>
      <c r="D44" s="56">
        <f>E8/100</f>
        <v>0</v>
      </c>
      <c r="E44" s="56">
        <f>MAX(C44:D44,0)</f>
        <v>0.57999999999999996</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4.556</v>
      </c>
      <c r="D48" s="56">
        <f>D42</f>
        <v>3.9E-2</v>
      </c>
      <c r="E48" s="56">
        <f>MAX(C48:D48)</f>
        <v>4.556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0.54</v>
      </c>
      <c r="D49" s="49">
        <f t="shared" si="9"/>
        <v>0</v>
      </c>
      <c r="E49" s="49">
        <f>MAX(C49:D49)</f>
        <v>0.54</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4.556</v>
      </c>
      <c r="D54" s="56">
        <f>D48</f>
        <v>3.9E-2</v>
      </c>
      <c r="E54" s="56">
        <f>MAX(C54:D54)</f>
        <v>4.556</v>
      </c>
      <c r="G54" s="1" t="str">
        <f>G48</f>
        <v>per 1000 youth</v>
      </c>
      <c r="L54" s="58">
        <f>L48</f>
        <v>1000</v>
      </c>
      <c r="M54" s="58"/>
    </row>
    <row r="55" spans="2:18" ht="15" hidden="1" customHeight="1">
      <c r="B55" s="49" t="str">
        <f t="shared" ref="B55:D56" si="10">IF(($E49&gt;0),B49,B48)</f>
        <v>per 100 arrests</v>
      </c>
      <c r="C55" s="49">
        <f t="shared" si="10"/>
        <v>0.54</v>
      </c>
      <c r="D55" s="49">
        <f t="shared" si="10"/>
        <v>0</v>
      </c>
      <c r="E55" s="49">
        <f>MAX(C55:D55)</f>
        <v>0.54</v>
      </c>
      <c r="G55" s="1" t="str">
        <f>G49</f>
        <v>per 100 arrests</v>
      </c>
      <c r="L55" s="58">
        <f>IF(($E49&gt;0),L49,L48)</f>
        <v>100</v>
      </c>
      <c r="M55" s="58"/>
    </row>
    <row r="56" spans="2:18" ht="15" hidden="1" customHeight="1">
      <c r="B56" s="49" t="str">
        <f t="shared" si="10"/>
        <v>per 100 referrals</v>
      </c>
      <c r="C56" s="49">
        <f t="shared" si="10"/>
        <v>0.57999999999999996</v>
      </c>
      <c r="D56" s="49">
        <f t="shared" si="10"/>
        <v>0</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4.556</v>
      </c>
      <c r="D60" s="56">
        <f>D54</f>
        <v>3.9E-2</v>
      </c>
      <c r="E60" s="56">
        <f>MAX(C60:D60)</f>
        <v>4.556</v>
      </c>
      <c r="G60" s="1" t="str">
        <f>G54</f>
        <v>per 1000 youth</v>
      </c>
      <c r="L60" s="58">
        <f>L54</f>
        <v>1000</v>
      </c>
      <c r="M60" s="58"/>
    </row>
    <row r="61" spans="2:18" ht="15" hidden="1" customHeight="1">
      <c r="B61" s="49" t="str">
        <f t="shared" ref="B61:D62" si="11">IF(($E55&gt;0),B55,B54)</f>
        <v>per 100 arrests</v>
      </c>
      <c r="C61" s="49">
        <f t="shared" si="11"/>
        <v>0.54</v>
      </c>
      <c r="D61" s="49">
        <f t="shared" si="11"/>
        <v>0</v>
      </c>
      <c r="E61" s="49">
        <f>MAX(C61:D61)</f>
        <v>0.54</v>
      </c>
      <c r="G61" s="1" t="str">
        <f>G55</f>
        <v>per 100 arrests</v>
      </c>
      <c r="L61" s="58">
        <f>IF(($E55&gt;0),L55,L54)</f>
        <v>100</v>
      </c>
      <c r="M61" s="58"/>
    </row>
    <row r="62" spans="2:18" ht="15" hidden="1" customHeight="1">
      <c r="B62" s="49" t="str">
        <f t="shared" si="11"/>
        <v>per 100 referrals</v>
      </c>
      <c r="C62" s="49">
        <f t="shared" si="11"/>
        <v>0.57999999999999996</v>
      </c>
      <c r="D62" s="49">
        <f t="shared" si="11"/>
        <v>0</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4.556</v>
      </c>
      <c r="D66" s="56">
        <f>D60</f>
        <v>3.9E-2</v>
      </c>
      <c r="E66" s="56">
        <f>MAX(C66:D66)</f>
        <v>4.556</v>
      </c>
      <c r="G66" s="1" t="str">
        <f>G60</f>
        <v>per 1000 youth</v>
      </c>
      <c r="L66" s="58">
        <f>L60</f>
        <v>1000</v>
      </c>
      <c r="M66" s="58">
        <f>IF((B66=G66),1,2)</f>
        <v>1</v>
      </c>
    </row>
    <row r="67" spans="2:13" ht="15" hidden="1" customHeight="1">
      <c r="B67" s="49" t="str">
        <f t="shared" ref="B67:D68" si="12">IF(($E61&gt;0),B61,B60)</f>
        <v>per 100 arrests</v>
      </c>
      <c r="C67" s="49">
        <f t="shared" si="12"/>
        <v>0.54</v>
      </c>
      <c r="D67" s="49">
        <f t="shared" si="12"/>
        <v>0</v>
      </c>
      <c r="E67" s="49">
        <f>MAX(C67:D67)</f>
        <v>0.54</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U47JMPN4QEAR-1806752177-30508</_dlc_DocId>
    <_dlc_DocIdUrl xmlns="ac3811b5-0f3e-49e2-ba69-f2ffa0c782af">
      <Url>https://michiganphi.sharepoint.com/sites/CMDMC/_layouts/15/DocIdRedir.aspx?ID=U47JMPN4QEAR-1806752177-30508</Url>
      <Description>U47JMPN4QEAR-1806752177-30508</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AFFD901-738A-4591-8EDA-46178191F3A9}">
  <ds:schemaRefs>
    <ds:schemaRef ds:uri="http://schemas.microsoft.com/sharepoint/v3/contenttype/forms"/>
  </ds:schemaRefs>
</ds:datastoreItem>
</file>

<file path=customXml/itemProps2.xml><?xml version="1.0" encoding="utf-8"?>
<ds:datastoreItem xmlns:ds="http://schemas.openxmlformats.org/officeDocument/2006/customXml" ds:itemID="{819317DE-7A4D-4DBC-BFE7-0B4A4D977E39}">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32730720-C56F-4DB9-A2B5-931E9CFC3D2E}"/>
</file>

<file path=customXml/itemProps4.xml><?xml version="1.0" encoding="utf-8"?>
<ds:datastoreItem xmlns:ds="http://schemas.openxmlformats.org/officeDocument/2006/customXml" ds:itemID="{65EF47B8-3AD1-4616-A5FB-3B1461E7AE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2f5b42b1-3cb5-43b0-97b6-c7283326a77b</vt:lpwstr>
  </property>
</Properties>
</file>