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4DCD9AE5-7373-4AA9-B3F9-235E14DA8ABA}"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J11" i="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F27" i="6"/>
  <c r="M66" i="6"/>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2" i="16"/>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C57" i="8" l="1"/>
  <c r="B57" i="8"/>
  <c r="B56" i="8"/>
  <c r="L56" i="8"/>
  <c r="E58" i="8"/>
  <c r="L64" i="8" s="1"/>
  <c r="L64" i="3"/>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C63" i="3"/>
  <c r="Q8" i="13"/>
  <c r="I7" i="9"/>
  <c r="B63" i="8"/>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E63" i="3"/>
  <c r="C69" i="3" s="1"/>
  <c r="C70" i="3"/>
  <c r="D14" i="3" s="1"/>
  <c r="L70" i="6"/>
  <c r="C70" i="6"/>
  <c r="D13" i="6" s="1"/>
  <c r="L70" i="3"/>
  <c r="D70" i="6"/>
  <c r="F13" i="6" s="1"/>
  <c r="L69" i="7"/>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69" i="3"/>
  <c r="M69" i="3" s="1"/>
  <c r="C70" i="8"/>
  <c r="Q13" i="8" s="1"/>
  <c r="B70" i="8"/>
  <c r="M70" i="8" s="1"/>
  <c r="E64" i="2"/>
  <c r="L70" i="2" s="1"/>
  <c r="L67" i="6"/>
  <c r="F10" i="3"/>
  <c r="F11" i="3"/>
  <c r="D67" i="6"/>
  <c r="F8" i="6" s="1"/>
  <c r="L69" i="3"/>
  <c r="Q12" i="3" s="1"/>
  <c r="M70" i="5"/>
  <c r="E70" i="5"/>
  <c r="Q13" i="5"/>
  <c r="D13" i="5"/>
  <c r="Q14" i="5"/>
  <c r="D14" i="5"/>
  <c r="O13" i="5"/>
  <c r="O14" i="5"/>
  <c r="F35" i="7"/>
  <c r="F34" i="5"/>
  <c r="B70" i="7"/>
  <c r="F33" i="7" s="1"/>
  <c r="D14" i="6"/>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2" i="7" l="1"/>
  <c r="Q15" i="7"/>
  <c r="E69" i="7"/>
  <c r="Q14" i="6"/>
  <c r="Q13" i="6"/>
  <c r="O15" i="7"/>
  <c r="T15" i="7" s="1"/>
  <c r="O12" i="7"/>
  <c r="O13" i="6"/>
  <c r="B69" i="6"/>
  <c r="M69" i="6" s="1"/>
  <c r="F14" i="6"/>
  <c r="Q14" i="3"/>
  <c r="Q13" i="3"/>
  <c r="D13" i="3"/>
  <c r="F34" i="3"/>
  <c r="F14" i="3"/>
  <c r="E70" i="6"/>
  <c r="O14" i="6"/>
  <c r="O13" i="3"/>
  <c r="K13" i="3" s="1"/>
  <c r="E70" i="3"/>
  <c r="C69" i="6"/>
  <c r="D12" i="6" s="1"/>
  <c r="F12" i="7"/>
  <c r="F33" i="3"/>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K12" i="7"/>
  <c r="B68" i="7"/>
  <c r="F31" i="7" s="1"/>
  <c r="T12" i="7"/>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R12" i="7"/>
  <c r="S12" i="7" s="1"/>
  <c r="U12" i="7" s="1"/>
  <c r="J12" i="7" s="1"/>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5" i="7" l="1"/>
  <c r="S15" i="7" s="1"/>
  <c r="U15" i="7" s="1"/>
  <c r="J15" i="7" s="1"/>
  <c r="T13" i="6"/>
  <c r="K15" i="7"/>
  <c r="T14" i="3"/>
  <c r="R14" i="6"/>
  <c r="S14" i="6" s="1"/>
  <c r="U14" i="6" s="1"/>
  <c r="J14" i="6" s="1"/>
  <c r="M14" i="6" s="1"/>
  <c r="G14" i="6" s="1"/>
  <c r="M15" i="13" s="1"/>
  <c r="R13" i="6"/>
  <c r="S13" i="6" s="1"/>
  <c r="U13" i="6" s="1"/>
  <c r="J13" i="6" s="1"/>
  <c r="M13" i="6" s="1"/>
  <c r="G13" i="6" s="1"/>
  <c r="M14" i="13" s="1"/>
  <c r="F32" i="6"/>
  <c r="F35" i="6"/>
  <c r="K13" i="6"/>
  <c r="K14" i="6"/>
  <c r="R14" i="3"/>
  <c r="S14" i="3" s="1"/>
  <c r="U14" i="3" s="1"/>
  <c r="J14" i="3" s="1"/>
  <c r="M14" i="3" s="1"/>
  <c r="G14" i="3" s="1"/>
  <c r="I15" i="16" s="1"/>
  <c r="T13" i="8"/>
  <c r="U13" i="8" s="1"/>
  <c r="J13" i="8" s="1"/>
  <c r="M13" i="8" s="1"/>
  <c r="K14" i="3"/>
  <c r="T14" i="6"/>
  <c r="T13" i="3"/>
  <c r="R13" i="3"/>
  <c r="S13" i="3" s="1"/>
  <c r="U13" i="3" s="1"/>
  <c r="J13" i="3" s="1"/>
  <c r="M13" i="3" s="1"/>
  <c r="G13" i="3" s="1"/>
  <c r="R14" i="8"/>
  <c r="S14" i="8" s="1"/>
  <c r="Q12" i="6"/>
  <c r="Q15" i="6"/>
  <c r="D15" i="6"/>
  <c r="O12" i="6"/>
  <c r="E69" i="6"/>
  <c r="O15" i="6"/>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T14" i="8"/>
  <c r="D13" i="2"/>
  <c r="E70" i="2"/>
  <c r="Q14" i="2"/>
  <c r="K14" i="2" s="1"/>
  <c r="M13" i="4"/>
  <c r="G13" i="4" s="1"/>
  <c r="G14" i="16" s="1"/>
  <c r="M12" i="7"/>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3" i="6" l="1"/>
  <c r="R14" i="16" s="1"/>
  <c r="L14" i="3"/>
  <c r="P15" i="16" s="1"/>
  <c r="G13" i="8"/>
  <c r="K14" i="16" s="1"/>
  <c r="I15" i="13"/>
  <c r="E14" i="9"/>
  <c r="Q14" i="13"/>
  <c r="N30" i="3"/>
  <c r="L13" i="3"/>
  <c r="P14" i="16" s="1"/>
  <c r="R15" i="6"/>
  <c r="S15" i="6" s="1"/>
  <c r="U15" i="6" s="1"/>
  <c r="J15" i="6" s="1"/>
  <c r="M15" i="6" s="1"/>
  <c r="G15" i="6" s="1"/>
  <c r="T15" i="6"/>
  <c r="L13" i="8"/>
  <c r="T14" i="16" s="1"/>
  <c r="U14" i="8"/>
  <c r="J14" i="8" s="1"/>
  <c r="N30" i="8" s="1"/>
  <c r="R12" i="6"/>
  <c r="S12" i="6" s="1"/>
  <c r="U12" i="6" s="1"/>
  <c r="J12" i="6" s="1"/>
  <c r="M12" i="6" s="1"/>
  <c r="G12" i="6" s="1"/>
  <c r="K15" i="6"/>
  <c r="K12" i="6"/>
  <c r="T12" i="6"/>
  <c r="M13" i="9"/>
  <c r="U14" i="13"/>
  <c r="U12" i="13"/>
  <c r="M11" i="9"/>
  <c r="R12" i="8"/>
  <c r="S12" i="8" s="1"/>
  <c r="T13" i="2"/>
  <c r="U8" i="6"/>
  <c r="J8" i="6" s="1"/>
  <c r="M8" i="6" s="1"/>
  <c r="G8" i="6" s="1"/>
  <c r="M9" i="13" s="1"/>
  <c r="R13" i="2"/>
  <c r="S13" i="2" s="1"/>
  <c r="U13" i="2" s="1"/>
  <c r="J13" i="2" s="1"/>
  <c r="M13" i="2"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5" i="6" l="1"/>
  <c r="R16" i="16" s="1"/>
  <c r="V15" i="13"/>
  <c r="N14" i="9"/>
  <c r="Z14" i="13"/>
  <c r="I13" i="9"/>
  <c r="G13" i="2"/>
  <c r="E14" i="16" s="1"/>
  <c r="N13" i="9"/>
  <c r="U12" i="8"/>
  <c r="J12" i="8" s="1"/>
  <c r="L12" i="8" s="1"/>
  <c r="T13" i="16" s="1"/>
  <c r="V14" i="13"/>
  <c r="M14" i="8"/>
  <c r="G14" i="8" s="1"/>
  <c r="K15" i="16" s="1"/>
  <c r="L14" i="8"/>
  <c r="T15" i="16" s="1"/>
  <c r="R13" i="9"/>
  <c r="L12" i="6"/>
  <c r="R13" i="16" s="1"/>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4" i="9" l="1"/>
  <c r="E14" i="13"/>
  <c r="M12" i="8"/>
  <c r="G12" i="8" s="1"/>
  <c r="K13" i="16" s="1"/>
  <c r="C13" i="9"/>
  <c r="Z15" i="13"/>
  <c r="Q15" i="13"/>
  <c r="I14"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<sst xmlns="http://schemas.openxmlformats.org/spreadsheetml/2006/main" count="654" uniqueCount="141">
  <si>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</si>
  <si>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</si>
  <si>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</si>
  <si>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</si>
  <si>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</si>
  <si>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</si>
  <si>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</si>
  <si>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</si>
  <si>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</si>
  <si>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</si>
  <si>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</si>
  <si>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</si>
  <si>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</si>
  <si>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</si>
  <si>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</si>
  <si>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</si>
  <si>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</si>
  <si>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</si>
  <si>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</si>
  <si>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</si>
  <si>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</si>
  <si>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</si>
  <si>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</si>
  <si>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</si>
  <si>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</si>
  <si>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</si>
  <si>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</si>
  <si>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</si>
  <si>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</si>
  <si>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</si>
  <si>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</si>
  <si>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</si>
  <si>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</si>
  <si>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</si>
  <si>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</si>
  <si>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</si>
  <si>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</si>
  <si>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</si>
  <si>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</si>
  <si>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</si>
  <si>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</si>
  <si>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</si>
  <si>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</si>
  <si>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</si>
  <si>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</si>
  <si>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</si>
  <si>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</si>
  <si>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</si>
  <si>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</si>
  <si>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</si>
  <si>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</si>
  <si>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</si>
  <si>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</si>
  <si>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</si>
  <si>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</si>
  <si>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</si>
  <si>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</si>
  <si>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</si>
  <si>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</si>
  <si>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</si>
  <si>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</si>
  <si>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</si>
  <si>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</si>
  <si>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</si>
  <si>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</si>
  <si>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</si>
  <si>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</si>
  <si>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</si>
  <si>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</si>
  <si>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</si>
  <si>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</si>
  <si>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</si>
  <si>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</si>
  <si>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</si>
  <si>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</si>
  <si>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</si>
  <si>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</si>
  <si>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</si>
  <si>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</si>
  <si>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</si>
  <si>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</si>
  <si>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</si>
  <si>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</si>
  <si>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</si>
  <si>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</si>
  <si>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</si>
  <si>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</si>
  <si>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</si>
  <si>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</si>
  <si>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</si>
  <si>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</si>
  <si>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</si>
  <si>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</si>
  <si>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</si>
  <si>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</si>
  <si>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</si>
  <si>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</si>
  <si>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</si>
  <si>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</si>
  <si>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</si>
  <si>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</si>
  <si>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</si>
  <si>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</si>
  <si>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</si>
  <si>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</si>
  <si>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</si>
  <si>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</si>
  <si>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</si>
  <si>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</si>
  <si>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</si>
  <si>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</si>
  <si>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</si>
  <si>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</si>
  <si>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</si>
  <si>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</si>
  <si>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</si>
  <si>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</si>
  <si>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</si>
  <si>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</si>
  <si>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</si>
  <si>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</si>
  <si>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</si>
  <si>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</si>
  <si>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</si>
  <si>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</si>
  <si>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</si>
  <si>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</si>
  <si>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</si>
  <si>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</si>
  <si>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</si>
  <si>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</si>
  <si>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</si>
  <si>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</si>
  <si>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</si>
  <si>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</si>
  <si>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</si>
  <si>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</si>
  <si>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Tuscola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</si>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</sst>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Tuscola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N=37</c:v>
                </c:pt>
                <c:pt idx="3">
                  <c:v>Petitions, total N=44</c:v>
                </c:pt>
                <c:pt idx="4">
                  <c:v>Detentions, total N=5</c:v>
                </c:pt>
                <c:pt idx="5">
                  <c:v>Referrals, total N=81</c:v>
                </c:pt>
                <c:pt idx="6">
                  <c:v>Arrests, total N=36</c:v>
                </c:pt>
                <c:pt idx="7">
                  <c:v>Population, total N=4449</c:v>
                </c:pt>
              </c:strCache>
            </c:strRef>
          </c:cat>
          <c:val>
            <c:numRef>
              <c:f>'Stacked 100%'!$B$7:$B$14</c:f>
              <c:numCache>
                <c:formatCode>0%</c:formatCode>
                <c:ptCount val="8"/>
                <c:pt idx="0">
                  <c:v>0</c:v>
                </c:pt>
                <c:pt idx="1">
                  <c:v>0</c:v>
                </c:pt>
                <c:pt idx="2">
                  <c:v>0</c:v>
                </c:pt>
                <c:pt idx="3">
                  <c:v>0</c:v>
                </c:pt>
                <c:pt idx="4">
                  <c:v>0</c:v>
                </c:pt>
                <c:pt idx="5">
                  <c:v>0.18518518518518517</c:v>
                </c:pt>
                <c:pt idx="6">
                  <c:v>0.1388888888888889</c:v>
                </c:pt>
                <c:pt idx="7">
                  <c:v>3.3265902449988762E-2</c:v>
                </c:pt>
              </c:numCache>
            </c:numRef>
          </c:val>
          <c:extLst>
            <c:ext xmlns:c16="http://schemas.microsoft.com/office/drawing/2014/chart" uri="{C3380CC4-5D6E-409C-BE32-E72D297353CC}">
              <c16:uniqueId val="{00000000-67DF-406A-8E1E-7D615C6B6B1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N=37</c:v>
                </c:pt>
                <c:pt idx="3">
                  <c:v>Petitions, total N=44</c:v>
                </c:pt>
                <c:pt idx="4">
                  <c:v>Detentions, total N=5</c:v>
                </c:pt>
                <c:pt idx="5">
                  <c:v>Referrals, total N=81</c:v>
                </c:pt>
                <c:pt idx="6">
                  <c:v>Arrests, total N=36</c:v>
                </c:pt>
                <c:pt idx="7">
                  <c:v>Population, total N=4449</c:v>
                </c:pt>
              </c:strCache>
            </c:strRef>
          </c:cat>
          <c:val>
            <c:numRef>
              <c:f>'Stacked 100%'!$C$7:$C$14</c:f>
              <c:numCache>
                <c:formatCode>0%</c:formatCode>
                <c:ptCount val="8"/>
                <c:pt idx="0">
                  <c:v>0</c:v>
                </c:pt>
                <c:pt idx="1">
                  <c:v>0</c:v>
                </c:pt>
                <c:pt idx="2">
                  <c:v>0</c:v>
                </c:pt>
                <c:pt idx="3">
                  <c:v>0</c:v>
                </c:pt>
                <c:pt idx="4">
                  <c:v>0</c:v>
                </c:pt>
                <c:pt idx="5">
                  <c:v>0</c:v>
                </c:pt>
                <c:pt idx="6">
                  <c:v>0</c:v>
                </c:pt>
                <c:pt idx="7">
                  <c:v>5.9114407732074624E-2</c:v>
                </c:pt>
              </c:numCache>
            </c:numRef>
          </c:val>
          <c:extLst>
            <c:ext xmlns:c16="http://schemas.microsoft.com/office/drawing/2014/chart" uri="{C3380CC4-5D6E-409C-BE32-E72D297353CC}">
              <c16:uniqueId val="{00000001-67DF-406A-8E1E-7D615C6B6B1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N=11</c:v>
                </c:pt>
                <c:pt idx="2">
                  <c:v>Delinquent Findings, total N=37</c:v>
                </c:pt>
                <c:pt idx="3">
                  <c:v>Petitions, total N=44</c:v>
                </c:pt>
                <c:pt idx="4">
                  <c:v>Detentions, total N=5</c:v>
                </c:pt>
                <c:pt idx="5">
                  <c:v>Referrals, total N=81</c:v>
                </c:pt>
                <c:pt idx="6">
                  <c:v>Arrests, total N=36</c:v>
                </c:pt>
                <c:pt idx="7">
                  <c:v>Population, total N=4449</c:v>
                </c:pt>
              </c:strCache>
            </c:strRef>
          </c:cat>
          <c:val>
            <c:numRef>
              <c:f>'Stacked 100%'!$H$7:$H$14</c:f>
              <c:numCache>
                <c:formatCode>0%</c:formatCode>
                <c:ptCount val="8"/>
                <c:pt idx="0">
                  <c:v>0</c:v>
                </c:pt>
                <c:pt idx="1">
                  <c:v>0</c:v>
                </c:pt>
                <c:pt idx="2">
                  <c:v>0</c:v>
                </c:pt>
                <c:pt idx="3">
                  <c:v>0</c:v>
                </c:pt>
                <c:pt idx="4">
                  <c:v>0</c:v>
                </c:pt>
                <c:pt idx="5">
                  <c:v>0</c:v>
                </c:pt>
                <c:pt idx="6">
                  <c:v>0</c:v>
                </c:pt>
                <c:pt idx="7">
                  <c:v>2.930239929561074E-6</c:v>
                </c:pt>
              </c:numCache>
            </c:numRef>
          </c:val>
          <c:extLst>
            <c:ext xmlns:c16="http://schemas.microsoft.com/office/drawing/2014/chart" uri="{C3380CC4-5D6E-409C-BE32-E72D297353CC}">
              <c16:uniqueId val="{00000002-67DF-406A-8E1E-7D615C6B6B1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N=37</c:v>
                </c:pt>
                <c:pt idx="3">
                  <c:v>Petitions, total N=44</c:v>
                </c:pt>
                <c:pt idx="4">
                  <c:v>Detentions, total N=5</c:v>
                </c:pt>
                <c:pt idx="5">
                  <c:v>Referrals, total N=81</c:v>
                </c:pt>
                <c:pt idx="6">
                  <c:v>Arrests, total N=36</c:v>
                </c:pt>
                <c:pt idx="7">
                  <c:v>Population, total N=4449</c:v>
                </c:pt>
              </c:strCache>
            </c:strRef>
          </c:cat>
          <c:val>
            <c:numRef>
              <c:f>'Stacked 100%'!$I$7:$I$14</c:f>
              <c:numCache>
                <c:formatCode>0%</c:formatCode>
                <c:ptCount val="8"/>
                <c:pt idx="0">
                  <c:v>0</c:v>
                </c:pt>
                <c:pt idx="1">
                  <c:v>0.90909090909090906</c:v>
                </c:pt>
                <c:pt idx="2">
                  <c:v>0.94594594594594594</c:v>
                </c:pt>
                <c:pt idx="3">
                  <c:v>0.93181818181818177</c:v>
                </c:pt>
                <c:pt idx="4">
                  <c:v>1</c:v>
                </c:pt>
                <c:pt idx="5">
                  <c:v>0.7407407407407407</c:v>
                </c:pt>
                <c:pt idx="6">
                  <c:v>0.86111111111111116</c:v>
                </c:pt>
                <c:pt idx="7">
                  <c:v>0.89458305237131941</c:v>
                </c:pt>
              </c:numCache>
            </c:numRef>
          </c:val>
          <c:extLst>
            <c:ext xmlns:c16="http://schemas.microsoft.com/office/drawing/2014/chart" uri="{C3380CC4-5D6E-409C-BE32-E72D297353CC}">
              <c16:uniqueId val="{00000003-67DF-406A-8E1E-7D615C6B6B19}"/>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N=11</c:v>
                </c:pt>
                <c:pt idx="2">
                  <c:v>Delinquent Findings, total N=37</c:v>
                </c:pt>
                <c:pt idx="3">
                  <c:v>Petitions, total N=44</c:v>
                </c:pt>
                <c:pt idx="4">
                  <c:v>Detentions, total N=5</c:v>
                </c:pt>
                <c:pt idx="5">
                  <c:v>Referrals, total N=81</c:v>
                </c:pt>
                <c:pt idx="6">
                  <c:v>Arrests, total N=36</c:v>
                </c:pt>
                <c:pt idx="7">
                  <c:v>Population, total N=4449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7DF-406A-8E1E-7D615C6B6B19}"/>
            </c:ext>
          </c:extLst>
        </c:ser>
        <c:dLbls>
          <c:showLegendKey val="0"/>
          <c:showVal val="0"/>
          <c:showCatName val="0"/>
          <c:showSerName val="0"/>
          <c:showPercent val="0"/>
          <c:showBubbleSize val="0"/>
        </c:dLbls>
        <c:gapWidth val="150"/>
        <c:overlap val="100"/>
        <c:axId val="107926272"/>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07926272"/>
        <c:crosses val="max"/>
        <c:crossBetween val="between"/>
      </c:valAx>
      <c:catAx>
        <c:axId val="107926272"/>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4449</v>
      </c>
      <c r="C6" s="11">
        <v>3980</v>
      </c>
      <c r="D6" s="11">
        <v>148</v>
      </c>
      <c r="E6" s="11">
        <v>263</v>
      </c>
      <c r="F6" s="11">
        <v>24</v>
      </c>
      <c r="G6" s="11"/>
      <c r="H6" s="11">
        <v>34</v>
      </c>
      <c r="I6" s="11"/>
      <c r="J6" s="91">
        <f>SUM(D6:I6)</f>
        <v>469</v>
      </c>
      <c r="K6" s="92"/>
    </row>
    <row r="7" spans="1:11" ht="15.75" customHeight="1" thickBot="1" x14ac:dyDescent="0.25">
      <c r="A7" s="10" t="s">
        <v>8</v>
      </c>
      <c r="B7" s="11">
        <f t="shared" ref="B7:B15" si="0">SUM(C7:I7)+K7</f>
        <v>36</v>
      </c>
      <c r="C7" s="11">
        <v>31</v>
      </c>
      <c r="D7" s="11">
        <v>5</v>
      </c>
      <c r="E7" s="11"/>
      <c r="F7" s="11"/>
      <c r="G7" s="11"/>
      <c r="H7" s="11"/>
      <c r="I7" s="11"/>
      <c r="J7" s="91">
        <f t="shared" ref="J7:J15" si="1">SUM(D7:I7)</f>
        <v>5</v>
      </c>
      <c r="K7" s="92"/>
    </row>
    <row r="8" spans="1:11" ht="15.75" customHeight="1" thickBot="1" x14ac:dyDescent="0.25">
      <c r="A8" s="10" t="s">
        <v>9</v>
      </c>
      <c r="B8" s="11">
        <f t="shared" si="0"/>
        <v>81</v>
      </c>
      <c r="C8" s="11">
        <v>60</v>
      </c>
      <c r="D8" s="11">
        <v>15</v>
      </c>
      <c r="E8" s="11"/>
      <c r="F8" s="11"/>
      <c r="G8" s="11"/>
      <c r="H8" s="11"/>
      <c r="I8" s="11"/>
      <c r="J8" s="91">
        <f t="shared" si="1"/>
        <v>15</v>
      </c>
      <c r="K8" s="11">
        <v>6</v>
      </c>
    </row>
    <row r="9" spans="1:11" ht="15.75" customHeight="1" thickBot="1" x14ac:dyDescent="0.25">
      <c r="A9" s="10" t="s">
        <v>10</v>
      </c>
      <c r="B9" s="11">
        <f t="shared" si="0"/>
        <v>1</v>
      </c>
      <c r="C9" s="11">
        <v>1</v>
      </c>
      <c r="D9" s="11"/>
      <c r="E9" s="11"/>
      <c r="F9" s="11"/>
      <c r="G9" s="11"/>
      <c r="H9" s="11"/>
      <c r="I9" s="11"/>
      <c r="J9" s="91">
        <f t="shared" si="1"/>
        <v>0</v>
      </c>
      <c r="K9" s="11"/>
    </row>
    <row r="10" spans="1:11" ht="15.75" customHeight="1" thickBot="1" x14ac:dyDescent="0.25">
      <c r="A10" s="10" t="s">
        <v>11</v>
      </c>
      <c r="B10" s="11">
        <f t="shared" si="0"/>
        <v>5</v>
      </c>
      <c r="C10" s="11">
        <v>5</v>
      </c>
      <c r="D10" s="11"/>
      <c r="E10" s="11"/>
      <c r="F10" s="11"/>
      <c r="G10" s="11"/>
      <c r="H10" s="11"/>
      <c r="I10" s="11"/>
      <c r="J10" s="91">
        <f t="shared" si="1"/>
        <v>0</v>
      </c>
      <c r="K10" s="11"/>
    </row>
    <row r="11" spans="1:11" ht="15.75" customHeight="1" thickBot="1" x14ac:dyDescent="0.25">
      <c r="A11" s="10" t="s">
        <v>12</v>
      </c>
      <c r="B11" s="11">
        <f t="shared" si="0"/>
        <v>44</v>
      </c>
      <c r="C11" s="11">
        <v>41</v>
      </c>
      <c r="D11" s="11"/>
      <c r="E11" s="11"/>
      <c r="F11" s="11"/>
      <c r="G11" s="11"/>
      <c r="H11" s="11"/>
      <c r="I11" s="11"/>
      <c r="J11" s="91">
        <f>SUM(D11:I11)</f>
        <v>0</v>
      </c>
      <c r="K11" s="11">
        <v>3</v>
      </c>
    </row>
    <row r="12" spans="1:11" ht="15.75" customHeight="1" thickBot="1" x14ac:dyDescent="0.25">
      <c r="A12" s="10" t="s">
        <v>13</v>
      </c>
      <c r="B12" s="11">
        <f t="shared" si="0"/>
        <v>37</v>
      </c>
      <c r="C12" s="11">
        <v>35</v>
      </c>
      <c r="D12" s="11"/>
      <c r="E12" s="11"/>
      <c r="F12" s="11"/>
      <c r="G12" s="11"/>
      <c r="H12" s="11"/>
      <c r="I12" s="11"/>
      <c r="J12" s="91">
        <f t="shared" si="1"/>
        <v>0</v>
      </c>
      <c r="K12" s="11">
        <v>2</v>
      </c>
    </row>
    <row r="13" spans="1:11" ht="15.75" customHeight="1" thickBot="1" x14ac:dyDescent="0.25">
      <c r="A13" s="10" t="s">
        <v>133</v>
      </c>
      <c r="B13" s="11">
        <f t="shared" si="0"/>
        <v>75</v>
      </c>
      <c r="C13" s="11">
        <v>58</v>
      </c>
      <c r="D13" s="11">
        <v>15</v>
      </c>
      <c r="E13" s="11"/>
      <c r="F13" s="11"/>
      <c r="G13" s="11"/>
      <c r="H13" s="11"/>
      <c r="I13" s="11"/>
      <c r="J13" s="91">
        <f t="shared" si="1"/>
        <v>15</v>
      </c>
      <c r="K13" s="11">
        <v>2</v>
      </c>
    </row>
    <row r="14" spans="1:11" ht="26.25" customHeight="1" thickBot="1" x14ac:dyDescent="0.25">
      <c r="A14" s="10" t="s">
        <v>123</v>
      </c>
      <c r="B14" s="11">
        <f t="shared" si="0"/>
        <v>11</v>
      </c>
      <c r="C14" s="11">
        <v>10</v>
      </c>
      <c r="D14" s="11"/>
      <c r="E14" s="11"/>
      <c r="F14" s="11"/>
      <c r="G14" s="11"/>
      <c r="H14" s="11"/>
      <c r="I14" s="11"/>
      <c r="J14" s="91">
        <f t="shared" si="1"/>
        <v>0</v>
      </c>
      <c r="K14" s="11">
        <v>1</v>
      </c>
    </row>
    <row r="15" spans="1:11" ht="15.75" customHeight="1" thickBot="1" x14ac:dyDescent="0.25">
      <c r="A15" s="10" t="s">
        <v>16</v>
      </c>
      <c r="B15" s="11">
        <f t="shared" si="0"/>
        <v>0</v>
      </c>
      <c r="C15" s="11"/>
      <c r="D15" s="11"/>
      <c r="E15" s="11"/>
      <c r="F15" s="11"/>
      <c r="G15" s="11"/>
      <c r="H15" s="11"/>
      <c r="I15" s="11"/>
      <c r="J15" s="91">
        <f t="shared" si="1"/>
        <v>0</v>
      </c>
      <c r="K15" s="11"/>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Tuscola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31</v>
      </c>
      <c r="Q7" s="42">
        <f>C6-C7</f>
        <v>3949</v>
      </c>
      <c r="R7" s="42">
        <f t="shared" ref="R7:R15" si="5">SUM(N7:Q7)</f>
        <v>3980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60</v>
      </c>
      <c r="D8" s="34">
        <f>IF((AND(C67&gt;0,C8&gt;0)),(C8/C67),0)</f>
        <v>193.54838709677421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-29</v>
      </c>
      <c r="R8" s="42">
        <f t="shared" si="5"/>
        <v>31.049999999999997</v>
      </c>
      <c r="S8" s="30">
        <f t="shared" si="6"/>
        <v>279.45</v>
      </c>
      <c r="T8" s="30">
        <f t="shared" si="7"/>
        <v>-2692.35</v>
      </c>
      <c r="U8" s="31">
        <f t="shared" si="8"/>
        <v>-0.10379408323583486</v>
      </c>
    </row>
    <row r="9" spans="2:21" ht="18" customHeight="1" x14ac:dyDescent="0.25">
      <c r="B9" s="32" t="str">
        <f>'Data Entry'!A9</f>
        <v xml:space="preserve">4. Cases Diverted </v>
      </c>
      <c r="C9" s="33">
        <f>'Data Entry'!C9</f>
        <v>1</v>
      </c>
      <c r="D9" s="34">
        <f>IF((AND(C68&gt;0,C9&gt;0)),((C9/C68)),0)</f>
        <v>1.6666666666666667</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59</v>
      </c>
      <c r="R9" s="42">
        <f t="shared" si="5"/>
        <v>60</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8.3333333333333339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55</v>
      </c>
      <c r="R10" s="42">
        <f t="shared" si="5"/>
        <v>60</v>
      </c>
      <c r="S10" s="30">
        <f t="shared" si="6"/>
        <v>0</v>
      </c>
      <c r="T10" s="30">
        <f t="shared" si="7"/>
        <v>0</v>
      </c>
      <c r="U10" s="31" t="str">
        <f t="shared" si="8"/>
        <v>- -</v>
      </c>
    </row>
    <row r="11" spans="2:21" ht="18" customHeight="1" x14ac:dyDescent="0.25">
      <c r="B11" s="32" t="str">
        <f>'Data Entry'!A11</f>
        <v>6. Cases Petitioned (Charge Filed)</v>
      </c>
      <c r="C11" s="33">
        <f>'Data Entry'!C11</f>
        <v>41</v>
      </c>
      <c r="D11" s="34">
        <f>IF(((AND(C68&gt;0,C11&gt;0))),(C11/(C68)),0)</f>
        <v>68.333333333333343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41</v>
      </c>
      <c r="Q11" s="42">
        <f>(C$68*L68)-C11</f>
        <v>19</v>
      </c>
      <c r="R11" s="42">
        <f t="shared" si="5"/>
        <v>60</v>
      </c>
      <c r="S11" s="30">
        <f t="shared" si="6"/>
        <v>0</v>
      </c>
      <c r="T11" s="30">
        <f t="shared" si="7"/>
        <v>0</v>
      </c>
      <c r="U11" s="31" t="str">
        <f t="shared" si="8"/>
        <v>- -</v>
      </c>
    </row>
    <row r="12" spans="2:21" ht="18" customHeight="1" x14ac:dyDescent="0.25">
      <c r="B12" s="32" t="str">
        <f>'Data Entry'!A12</f>
        <v>7. Cases Resulting in Delinquent Findings</v>
      </c>
      <c r="C12" s="33">
        <f>'Data Entry'!C12</f>
        <v>35</v>
      </c>
      <c r="D12" s="34">
        <f>IF(((AND(C69&gt;0,C12&gt;0))),(C12/(C69)),0)</f>
        <v>85.365853658536594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6</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58</v>
      </c>
      <c r="D13" s="34">
        <f>IF(((AND(C70&gt;0,C13&gt;0))),(C13/(C70)),0)</f>
        <v>165.71428571428572</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-23</v>
      </c>
      <c r="R13" s="42">
        <f t="shared" si="5"/>
        <v>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25</v>
      </c>
      <c r="R14" s="42">
        <f t="shared" si="5"/>
        <v>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41</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0</v>
      </c>
      <c r="E42" s="56">
        <f>MAX(C42:D42)</f>
        <v>3.98</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0.6</v>
      </c>
      <c r="D44" s="56">
        <f>E8/100</f>
        <v>0</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0</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0</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0</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0</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Tuscola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Entry'!J6</f>
        <v>469</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Entry'!J7</f>
        <v>5</v>
      </c>
      <c r="F7" s="34">
        <f>IF((AND($E$7&gt;0,$D$66&gt;0)),($E$7/$D$66),0)</f>
        <v>10.660980810234543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464</v>
      </c>
      <c r="P7" s="42">
        <f t="shared" ref="P7:P15" si="4">C7</f>
        <v>31</v>
      </c>
      <c r="Q7" s="42">
        <f>C6-C7</f>
        <v>3949</v>
      </c>
      <c r="R7" s="42">
        <f t="shared" ref="R7:R15" si="5">SUM(N7:Q7)</f>
        <v>4449</v>
      </c>
      <c r="S7" s="30">
        <f t="shared" ref="S7:S15" si="6">R7*((((N7*Q7)-(O7*P7))^2))</f>
        <v>127865688129</v>
      </c>
      <c r="T7" s="30">
        <f t="shared" ref="T7:T15" si="7">(N7+O7)*(P7+Q7)*(N7+P7)*(O7+Q7)</f>
        <v>296546186160</v>
      </c>
      <c r="U7" s="31">
        <f t="shared" ref="U7:U15" si="8">IF((S7&gt;0),S7/T7,"- -")</f>
        <v>0.43118304701450694</v>
      </c>
    </row>
    <row r="8" spans="2:21" ht="18" customHeight="1" x14ac:dyDescent="0.25">
      <c r="B8" s="32" t="str">
        <f>'Data Entry'!A8</f>
        <v>3. Refer to Juvenile Court</v>
      </c>
      <c r="C8" s="33">
        <f>'Data Entry'!C8</f>
        <v>60</v>
      </c>
      <c r="D8" s="34">
        <f>IF((AND(C67&gt;0,C8&gt;0)),(C8/C67),0)</f>
        <v>193.54838709677421</v>
      </c>
      <c r="E8" s="33">
        <f>'Data Entry'!J8</f>
        <v>15</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15</v>
      </c>
      <c r="O8" s="42">
        <f>((D67*L67)-E8)+0.05</f>
        <v>-9.9499999999999993</v>
      </c>
      <c r="P8" s="42">
        <f t="shared" si="4"/>
        <v>60</v>
      </c>
      <c r="Q8" s="42">
        <f>(C$67*L67)-C8</f>
        <v>-29</v>
      </c>
      <c r="R8" s="42">
        <f t="shared" si="5"/>
        <v>36.049999999999997</v>
      </c>
      <c r="S8" s="30">
        <f t="shared" si="6"/>
        <v>946096.2</v>
      </c>
      <c r="T8" s="30">
        <f t="shared" si="7"/>
        <v>-457321.68750000006</v>
      </c>
      <c r="U8" s="31">
        <f t="shared" si="8"/>
        <v>-2.0687761500486457</v>
      </c>
    </row>
    <row r="9" spans="2:21" ht="18" customHeight="1" x14ac:dyDescent="0.25">
      <c r="B9" s="32" t="str">
        <f>'Data Entry'!A9</f>
        <v xml:space="preserve">4. Cases Diverted </v>
      </c>
      <c r="C9" s="33">
        <f>'Data Entry'!C9</f>
        <v>1</v>
      </c>
      <c r="D9" s="34">
        <f>IF((AND(C68&gt;0,C9&gt;0)),((C9/C68)),0)</f>
        <v>1.6666666666666667</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15</v>
      </c>
      <c r="P9" s="42">
        <f t="shared" si="4"/>
        <v>1</v>
      </c>
      <c r="Q9" s="42">
        <f>(C$68*L68)-C9</f>
        <v>59</v>
      </c>
      <c r="R9" s="42">
        <f t="shared" si="5"/>
        <v>75</v>
      </c>
      <c r="S9" s="30">
        <f t="shared" si="6"/>
        <v>16875</v>
      </c>
      <c r="T9" s="30">
        <f t="shared" si="7"/>
        <v>66600</v>
      </c>
      <c r="U9" s="31">
        <f t="shared" si="8"/>
        <v>0.2533783783783784</v>
      </c>
    </row>
    <row r="10" spans="2:21" ht="18" customHeight="1" x14ac:dyDescent="0.25">
      <c r="B10" s="32" t="str">
        <f>'Data Entry'!A10</f>
        <v>5. Cases Involving Secure Detention</v>
      </c>
      <c r="C10" s="33">
        <f>'Data Entry'!C10</f>
        <v>5</v>
      </c>
      <c r="D10" s="34">
        <f>IF(((AND(C68&gt;0,C10&gt;0))),(C10/(C68)),0)</f>
        <v>8.3333333333333339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15</v>
      </c>
      <c r="P10" s="42">
        <f t="shared" si="4"/>
        <v>5</v>
      </c>
      <c r="Q10" s="42">
        <f>(C$68*L68)-C10</f>
        <v>55</v>
      </c>
      <c r="R10" s="42">
        <f t="shared" si="5"/>
        <v>75</v>
      </c>
      <c r="S10" s="30">
        <f t="shared" si="6"/>
        <v>421875</v>
      </c>
      <c r="T10" s="30">
        <f t="shared" si="7"/>
        <v>315000</v>
      </c>
      <c r="U10" s="31">
        <f t="shared" si="8"/>
        <v>1.3392857142857142</v>
      </c>
    </row>
    <row r="11" spans="2:21" ht="18" customHeight="1" x14ac:dyDescent="0.25">
      <c r="B11" s="32" t="str">
        <f>'Data Entry'!A11</f>
        <v>6. Cases Petitioned (Charge Filed)</v>
      </c>
      <c r="C11" s="33">
        <f>'Data Entry'!C11</f>
        <v>41</v>
      </c>
      <c r="D11" s="34">
        <f>IF(((AND(C68&gt;0,C11&gt;0))),(C11/(C68)),0)</f>
        <v>68.333333333333343</v>
      </c>
      <c r="E11" s="33">
        <f>'Data Entry'!J11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0</v>
      </c>
      <c r="O11" s="42">
        <f>(D$68*L68)-E11</f>
        <v>15</v>
      </c>
      <c r="P11" s="42">
        <f t="shared" si="4"/>
        <v>41</v>
      </c>
      <c r="Q11" s="42">
        <f>(C$68*L68)-C11</f>
        <v>19</v>
      </c>
      <c r="R11" s="42">
        <f t="shared" si="5"/>
        <v>75</v>
      </c>
      <c r="S11" s="30">
        <f t="shared" si="6"/>
        <v>28366875</v>
      </c>
      <c r="T11" s="30">
        <f t="shared" si="7"/>
        <v>1254600</v>
      </c>
      <c r="U11" s="31">
        <f t="shared" si="8"/>
        <v>22.610294117647058</v>
      </c>
    </row>
    <row r="12" spans="2:21" ht="18" customHeight="1" x14ac:dyDescent="0.25">
      <c r="B12" s="32" t="str">
        <f>'Data Entry'!A12</f>
        <v>7. Cases Resulting in Delinquent Findings</v>
      </c>
      <c r="C12" s="33">
        <f>'Data Entry'!C12</f>
        <v>35</v>
      </c>
      <c r="D12" s="34">
        <f>IF(((AND(C69&gt;0,C12&gt;0))),(C12/(C69)),0)</f>
        <v>85.365853658536594</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6</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58</v>
      </c>
      <c r="D13" s="34">
        <f>IF(((AND(C70&gt;0,C13&gt;0))),(C13/(C70)),0)</f>
        <v>165.71428571428572</v>
      </c>
      <c r="E13" s="33">
        <f>'Data Entry'!J13</f>
        <v>15</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15</v>
      </c>
      <c r="O13" s="42">
        <f>(D70*L70)-E13</f>
        <v>-15</v>
      </c>
      <c r="P13" s="42">
        <f t="shared" si="4"/>
        <v>58</v>
      </c>
      <c r="Q13" s="42">
        <f>(C70*L70)-C13</f>
        <v>-23</v>
      </c>
      <c r="R13" s="42">
        <f t="shared" si="5"/>
        <v>35</v>
      </c>
      <c r="S13" s="30">
        <f t="shared" si="6"/>
        <v>9646875</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25</v>
      </c>
      <c r="R14" s="42">
        <f t="shared" si="5"/>
        <v>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41</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0.46899999999999997</v>
      </c>
      <c r="E42" s="56">
        <f>MAX(C42:D42)</f>
        <v>3.98</v>
      </c>
      <c r="G42" s="1" t="str">
        <f>B42</f>
        <v>per 1000 youth</v>
      </c>
      <c r="L42" s="57">
        <v>1000</v>
      </c>
      <c r="M42" s="57"/>
      <c r="R42" s="49"/>
    </row>
    <row r="43" spans="2:18" ht="15" hidden="1" customHeight="1" x14ac:dyDescent="0.25">
      <c r="B43" s="49" t="s">
        <v>87</v>
      </c>
      <c r="C43" s="56">
        <f>C7/100</f>
        <v>0.31</v>
      </c>
      <c r="D43" s="56">
        <f>E7/100</f>
        <v>0.05</v>
      </c>
      <c r="E43" s="56">
        <f>MAX(C43:D43,0)</f>
        <v>0.31</v>
      </c>
      <c r="G43" s="1" t="str">
        <f>B43</f>
        <v>per 100 arrests</v>
      </c>
      <c r="L43" s="57">
        <v>100</v>
      </c>
      <c r="M43" s="57"/>
      <c r="R43" s="49"/>
    </row>
    <row r="44" spans="2:18" ht="15" hidden="1" customHeight="1" x14ac:dyDescent="0.25">
      <c r="B44" s="49" t="s">
        <v>88</v>
      </c>
      <c r="C44" s="56">
        <f>C8/100</f>
        <v>0.6</v>
      </c>
      <c r="D44" s="56">
        <f>E8/100</f>
        <v>0.15</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0.46899999999999997</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0.05</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0.15</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0.46899999999999997</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0.05</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0.15</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0.46899999999999997</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0.05</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0.15</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0.46899999999999997</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0.05</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0.15</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Tuscola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20</v>
      </c>
      <c r="M11" s="1" t="e">
        <f>Hispanic!L11</f>
        <v>#VALUE!</v>
      </c>
      <c r="N11" s="1" t="e">
        <f>Asian!L11</f>
        <v>#VALUE!</v>
      </c>
      <c r="O11" s="1" t="e">
        <f>Hawaiian!L11</f>
        <v>#VALUE!</v>
      </c>
      <c r="P11" s="1" t="e">
        <f>'Am Indian'!L11</f>
        <v>#VALUE!</v>
      </c>
      <c r="Q11" s="1" t="e">
        <f>'Other - Mixed'!L11</f>
        <v>#VALUE!</v>
      </c>
      <c r="R11" s="1">
        <f>'All Minorities'!L11</f>
        <v>20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t="e">
        <f>Hispanic!L13</f>
        <v>#VALUE!</v>
      </c>
      <c r="N13" s="1" t="e">
        <f>Asian!L13</f>
        <v>#VALUE!</v>
      </c>
      <c r="O13" s="1" t="e">
        <f>Hawaiian!L13</f>
        <v>#VALUE!</v>
      </c>
      <c r="P13" s="1" t="e">
        <f>'Am Indian'!L13</f>
        <v>#VALUE!</v>
      </c>
      <c r="Q13" s="1" t="e">
        <f>'Other - Mixed'!L13</f>
        <v>#VALUE!</v>
      </c>
      <c r="R13" s="1" t="e">
        <f>'All Minorities'!L13</f>
        <v>#DIV/0!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4449</v>
      </c>
      <c r="D3" s="57">
        <f>'Data Entry'!C6</f>
        <v>3980</v>
      </c>
      <c r="E3" s="57">
        <f>'Data Entry'!D6</f>
        <v>148</v>
      </c>
      <c r="F3" s="57">
        <f>'Data Entry'!E6</f>
        <v>263</v>
      </c>
      <c r="G3" s="57">
        <f>'Data Entry'!F6</f>
        <v>24</v>
      </c>
      <c r="H3" s="57">
        <f>'Data Entry'!G6</f>
        <v>0</v>
      </c>
      <c r="I3" s="57">
        <f>'Data Entry'!H6</f>
        <v>34</v>
      </c>
      <c r="J3" s="57">
        <f>'Data Entry'!I6</f>
        <v>0</v>
      </c>
      <c r="K3" s="57">
        <f>'Data Entry'!J6</f>
        <v>469</v>
      </c>
    </row>
    <row r="4" spans="2:11" ht="15" customHeight="1" x14ac:dyDescent="0.25">
      <c r="B4" s="16" t="s">
        <v>8</v>
      </c>
      <c r="C4" s="1">
        <f>IF((C$3&gt;0),(1000*('Data Entry'!B7/'Data Entry'!B$6)), 0)</f>
        <v>8.0917060013486175</v>
      </c>
      <c r="D4" s="1">
        <f>IF((D$3&gt;0),(1000*('Data Entry'!C7/'Data Entry'!C$6)), 0)</f>
        <v>7.7889447236180906</v>
      </c>
      <c r="E4" s="1">
        <f>IF((E$3&gt;0),(1000*('Data Entry'!D7/'Data Entry'!D$6)), 0)</f>
        <v>33.783783783783782</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10.660980810234541</v>
      </c>
    </row>
    <row r="5" spans="2:11" ht="15" customHeight="1" x14ac:dyDescent="0.25">
      <c r="B5" s="16" t="s">
        <v>9</v>
      </c>
      <c r="C5" s="1">
        <f>IF((C$3&gt;0),(1000*('Data Entry'!B8/'Data Entry'!B$6)), 0)</f>
        <v>18.206338503034392</v>
      </c>
      <c r="D5" s="1">
        <f>IF((D$3&gt;0),(1000*('Data Entry'!C8/'Data Entry'!C$6)), 0)</f>
        <v>15.075376884422109</v>
      </c>
      <c r="E5" s="1">
        <f>IF((E$3&gt;0),(1000*('Data Entry'!D8/'Data Entry'!D$6)), 0)</f>
        <v>101.35135135135135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31.982942430703627</v>
      </c>
    </row>
    <row r="6" spans="2:11" ht="15" customHeight="1" x14ac:dyDescent="0.25">
      <c r="B6" s="16" t="s">
        <v>10</v>
      </c>
      <c r="C6" s="1">
        <f>IF((C$3&gt;0),(1000*('Data Entry'!B9/'Data Entry'!B$6)), 0)</f>
        <v>0.22476961114857272</v>
      </c>
      <c r="D6" s="1">
        <f>IF((D$3&gt;0),(1000*('Data Entry'!C9/'Data Entry'!C$6)), 0)</f>
        <v>0.25125628140703521</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1.1238480557428636</v>
      </c>
      <c r="D7" s="1">
        <f>IF((D$3&gt;0),(1000*('Data Entry'!C10/'Data Entry'!C$6)), 0)</f>
        <v>1.256281407035176</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9.8898628905371986</v>
      </c>
      <c r="D8" s="1">
        <f>IF((D$3&gt;0),(1000*('Data Entry'!C11/'Data Entry'!C$6)), 0)</f>
        <v>10.301507537688442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8.3164756124971912</v>
      </c>
      <c r="D9" s="1">
        <f>IF((D$3&gt;0),(1000*('Data Entry'!C12/'Data Entry'!C$6)), 0)</f>
        <v>8.7939698492462313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16.857720836142953</v>
      </c>
      <c r="D10" s="1">
        <f>IF((D$3&gt;0),(1000*('Data Entry'!C13/'Data Entry'!C$6)), 0)</f>
        <v>14.572864321608041</v>
      </c>
      <c r="E10" s="1">
        <f>IF((E$3&gt;0),(1000*('Data Entry'!D13/'Data Entry'!D$6)), 0)</f>
        <v>101.35135135135135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31.982942430703627</v>
      </c>
    </row>
    <row r="11" spans="2:11" ht="25.5" customHeight="1" x14ac:dyDescent="0.25">
      <c r="B11" s="16" t="s">
        <v>15</v>
      </c>
      <c r="C11" s="1">
        <f>IF((C$3&gt;0),(1000*('Data Entry'!B14/'Data Entry'!B$6)), 0)</f>
        <v>2.4724657226342996</v>
      </c>
      <c r="D11" s="1">
        <f>IF((D$3&gt;0),(1000*('Data Entry'!C14/'Data Entry'!C$6)), 0)</f>
        <v>2.512562814070352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Tuscola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4.3374019180470791</v>
      </c>
      <c r="E19" s="72" t="str">
        <f t="shared" si="1"/>
        <v>--</v>
      </c>
      <c r="F19" s="72" t="str">
        <f t="shared" si="1"/>
        <v>--</v>
      </c>
      <c r="G19" s="72" t="str">
        <f t="shared" si="1"/>
        <v>--</v>
      </c>
      <c r="H19" s="72" t="str">
        <f t="shared" si="1"/>
        <v>--</v>
      </c>
      <c r="I19" s="72" t="str">
        <f t="shared" si="1"/>
        <v>--</v>
      </c>
      <c r="J19" s="73">
        <f t="shared" si="1"/>
        <v>1.3687323749914024</v>
      </c>
    </row>
    <row r="20" spans="2:10" ht="15" customHeight="1" x14ac:dyDescent="0.25">
      <c r="B20" s="71" t="s">
        <v>9</v>
      </c>
      <c r="C20" s="72">
        <f t="shared" ref="C20:J27" si="2">IF(AND(($D5&gt;0),(D5&gt;0)), (D5/$D5),"--")</f>
        <v>1</v>
      </c>
      <c r="D20" s="72">
        <f t="shared" si="2"/>
        <v>6.7229729729729737</v>
      </c>
      <c r="E20" s="72" t="str">
        <f t="shared" si="2"/>
        <v>--</v>
      </c>
      <c r="F20" s="72" t="str">
        <f t="shared" si="2"/>
        <v>--</v>
      </c>
      <c r="G20" s="72" t="str">
        <f t="shared" si="2"/>
        <v>--</v>
      </c>
      <c r="H20" s="72" t="str">
        <f t="shared" si="2"/>
        <v>--</v>
      </c>
      <c r="I20" s="72" t="str">
        <f t="shared" si="2"/>
        <v>--</v>
      </c>
      <c r="J20" s="73">
        <f t="shared" si="2"/>
        <v>2.1215351812366743</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f t="shared" si="2"/>
        <v>6.9547996272134203</v>
      </c>
      <c r="E25" s="72" t="str">
        <f t="shared" si="2"/>
        <v>--</v>
      </c>
      <c r="F25" s="72" t="str">
        <f t="shared" si="2"/>
        <v>--</v>
      </c>
      <c r="G25" s="72" t="str">
        <f t="shared" si="2"/>
        <v>--</v>
      </c>
      <c r="H25" s="72" t="str">
        <f t="shared" si="2"/>
        <v>--</v>
      </c>
      <c r="I25" s="72" t="str">
        <f t="shared" si="2"/>
        <v>--</v>
      </c>
      <c r="J25" s="73">
        <f t="shared" si="2"/>
        <v>2.1946915667965592</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Tuscola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3980</v>
      </c>
      <c r="D7" s="105">
        <f>'Data Entry'!D6</f>
        <v>148</v>
      </c>
      <c r="E7" s="106"/>
      <c r="F7" s="107">
        <f>'Data Entry'!E6</f>
        <v>263</v>
      </c>
      <c r="G7" s="106"/>
      <c r="H7" s="107">
        <f>'Data Entry'!F6</f>
        <v>24</v>
      </c>
      <c r="I7" s="106"/>
      <c r="J7" s="107">
        <f>'Data Entry'!G6</f>
        <v>0</v>
      </c>
      <c r="K7" s="106"/>
      <c r="L7" s="107">
        <f>'Data Entry'!H6</f>
        <v>34</v>
      </c>
      <c r="M7" s="106"/>
      <c r="N7" s="107">
        <f>'Data Entry'!I6</f>
        <v>0</v>
      </c>
      <c r="O7" s="106"/>
      <c r="P7" s="107">
        <f>'Data Entry'!J6</f>
        <v>469</v>
      </c>
      <c r="Q7" s="108"/>
    </row>
    <row r="8" spans="2:26" s="1" customFormat="1" ht="15" customHeight="1" x14ac:dyDescent="0.3">
      <c r="B8" s="149" t="s">
        <v>8</v>
      </c>
      <c r="C8" s="104">
        <f>'Data Entry'!C7</f>
        <v>31</v>
      </c>
      <c r="D8" s="105">
        <f>'Data Entry'!D7</f>
        <v>5</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5</v>
      </c>
      <c r="Q8" s="108" t="str">
        <f>'All Minorities'!G7</f>
        <v>**</v>
      </c>
      <c r="R8"/>
      <c r="T8" s="1">
        <f>'Black or African-American'!L7</f>
        <v>20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60</v>
      </c>
      <c r="D9" s="109">
        <f>'Data Entry'!D8</f>
        <v>15</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15</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x14ac:dyDescent="0.3">
      <c r="B11" s="149" t="s">
        <v>11</v>
      </c>
      <c r="C11" s="104">
        <f>'Data Entry'!C10</f>
        <v>5</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x14ac:dyDescent="0.3">
      <c r="B12" s="149" t="s">
        <v>95</v>
      </c>
      <c r="C12" s="104">
        <f>'Data Entry'!C11</f>
        <v>41</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f>'Black or African-American'!L11</f>
        <v>20</v>
      </c>
      <c r="U12" s="1" t="e">
        <f>Hispanic!L11</f>
        <v>#VALUE!</v>
      </c>
      <c r="V12" s="1" t="e">
        <f>Asian!L11</f>
        <v>#VALUE!</v>
      </c>
      <c r="W12" s="1" t="e">
        <f>Hawaiian!L11</f>
        <v>#VALUE!</v>
      </c>
      <c r="X12" s="1" t="e">
        <f>'Am Indian'!L11</f>
        <v>#VALUE!</v>
      </c>
      <c r="Y12" s="1" t="e">
        <f>'Other - Mixed'!L11</f>
        <v>#VALUE!</v>
      </c>
      <c r="Z12" s="1">
        <f>'All Minorities'!L11</f>
        <v>20</v>
      </c>
    </row>
    <row r="13" spans="2:26" s="1" customFormat="1" ht="15" customHeight="1" x14ac:dyDescent="0.3">
      <c r="B13" s="149" t="s">
        <v>13</v>
      </c>
      <c r="C13" s="104">
        <f>'Data Entry'!C12</f>
        <v>35</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58</v>
      </c>
      <c r="D14" s="113">
        <f>'Data Entry'!D13</f>
        <v>15</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15</v>
      </c>
      <c r="Q14" s="116" t="str">
        <f>'All Minorities'!G13</f>
        <v>--</v>
      </c>
      <c r="R14"/>
      <c r="T14" s="1" t="e">
        <f>'Black or African-American'!L13</f>
        <v>#DIV/0!</v>
      </c>
      <c r="U14" s="1" t="e">
        <f>Hispanic!L13</f>
        <v>#VALUE!</v>
      </c>
      <c r="V14" s="1" t="e">
        <f>Asian!L13</f>
        <v>#VALUE!</v>
      </c>
      <c r="W14" s="1" t="e">
        <f>Hawaiian!L13</f>
        <v>#VALUE!</v>
      </c>
      <c r="X14" s="1" t="e">
        <f>'Am Indian'!L13</f>
        <v>#VALUE!</v>
      </c>
      <c r="Y14" s="1" t="e">
        <f>'Other - Mixed'!L13</f>
        <v>#VALUE!</v>
      </c>
      <c r="Z14" s="1" t="e">
        <f>'All Minorities'!L13</f>
        <v>#DIV/0!</v>
      </c>
    </row>
    <row r="15" spans="2:26" s="1" customFormat="1" ht="33" x14ac:dyDescent="0.3">
      <c r="B15" s="151" t="s">
        <v>123</v>
      </c>
      <c r="C15" s="104">
        <f>'Data Entry'!C14</f>
        <v>10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Tuscola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Tuscola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8.4861407249466954</v>
      </c>
    </row>
    <row r="8" spans="1:12" ht="25.5" customHeight="1" x14ac:dyDescent="0.2">
      <c r="A8" s="158" t="str">
        <f>CONCATENATE("Confinement, total N=", 'Data Entry'!B14)</f>
        <v>Confinement, total N=11</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0.90909090909090906</v>
      </c>
      <c r="K8" s="97" t="str">
        <f>A8</f>
        <v>Confinement, total N=11</v>
      </c>
      <c r="L8">
        <f>I14/(SUM(B14:G14))</f>
        <v>8.4861407249466954</v>
      </c>
    </row>
    <row r="9" spans="1:12" x14ac:dyDescent="0.2">
      <c r="A9" s="132" t="str">
        <f>CONCATENATE("Delinquent Findings, total N=", 'Data Entry'!B12)</f>
        <v>Delinquent Findings, total N=37</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0.94594594594594594</v>
      </c>
      <c r="K9" s="97" t="str">
        <f t="shared" si="0"/>
        <v>Delinquent Findings, total N=37</v>
      </c>
      <c r="L9">
        <f>I14/(SUM(B14:G14))</f>
        <v>8.4861407249466954</v>
      </c>
    </row>
    <row r="10" spans="1:12" x14ac:dyDescent="0.2">
      <c r="A10" s="132" t="str">
        <f>CONCATENATE("Petitions, total N=", 'Data Entry'!B11)</f>
        <v>Petitions, total N=44</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0.93181818181818177</v>
      </c>
      <c r="K10" s="97" t="str">
        <f t="shared" si="0"/>
        <v>Petitions, total N=44</v>
      </c>
      <c r="L10">
        <f>I14/(SUM(B14:G14))</f>
        <v>8.4861407249466954</v>
      </c>
    </row>
    <row r="11" spans="1:12" x14ac:dyDescent="0.2">
      <c r="A11" s="132" t="str">
        <f>CONCATENATE("Detentions, total N=", 'Data Entry'!B10)</f>
        <v>Detentions, total N=5</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N=5</v>
      </c>
      <c r="L11">
        <f>I14/(SUM(B14:G14))</f>
        <v>8.4861407249466954</v>
      </c>
    </row>
    <row r="12" spans="1:12" x14ac:dyDescent="0.2">
      <c r="A12" s="132" t="str">
        <f>CONCATENATE("Referrals, total N=", 'Data Entry'!B8)</f>
        <v>Referrals, total N=81</v>
      </c>
      <c r="B12" s="157">
        <f>'Data Entry'!D8/'Data Entry'!B8</f>
        <v>0.18518518518518517</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0.7407407407407407</v>
      </c>
      <c r="K12" s="97" t="str">
        <f t="shared" si="0"/>
        <v>Referrals, total N=81</v>
      </c>
      <c r="L12">
        <f>I14/(SUM(B14:G14))</f>
        <v>8.4861407249466954</v>
      </c>
    </row>
    <row r="13" spans="1:12" x14ac:dyDescent="0.2">
      <c r="A13" s="132" t="str">
        <f>CONCATENATE("Arrests, total N=", 'Data Entry'!B7)</f>
        <v>Arrests, total N=36</v>
      </c>
      <c r="B13" s="157">
        <f>'Data Entry'!D7/'Data Entry'!B7</f>
        <v>0.1388888888888889</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0.86111111111111116</v>
      </c>
      <c r="K13" s="97" t="str">
        <f t="shared" si="0"/>
        <v>Arrests, total N=36</v>
      </c>
      <c r="L13">
        <f>I14/(SUM(B14:G14))</f>
        <v>8.4861407249466954</v>
      </c>
    </row>
    <row r="14" spans="1:12" x14ac:dyDescent="0.2">
      <c r="A14" s="132" t="str">
        <f>CONCATENATE("Population, total N=", 'Data Entry'!B6)</f>
        <v>Population, total N=4449</v>
      </c>
      <c r="B14" s="157">
        <f>'Data Entry'!D6/'Data Entry'!B6</f>
        <v>3.3265902449988762E-2</v>
      </c>
      <c r="C14" s="157">
        <f>'Data Entry'!E6/'Data Entry'!B6</f>
        <v>5.9114407732074624E-2</v>
      </c>
      <c r="D14" s="157">
        <f>'Data Entry'!F6/'Data Entry'!B6</f>
        <v>5.394470667565745E-3</v>
      </c>
      <c r="E14" s="157">
        <f>'Data Entry'!G6/'Data Entry'!B6</f>
        <v>0</v>
      </c>
      <c r="F14" s="157">
        <f>'Data Entry'!H6/'Data Entry'!B6</f>
        <v>7.6421667790514724E-3</v>
      </c>
      <c r="G14" s="157">
        <f>'Data Entry'!I6/'Data Entry'!B6</f>
        <v>0</v>
      </c>
      <c r="H14" s="157">
        <f>SUM(D14:G14)/'Data Entry'!B6</f>
        <v>2.930239929561074E-6</v>
      </c>
      <c r="I14" s="157">
        <f>'Data Entry'!C6/'Data Entry'!B6</f>
        <v>0.89458305237131941</v>
      </c>
      <c r="K14" s="97" t="str">
        <f t="shared" si="0"/>
        <v>Population, total N=4449</v>
      </c>
      <c r="L14">
        <f>I14/(SUM(B14:G14))</f>
        <v>8.4861407249466954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Tuscola</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3980</v>
      </c>
      <c r="D7" s="105">
        <f>'Data Entry'!D6</f>
        <v>148</v>
      </c>
      <c r="E7" s="106"/>
      <c r="F7" s="107">
        <f>'Data Entry'!E6</f>
        <v>263</v>
      </c>
      <c r="G7" s="106"/>
      <c r="H7" s="107">
        <f>'Data Entry'!F6</f>
        <v>24</v>
      </c>
      <c r="I7" s="106"/>
      <c r="J7" s="107">
        <f>'Data Entry'!J6</f>
        <v>469</v>
      </c>
      <c r="K7" s="108"/>
    </row>
    <row r="8" spans="2:30" s="1" customFormat="1" ht="15" customHeight="1" x14ac:dyDescent="0.3">
      <c r="B8" s="125" t="s">
        <v>8</v>
      </c>
      <c r="C8" s="104">
        <f>'Data Entry'!C7</f>
        <v>31</v>
      </c>
      <c r="D8" s="105">
        <f>'Data Entry'!D7</f>
        <v>5</v>
      </c>
      <c r="E8" s="106" t="str">
        <f>'Black or African-American'!$G7</f>
        <v>**</v>
      </c>
      <c r="F8" s="107">
        <f>'Data Entry'!E7</f>
        <v>0</v>
      </c>
      <c r="G8" s="106" t="str">
        <f>Hispanic!G7</f>
        <v>**</v>
      </c>
      <c r="H8" s="107">
        <f>'Data Entry'!F7</f>
        <v>0</v>
      </c>
      <c r="I8" s="106" t="str">
        <f>Asian!G7</f>
        <v>*</v>
      </c>
      <c r="J8" s="107">
        <f>'Data Entry'!J7</f>
        <v>5</v>
      </c>
      <c r="K8" s="108" t="str">
        <f>'All Minorities'!G7</f>
        <v>**</v>
      </c>
      <c r="L8"/>
      <c r="N8" s="1">
        <f>'Black or African-American'!L7</f>
        <v>20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60</v>
      </c>
      <c r="D9" s="109">
        <f>'Data Entry'!D8</f>
        <v>15</v>
      </c>
      <c r="E9" s="110" t="str">
        <f>'Black or African-American'!$G8</f>
        <v>**</v>
      </c>
      <c r="F9" s="111">
        <f>'Data Entry'!E8</f>
        <v>0</v>
      </c>
      <c r="G9" s="110" t="str">
        <f>Hispanic!G8</f>
        <v>**</v>
      </c>
      <c r="H9" s="111">
        <f>'Data Entry'!F8</f>
        <v>0</v>
      </c>
      <c r="I9" s="110" t="str">
        <f>Asian!G8</f>
        <v>*</v>
      </c>
      <c r="J9" s="111">
        <f>'Data Entry'!J8</f>
        <v>15</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x14ac:dyDescent="0.3">
      <c r="B11" s="125" t="s">
        <v>11</v>
      </c>
      <c r="C11" s="104">
        <f>'Data Entry'!C10</f>
        <v>5</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x14ac:dyDescent="0.3">
      <c r="B12" s="125" t="s">
        <v>95</v>
      </c>
      <c r="C12" s="104">
        <f>'Data Entry'!C11</f>
        <v>41</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f>'Black or African-American'!L11</f>
        <v>20</v>
      </c>
      <c r="O12" s="1" t="e">
        <f>Hispanic!L11</f>
        <v>#VALUE!</v>
      </c>
      <c r="P12" s="1" t="e">
        <f>Asian!L11</f>
        <v>#VALUE!</v>
      </c>
      <c r="Q12" s="1" t="e">
        <f>Hawaiian!L11</f>
        <v>#VALUE!</v>
      </c>
      <c r="R12" s="1" t="e">
        <f>'Am Indian'!L11</f>
        <v>#VALUE!</v>
      </c>
      <c r="S12" s="1" t="e">
        <f>'Other - Mixed'!L11</f>
        <v>#VALUE!</v>
      </c>
      <c r="T12" s="1">
        <f>'All Minorities'!L11</f>
        <v>20</v>
      </c>
    </row>
    <row r="13" spans="2:30" s="1" customFormat="1" ht="15" customHeight="1" x14ac:dyDescent="0.3">
      <c r="B13" s="125" t="s">
        <v>13</v>
      </c>
      <c r="C13" s="104">
        <f>'Data Entry'!C12</f>
        <v>35</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58</v>
      </c>
      <c r="D14" s="113">
        <f>'Data Entry'!D13</f>
        <v>15</v>
      </c>
      <c r="E14" s="114" t="str">
        <f>'Black or African-American'!$G13</f>
        <v>--</v>
      </c>
      <c r="F14" s="115">
        <f>'Data Entry'!E13</f>
        <v>0</v>
      </c>
      <c r="G14" s="114" t="str">
        <f>Hispanic!G13</f>
        <v>--</v>
      </c>
      <c r="H14" s="115">
        <f>'Data Entry'!F13</f>
        <v>0</v>
      </c>
      <c r="I14" s="114" t="str">
        <f>Asian!G13</f>
        <v>*</v>
      </c>
      <c r="J14" s="115">
        <f>'Data Entry'!J13</f>
        <v>15</v>
      </c>
      <c r="K14" s="116" t="str">
        <f>'All Minorities'!G13</f>
        <v>--</v>
      </c>
      <c r="L14"/>
      <c r="N14" s="1" t="e">
        <f>'Black or African-American'!L13</f>
        <v>#DIV/0!</v>
      </c>
      <c r="O14" s="1" t="e">
        <f>Hispanic!L13</f>
        <v>#VALUE!</v>
      </c>
      <c r="P14" s="1" t="e">
        <f>Asian!L13</f>
        <v>#VALUE!</v>
      </c>
      <c r="Q14" s="1" t="e">
        <f>Hawaiian!L13</f>
        <v>#VALUE!</v>
      </c>
      <c r="R14" s="1" t="e">
        <f>'Am Indian'!L13</f>
        <v>#VALUE!</v>
      </c>
      <c r="S14" s="1" t="e">
        <f>'Other - Mixed'!L13</f>
        <v>#VALUE!</v>
      </c>
      <c r="T14" s="1" t="e">
        <f>'All Minorities'!L13</f>
        <v>#DIV/0!</v>
      </c>
      <c r="W14" s="135"/>
      <c r="X14" s="135"/>
      <c r="Y14" s="135"/>
      <c r="Z14" s="135"/>
      <c r="AA14" s="135"/>
      <c r="AB14" s="135"/>
      <c r="AC14" s="135"/>
      <c r="AD14" s="135"/>
    </row>
    <row r="15" spans="2:30" s="1" customFormat="1" ht="33" x14ac:dyDescent="0.3">
      <c r="B15" s="130" t="s">
        <v>123</v>
      </c>
      <c r="C15" s="104">
        <f>'Data Entry'!C14</f>
        <v>10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Tuscola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Entry'!D6</f>
        <v>148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Entry'!D7</f>
        <v>5</v>
      </c>
      <c r="F7" s="34">
        <f>IF((AND($E$7&gt;0,$D$66&gt;0)),($E$7/$D$66),0)</f>
        <v>33.783783783783782</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5</v>
      </c>
      <c r="O7" s="42">
        <f>E6-E7</f>
        <v>143</v>
      </c>
      <c r="P7" s="42">
        <f t="shared" ref="P7:P15" si="2">C7</f>
        <v>31</v>
      </c>
      <c r="Q7" s="42">
        <f>C6-C7</f>
        <v>3949</v>
      </c>
      <c r="R7" s="42">
        <f t="shared" ref="R7:R15" si="3">SUM(N7:Q7)</f>
        <v>4128</v>
      </c>
      <c r="S7" s="30">
        <f t="shared" ref="S7:S15" si="4">R7*((((N7*Q7)-(O7*P7))^2))</f>
        <v>967839916032</v>
      </c>
      <c r="T7" s="30">
        <f t="shared" ref="T7:T15" si="5">(N7+O7)*(P7+Q7)*(N7+P7)*(O7+Q7)</f>
        <v>86772660480</v>
      </c>
      <c r="U7" s="31">
        <f t="shared" ref="U7:U15" si="6">IF((S7&gt;0),S7/T7,"- -")</f>
        <v>11.153742557600557</v>
      </c>
    </row>
    <row r="8" spans="2:21" ht="18" customHeight="1" x14ac:dyDescent="0.25">
      <c r="B8" s="32" t="str">
        <f>'Data Entry'!A8</f>
        <v>3. Refer to Juvenile Court</v>
      </c>
      <c r="C8" s="33">
        <f>'Data Entry'!C8</f>
        <v>60</v>
      </c>
      <c r="D8" s="34">
        <f>IF((AND(C67&gt;0,C8&gt;0)),(C8/C67),0)</f>
        <v>193.54838709677421</v>
      </c>
      <c r="E8" s="33">
        <f>'Data Entry'!D8</f>
        <v>15</v>
      </c>
      <c r="F8" s="34">
        <f>IF((AND($E$8&gt;0,$D$67&gt;0)),($E8/$D67),0)</f>
        <v>300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15</v>
      </c>
      <c r="O8" s="42">
        <f>((D67*L67)-E8)+0.05</f>
        <v>-9.9499999999999993</v>
      </c>
      <c r="P8" s="42">
        <f t="shared" si="2"/>
        <v>60</v>
      </c>
      <c r="Q8" s="42">
        <f>(C$67*L67)-C8</f>
        <v>-29</v>
      </c>
      <c r="R8" s="42">
        <f t="shared" si="3"/>
        <v>36.049999999999997</v>
      </c>
      <c r="S8" s="30">
        <f t="shared" si="4"/>
        <v>946096.2</v>
      </c>
      <c r="T8" s="30">
        <f t="shared" si="5"/>
        <v>-457321.68750000006</v>
      </c>
      <c r="U8" s="31">
        <f t="shared" si="6"/>
        <v>-2.0687761500486457</v>
      </c>
    </row>
    <row r="9" spans="2:21" ht="18" customHeight="1" x14ac:dyDescent="0.25">
      <c r="B9" s="32" t="str">
        <f>'Data Entry'!A9</f>
        <v xml:space="preserve">4. Cases Diverted </v>
      </c>
      <c r="C9" s="33">
        <f>'Data Entry'!C9</f>
        <v>1</v>
      </c>
      <c r="D9" s="34">
        <f>IF((AND(C68&gt;0,C9&gt;0)),((C9/C68)),0)</f>
        <v>1.6666666666666667</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15</v>
      </c>
      <c r="P9" s="42">
        <f t="shared" si="2"/>
        <v>1</v>
      </c>
      <c r="Q9" s="42">
        <f>(C$68*L68)-C9</f>
        <v>59</v>
      </c>
      <c r="R9" s="42">
        <f t="shared" si="3"/>
        <v>75</v>
      </c>
      <c r="S9" s="30">
        <f t="shared" si="4"/>
        <v>16875</v>
      </c>
      <c r="T9" s="30">
        <f t="shared" si="5"/>
        <v>66600</v>
      </c>
      <c r="U9" s="31">
        <f t="shared" si="6"/>
        <v>0.2533783783783784</v>
      </c>
    </row>
    <row r="10" spans="2:21" ht="18" customHeight="1" x14ac:dyDescent="0.25">
      <c r="B10" s="32" t="str">
        <f>'Data Entry'!A10</f>
        <v>5. Cases Involving Secure Detention</v>
      </c>
      <c r="C10" s="33">
        <f>'Data Entry'!C10</f>
        <v>5</v>
      </c>
      <c r="D10" s="34">
        <f>IF(((AND(C68&gt;0,C10&gt;0))),(C10/(C68)),0)</f>
        <v>8.3333333333333339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15</v>
      </c>
      <c r="P10" s="42">
        <f t="shared" si="2"/>
        <v>5</v>
      </c>
      <c r="Q10" s="42">
        <f>(C$68*L68)-C10</f>
        <v>55</v>
      </c>
      <c r="R10" s="42">
        <f t="shared" si="3"/>
        <v>75</v>
      </c>
      <c r="S10" s="30">
        <f t="shared" si="4"/>
        <v>421875</v>
      </c>
      <c r="T10" s="30">
        <f t="shared" si="5"/>
        <v>315000</v>
      </c>
      <c r="U10" s="31">
        <f t="shared" si="6"/>
        <v>1.3392857142857142</v>
      </c>
    </row>
    <row r="11" spans="2:21" ht="18" customHeight="1" x14ac:dyDescent="0.25">
      <c r="B11" s="32" t="str">
        <f>'Data Entry'!A11</f>
        <v>6. Cases Petitioned (Charge Filed)</v>
      </c>
      <c r="C11" s="33">
        <f>'Data Entry'!C11</f>
        <v>41</v>
      </c>
      <c r="D11" s="34">
        <f>IF(((AND(C68&gt;0,C11&gt;0))),(C11/(C68)),0)</f>
        <v>68.333333333333343</v>
      </c>
      <c r="E11" s="33">
        <f>'Data Entry'!D11</f>
        <v>0</v>
      </c>
      <c r="F11" s="34">
        <f>IF(((AND($E$11&gt;0,$D$68&gt;0))),($E$11/($D$68)),0)</f>
        <v>0</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0</v>
      </c>
      <c r="O11" s="42">
        <f>(D$68*L68)-E11</f>
        <v>15</v>
      </c>
      <c r="P11" s="42">
        <f t="shared" si="2"/>
        <v>41</v>
      </c>
      <c r="Q11" s="42">
        <f>(C$68*L68)-C11</f>
        <v>19</v>
      </c>
      <c r="R11" s="42">
        <f t="shared" si="3"/>
        <v>75</v>
      </c>
      <c r="S11" s="30">
        <f t="shared" si="4"/>
        <v>28366875</v>
      </c>
      <c r="T11" s="30">
        <f t="shared" si="5"/>
        <v>1254600</v>
      </c>
      <c r="U11" s="31">
        <f t="shared" si="6"/>
        <v>22.610294117647058</v>
      </c>
    </row>
    <row r="12" spans="2:21" ht="18" customHeight="1" x14ac:dyDescent="0.25">
      <c r="B12" s="32" t="str">
        <f>'Data Entry'!A12</f>
        <v>7. Cases Resulting in Delinquent Findings</v>
      </c>
      <c r="C12" s="33">
        <f>'Data Entry'!C12</f>
        <v>35</v>
      </c>
      <c r="D12" s="34">
        <f>IF(((AND(C69&gt;0,C12&gt;0))),(C12/(C69)),0)</f>
        <v>85.365853658536594</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35</v>
      </c>
      <c r="Q12" s="42">
        <f>(C69*L69)-C12</f>
        <v>6</v>
      </c>
      <c r="R12" s="42">
        <f t="shared" si="3"/>
        <v>41</v>
      </c>
      <c r="S12" s="30">
        <f t="shared" si="4"/>
        <v>0</v>
      </c>
      <c r="T12" s="30">
        <f t="shared" si="5"/>
        <v>0</v>
      </c>
      <c r="U12" s="31" t="str">
        <f t="shared" si="6"/>
        <v>- -</v>
      </c>
    </row>
    <row r="13" spans="2:21" ht="18" customHeight="1" x14ac:dyDescent="0.25">
      <c r="B13" s="32" t="str">
        <f>'Data Entry'!A13</f>
        <v>8. Cases Resulting in Probation Placement</v>
      </c>
      <c r="C13" s="33">
        <f>'Data Entry'!C13</f>
        <v>58</v>
      </c>
      <c r="D13" s="34">
        <f>IF(((AND(C70&gt;0,C13&gt;0))),(C13/(C70)),0)</f>
        <v>165.71428571428572</v>
      </c>
      <c r="E13" s="33">
        <f>'Data Entry'!D13</f>
        <v>15</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15</v>
      </c>
      <c r="O13" s="42">
        <f>(D70*L70)-E13</f>
        <v>-15</v>
      </c>
      <c r="P13" s="42">
        <f t="shared" si="2"/>
        <v>58</v>
      </c>
      <c r="Q13" s="42">
        <f>(C70*L70)-C13</f>
        <v>-23</v>
      </c>
      <c r="R13" s="42">
        <f t="shared" si="3"/>
        <v>35</v>
      </c>
      <c r="S13" s="30">
        <f t="shared" si="4"/>
        <v>9646875</v>
      </c>
      <c r="T13" s="30">
        <f t="shared" si="5"/>
        <v>0</v>
      </c>
      <c r="U13" s="31" t="e">
        <f t="shared" si="6"/>
        <v>#DIV/0!</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10</v>
      </c>
      <c r="Q14" s="42">
        <f>(C70*L70)-C14</f>
        <v>25</v>
      </c>
      <c r="R14" s="42">
        <f t="shared" si="3"/>
        <v>35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41</v>
      </c>
      <c r="R15" s="42">
        <f t="shared" si="3"/>
        <v>41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0.14799999999999999</v>
      </c>
      <c r="E42" s="56">
        <f>MAX(C42:D42)</f>
        <v>3.98</v>
      </c>
      <c r="G42" s="1" t="str">
        <f>B42</f>
        <v>per 1000 youth</v>
      </c>
      <c r="L42" s="57">
        <v>1000</v>
      </c>
      <c r="M42" s="57"/>
      <c r="R42" s="49"/>
    </row>
    <row r="43" spans="2:18" ht="15" hidden="1" customHeight="1" x14ac:dyDescent="0.25">
      <c r="B43" s="49" t="s">
        <v>87</v>
      </c>
      <c r="C43" s="56">
        <f>C7/100</f>
        <v>0.31</v>
      </c>
      <c r="D43" s="56">
        <f>E7/100</f>
        <v>0.05</v>
      </c>
      <c r="E43" s="56">
        <f>MAX(C43:D43,0)</f>
        <v>0.31</v>
      </c>
      <c r="G43" s="1" t="str">
        <f>B43</f>
        <v>per 100 arrests</v>
      </c>
      <c r="L43" s="57">
        <v>100</v>
      </c>
      <c r="M43" s="57"/>
      <c r="R43" s="49"/>
    </row>
    <row r="44" spans="2:18" ht="15" hidden="1" customHeight="1" x14ac:dyDescent="0.25">
      <c r="B44" s="49" t="s">
        <v>88</v>
      </c>
      <c r="C44" s="56">
        <f>C8/100</f>
        <v>0.6</v>
      </c>
      <c r="D44" s="56">
        <f>E8/100</f>
        <v>0.15</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0.14799999999999999</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0.31</v>
      </c>
      <c r="D49" s="49">
        <f t="shared" si="9"/>
        <v>0.05</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0.15</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0.14799999999999999</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0.05</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0.15</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0.14799999999999999</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0.05</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0.15</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0.14799999999999999</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0.05</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0.15</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Tuscola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Entry'!F6</f>
        <v>24</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24</v>
      </c>
      <c r="P7" s="42">
        <f t="shared" ref="P7:P15" si="4">C7</f>
        <v>31</v>
      </c>
      <c r="Q7" s="42">
        <f>C6-C7</f>
        <v>3949</v>
      </c>
      <c r="R7" s="42">
        <f t="shared" ref="R7:R15" si="5">SUM(N7:Q7)</f>
        <v>4004</v>
      </c>
      <c r="S7" s="30">
        <f t="shared" ref="S7:S15" si="6">R7*((((N7*Q7)-(O7*P7))^2))</f>
        <v>2216358144</v>
      </c>
      <c r="T7" s="30">
        <f t="shared" ref="T7:T15" si="7">(N7+O7)*(P7+Q7)*(N7+P7)*(O7+Q7)</f>
        <v>11764529760</v>
      </c>
      <c r="U7" s="31">
        <f t="shared" ref="U7:U15" si="8">IF((S7&gt;0),S7/T7,"- -")</f>
        <v>0.18839326256249786</v>
      </c>
    </row>
    <row r="8" spans="2:21" ht="18" customHeight="1" x14ac:dyDescent="0.25">
      <c r="B8" s="32" t="str">
        <f>'Data Entry'!A8</f>
        <v>3. Refer to Juvenile Court</v>
      </c>
      <c r="C8" s="33">
        <f>'Data Entry'!C8</f>
        <v>60</v>
      </c>
      <c r="D8" s="34">
        <f>IF((AND(C67&gt;0,C8&gt;0)),(C8/C67),0)</f>
        <v>193.54838709677421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-29</v>
      </c>
      <c r="R8" s="42">
        <f t="shared" si="5"/>
        <v>31.049999999999997</v>
      </c>
      <c r="S8" s="30">
        <f t="shared" si="6"/>
        <v>279.45</v>
      </c>
      <c r="T8" s="30">
        <f t="shared" si="7"/>
        <v>-2692.35</v>
      </c>
      <c r="U8" s="31">
        <f t="shared" si="8"/>
        <v>-0.10379408323583486</v>
      </c>
    </row>
    <row r="9" spans="2:21" ht="18" customHeight="1" x14ac:dyDescent="0.25">
      <c r="B9" s="32" t="str">
        <f>'Data Entry'!A9</f>
        <v xml:space="preserve">4. Cases Diverted </v>
      </c>
      <c r="C9" s="33">
        <f>'Data Entry'!C9</f>
        <v>1</v>
      </c>
      <c r="D9" s="34">
        <f>IF((AND(C68&gt;0,C9&gt;0)),((C9/C68)),0)</f>
        <v>1.6666666666666667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59</v>
      </c>
      <c r="R9" s="42">
        <f t="shared" si="5"/>
        <v>60</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8.3333333333333339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55</v>
      </c>
      <c r="R10" s="42">
        <f t="shared" si="5"/>
        <v>60</v>
      </c>
      <c r="S10" s="30">
        <f t="shared" si="6"/>
        <v>0</v>
      </c>
      <c r="T10" s="30">
        <f t="shared" si="7"/>
        <v>0</v>
      </c>
      <c r="U10" s="31" t="str">
        <f t="shared" si="8"/>
        <v>- -</v>
      </c>
    </row>
    <row r="11" spans="2:21" ht="18" customHeight="1" x14ac:dyDescent="0.25">
      <c r="B11" s="32" t="str">
        <f>'Data Entry'!A11</f>
        <v>6. Cases Petitioned (Charge Filed)</v>
      </c>
      <c r="C11" s="33">
        <f>'Data Entry'!C11</f>
        <v>41</v>
      </c>
      <c r="D11" s="34">
        <f>IF(((AND(C68&gt;0,C11&gt;0))),(C11/(C68)),0)</f>
        <v>68.333333333333343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41</v>
      </c>
      <c r="Q11" s="42">
        <f>(C$68*L68)-C11</f>
        <v>19</v>
      </c>
      <c r="R11" s="42">
        <f t="shared" si="5"/>
        <v>60</v>
      </c>
      <c r="S11" s="30">
        <f t="shared" si="6"/>
        <v>0</v>
      </c>
      <c r="T11" s="30">
        <f t="shared" si="7"/>
        <v>0</v>
      </c>
      <c r="U11" s="31" t="str">
        <f t="shared" si="8"/>
        <v>- -</v>
      </c>
    </row>
    <row r="12" spans="2:21" ht="18" customHeight="1" x14ac:dyDescent="0.25">
      <c r="B12" s="32" t="str">
        <f>'Data Entry'!A12</f>
        <v>7. Cases Resulting in Delinquent Findings</v>
      </c>
      <c r="C12" s="33">
        <f>'Data Entry'!C12</f>
        <v>35</v>
      </c>
      <c r="D12" s="34">
        <f>IF(((AND(C69&gt;0,C12&gt;0))),(C12/(C69)),0)</f>
        <v>85.365853658536594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6</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58</v>
      </c>
      <c r="D13" s="34">
        <f>IF(((AND(C70&gt;0,C13&gt;0))),(C13/(C70)),0)</f>
        <v>165.71428571428572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-23</v>
      </c>
      <c r="R13" s="42">
        <f t="shared" si="5"/>
        <v>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25</v>
      </c>
      <c r="R14" s="42">
        <f t="shared" si="5"/>
        <v>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41</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2.4E-2</v>
      </c>
      <c r="E42" s="56">
        <f>MAX(C42:D42)</f>
        <v>3.98</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0.6</v>
      </c>
      <c r="D44" s="56">
        <f>E8/100</f>
        <v>0</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2.4E-2</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2.4E-2</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2.4E-2</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2.4E-2</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Tuscola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Entry'!E6</f>
        <v>263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263</v>
      </c>
      <c r="P7" s="42">
        <f t="shared" ref="P7:P15" si="4">C7</f>
        <v>31</v>
      </c>
      <c r="Q7" s="42">
        <f>C6-C7</f>
        <v>3949</v>
      </c>
      <c r="R7" s="42">
        <f t="shared" ref="R7:R15" si="5">SUM(N7:Q7)</f>
        <v>4243</v>
      </c>
      <c r="S7" s="30">
        <f t="shared" ref="S7:S15" si="6">R7*((((N7*Q7)-(O7*P7))^2))</f>
        <v>282038188387</v>
      </c>
      <c r="T7" s="30">
        <f t="shared" ref="T7:T15" si="7">(N7+O7)*(P7+Q7)*(N7+P7)*(O7+Q7)</f>
        <v>136674935280</v>
      </c>
      <c r="U7" s="31">
        <f t="shared" ref="U7:U15" si="8">IF((S7&gt;0),S7/T7,"- -")</f>
        <v>2.0635692112032147</v>
      </c>
    </row>
    <row r="8" spans="2:21" ht="18" customHeight="1" x14ac:dyDescent="0.25">
      <c r="B8" s="32" t="str">
        <f>'Data Entry'!A8</f>
        <v>3. Refer to Juvenile Court</v>
      </c>
      <c r="C8" s="33">
        <f>'Data Entry'!C8</f>
        <v>60</v>
      </c>
      <c r="D8" s="34">
        <f>IF((AND(C67&gt;0,C8&gt;0)),(C8/C67),0)</f>
        <v>193.54838709677421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60</v>
      </c>
      <c r="Q8" s="42">
        <f>(C$67*L67)-C8</f>
        <v>-29</v>
      </c>
      <c r="R8" s="42">
        <f t="shared" si="5"/>
        <v>31.049999999999997</v>
      </c>
      <c r="S8" s="30">
        <f t="shared" si="6"/>
        <v>279.45</v>
      </c>
      <c r="T8" s="30">
        <f t="shared" si="7"/>
        <v>-2692.35</v>
      </c>
      <c r="U8" s="31">
        <f t="shared" si="8"/>
        <v>-0.10379408323583486</v>
      </c>
    </row>
    <row r="9" spans="2:21" ht="18" customHeight="1" x14ac:dyDescent="0.25">
      <c r="B9" s="32" t="str">
        <f>'Data Entry'!A9</f>
        <v xml:space="preserve">4. Cases Diverted </v>
      </c>
      <c r="C9" s="33">
        <f>'Data Entry'!C9</f>
        <v>1</v>
      </c>
      <c r="D9" s="34">
        <f>IF((AND(C68&gt;0,C9&gt;0)),((C9/C68)),0)</f>
        <v>1.6666666666666667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59</v>
      </c>
      <c r="R9" s="42">
        <f t="shared" si="5"/>
        <v>60</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8.3333333333333339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55</v>
      </c>
      <c r="R10" s="42">
        <f t="shared" si="5"/>
        <v>60</v>
      </c>
      <c r="S10" s="30">
        <f t="shared" si="6"/>
        <v>0</v>
      </c>
      <c r="T10" s="30">
        <f t="shared" si="7"/>
        <v>0</v>
      </c>
      <c r="U10" s="31" t="str">
        <f t="shared" si="8"/>
        <v>- -</v>
      </c>
    </row>
    <row r="11" spans="2:21" ht="18" customHeight="1" x14ac:dyDescent="0.25">
      <c r="B11" s="32" t="str">
        <f>'Data Entry'!A11</f>
        <v>6. Cases Petitioned (Charge Filed)</v>
      </c>
      <c r="C11" s="33">
        <f>'Data Entry'!C11</f>
        <v>41</v>
      </c>
      <c r="D11" s="34">
        <f>IF(((AND(C68&gt;0,C11&gt;0))),(C11/(C68)),0)</f>
        <v>68.333333333333343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41</v>
      </c>
      <c r="Q11" s="42">
        <f>(C$68*L68)-C11</f>
        <v>19</v>
      </c>
      <c r="R11" s="42">
        <f t="shared" si="5"/>
        <v>60</v>
      </c>
      <c r="S11" s="30">
        <f t="shared" si="6"/>
        <v>0</v>
      </c>
      <c r="T11" s="30">
        <f t="shared" si="7"/>
        <v>0</v>
      </c>
      <c r="U11" s="31" t="str">
        <f t="shared" si="8"/>
        <v>- -</v>
      </c>
    </row>
    <row r="12" spans="2:21" ht="18" customHeight="1" x14ac:dyDescent="0.25">
      <c r="B12" s="32" t="str">
        <f>'Data Entry'!A12</f>
        <v>7. Cases Resulting in Delinquent Findings</v>
      </c>
      <c r="C12" s="33">
        <f>'Data Entry'!C12</f>
        <v>35</v>
      </c>
      <c r="D12" s="34">
        <f>IF(((AND(C69&gt;0,C12&gt;0))),(C12/(C69)),0)</f>
        <v>85.365853658536594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6</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58</v>
      </c>
      <c r="D13" s="34">
        <f>IF(((AND(C70&gt;0,C13&gt;0))),(C13/(C70)),0)</f>
        <v>165.71428571428572</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-23</v>
      </c>
      <c r="R13" s="42">
        <f t="shared" si="5"/>
        <v>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25</v>
      </c>
      <c r="R14" s="42">
        <f t="shared" si="5"/>
        <v>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41</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0.26300000000000001</v>
      </c>
      <c r="E42" s="56">
        <f>MAX(C42:D42)</f>
        <v>3.98</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0.6</v>
      </c>
      <c r="D44" s="56">
        <f>E8/100</f>
        <v>0</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0.26300000000000001</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0.26300000000000001</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0.26300000000000001</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0.26300000000000001</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Tuscola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31</v>
      </c>
      <c r="Q7" s="42">
        <f>C6-C7</f>
        <v>3949</v>
      </c>
      <c r="R7" s="42">
        <f t="shared" ref="R7:R15" si="5">SUM(N7:Q7)</f>
        <v>3980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60</v>
      </c>
      <c r="D8" s="34">
        <f>IF((AND(C67&gt;0,C8&gt;0)),(C8/C67),0)</f>
        <v>193.54838709677421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-29</v>
      </c>
      <c r="R8" s="42">
        <f t="shared" si="5"/>
        <v>31.049999999999997</v>
      </c>
      <c r="S8" s="30">
        <f t="shared" si="6"/>
        <v>279.45</v>
      </c>
      <c r="T8" s="30">
        <f t="shared" si="7"/>
        <v>-2692.35</v>
      </c>
      <c r="U8" s="31">
        <f t="shared" si="8"/>
        <v>-0.10379408323583486</v>
      </c>
    </row>
    <row r="9" spans="2:21" ht="18" customHeight="1" x14ac:dyDescent="0.25">
      <c r="B9" s="32" t="str">
        <f>'Data Entry'!A9</f>
        <v xml:space="preserve">4. Cases Diverted </v>
      </c>
      <c r="C9" s="33">
        <f>'Data Entry'!C9</f>
        <v>1</v>
      </c>
      <c r="D9" s="34">
        <f>IF((AND(C68&gt;0,C9&gt;0)),((C9/C68)),0)</f>
        <v>1.6666666666666667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59</v>
      </c>
      <c r="R9" s="42">
        <f t="shared" si="5"/>
        <v>60</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8.3333333333333339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55</v>
      </c>
      <c r="R10" s="42">
        <f t="shared" si="5"/>
        <v>60</v>
      </c>
      <c r="S10" s="30">
        <f t="shared" si="6"/>
        <v>0</v>
      </c>
      <c r="T10" s="30">
        <f t="shared" si="7"/>
        <v>0</v>
      </c>
      <c r="U10" s="31" t="str">
        <f t="shared" si="8"/>
        <v>- -</v>
      </c>
    </row>
    <row r="11" spans="2:21" ht="18" customHeight="1" x14ac:dyDescent="0.25">
      <c r="B11" s="32" t="str">
        <f>'Data Entry'!A11</f>
        <v>6. Cases Petitioned (Charge Filed)</v>
      </c>
      <c r="C11" s="33">
        <f>'Data Entry'!C11</f>
        <v>41</v>
      </c>
      <c r="D11" s="34">
        <f>IF(((AND(C68&gt;0,C11&gt;0))),(C11/(C68)),0)</f>
        <v>68.333333333333343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41</v>
      </c>
      <c r="Q11" s="42">
        <f>(C$68*L68)-C11</f>
        <v>19</v>
      </c>
      <c r="R11" s="42">
        <f t="shared" si="5"/>
        <v>60</v>
      </c>
      <c r="S11" s="30">
        <f t="shared" si="6"/>
        <v>0</v>
      </c>
      <c r="T11" s="30">
        <f t="shared" si="7"/>
        <v>0</v>
      </c>
      <c r="U11" s="31" t="str">
        <f t="shared" si="8"/>
        <v>- -</v>
      </c>
    </row>
    <row r="12" spans="2:21" ht="18" customHeight="1" x14ac:dyDescent="0.25">
      <c r="B12" s="32" t="str">
        <f>'Data Entry'!A12</f>
        <v>7. Cases Resulting in Delinquent Findings</v>
      </c>
      <c r="C12" s="33">
        <f>'Data Entry'!C12</f>
        <v>35</v>
      </c>
      <c r="D12" s="34">
        <f>IF(((AND(C69&gt;0,C12&gt;0))),(C12/(C69)),0)</f>
        <v>85.365853658536594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6</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58</v>
      </c>
      <c r="D13" s="34">
        <f>IF(((AND(C70&gt;0,C13&gt;0))),(C13/(C70)),0)</f>
        <v>165.71428571428572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-23</v>
      </c>
      <c r="R13" s="42">
        <f t="shared" si="5"/>
        <v>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25</v>
      </c>
      <c r="R14" s="42">
        <f t="shared" si="5"/>
        <v>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41</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0</v>
      </c>
      <c r="E42" s="56">
        <f>MAX(C42:D42)</f>
        <v>3.98</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0.6</v>
      </c>
      <c r="D44" s="56">
        <f>E8/100</f>
        <v>0</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0</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0</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0</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0</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Tuscola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3980</v>
      </c>
      <c r="D6" s="34"/>
      <c r="E6" s="33">
        <f>'Data Entry'!H6</f>
        <v>34</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7.7889447236180906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34</v>
      </c>
      <c r="P7" s="42">
        <f t="shared" ref="P7:P15" si="4">C7</f>
        <v>31</v>
      </c>
      <c r="Q7" s="42">
        <f>C6-C7</f>
        <v>3949</v>
      </c>
      <c r="R7" s="42">
        <f t="shared" ref="R7:R15" si="5">SUM(N7:Q7)</f>
        <v>4014</v>
      </c>
      <c r="S7" s="30">
        <f t="shared" ref="S7:S15" si="6">R7*((((N7*Q7)-(O7*P7))^2))</f>
        <v>4459216824</v>
      </c>
      <c r="T7" s="30">
        <f t="shared" ref="T7:T15" si="7">(N7+O7)*(P7+Q7)*(N7+P7)*(O7+Q7)</f>
        <v>16708366360</v>
      </c>
      <c r="U7" s="31">
        <f t="shared" ref="U7:U15" si="8">IF((S7&gt;0),S7/T7,"- -")</f>
        <v>0.26688526741162505</v>
      </c>
    </row>
    <row r="8" spans="2:21" ht="18" customHeight="1" x14ac:dyDescent="0.25">
      <c r="B8" s="32" t="str">
        <f>'Data Entry'!A8</f>
        <v>3. Refer to Juvenile Court</v>
      </c>
      <c r="C8" s="33">
        <f>'Data Entry'!C8</f>
        <v>60</v>
      </c>
      <c r="D8" s="34">
        <f>IF((AND(C67&gt;0,C8&gt;0)),(C8/C67),0)</f>
        <v>193.54838709677421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-29</v>
      </c>
      <c r="R8" s="42">
        <f t="shared" si="5"/>
        <v>31.049999999999997</v>
      </c>
      <c r="S8" s="30">
        <f t="shared" si="6"/>
        <v>279.45</v>
      </c>
      <c r="T8" s="30">
        <f t="shared" si="7"/>
        <v>-2692.35</v>
      </c>
      <c r="U8" s="31">
        <f t="shared" si="8"/>
        <v>-0.10379408323583486</v>
      </c>
    </row>
    <row r="9" spans="2:21" ht="18" customHeight="1" x14ac:dyDescent="0.25">
      <c r="B9" s="32" t="str">
        <f>'Data Entry'!A9</f>
        <v xml:space="preserve">4. Cases Diverted </v>
      </c>
      <c r="C9" s="33">
        <f>'Data Entry'!C9</f>
        <v>1</v>
      </c>
      <c r="D9" s="34">
        <f>IF((AND(C68&gt;0,C9&gt;0)),((C9/C68)),0)</f>
        <v>1.6666666666666667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59</v>
      </c>
      <c r="R9" s="42">
        <f t="shared" si="5"/>
        <v>60</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8.3333333333333339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55</v>
      </c>
      <c r="R10" s="42">
        <f t="shared" si="5"/>
        <v>60</v>
      </c>
      <c r="S10" s="30">
        <f t="shared" si="6"/>
        <v>0</v>
      </c>
      <c r="T10" s="30">
        <f t="shared" si="7"/>
        <v>0</v>
      </c>
      <c r="U10" s="31" t="str">
        <f t="shared" si="8"/>
        <v>- -</v>
      </c>
    </row>
    <row r="11" spans="2:21" ht="18" customHeight="1" x14ac:dyDescent="0.25">
      <c r="B11" s="32" t="str">
        <f>'Data Entry'!A11</f>
        <v>6. Cases Petitioned (Charge Filed)</v>
      </c>
      <c r="C11" s="33">
        <f>'Data Entry'!C11</f>
        <v>41</v>
      </c>
      <c r="D11" s="34">
        <f>IF(((AND(C68&gt;0,C11&gt;0))),(C11/(C68)),0)</f>
        <v>68.333333333333343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41</v>
      </c>
      <c r="Q11" s="42">
        <f>(C$68*L68)-C11</f>
        <v>19</v>
      </c>
      <c r="R11" s="42">
        <f t="shared" si="5"/>
        <v>60</v>
      </c>
      <c r="S11" s="30">
        <f t="shared" si="6"/>
        <v>0</v>
      </c>
      <c r="T11" s="30">
        <f t="shared" si="7"/>
        <v>0</v>
      </c>
      <c r="U11" s="31" t="str">
        <f t="shared" si="8"/>
        <v>- -</v>
      </c>
    </row>
    <row r="12" spans="2:21" ht="18" customHeight="1" x14ac:dyDescent="0.25">
      <c r="B12" s="32" t="str">
        <f>'Data Entry'!A12</f>
        <v>7. Cases Resulting in Delinquent Findings</v>
      </c>
      <c r="C12" s="33">
        <f>'Data Entry'!C12</f>
        <v>35</v>
      </c>
      <c r="D12" s="34">
        <f>IF(((AND(C69&gt;0,C12&gt;0))),(C12/(C69)),0)</f>
        <v>85.365853658536594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6</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58</v>
      </c>
      <c r="D13" s="34">
        <f>IF(((AND(C70&gt;0,C13&gt;0))),(C13/(C70)),0)</f>
        <v>165.71428571428572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-23</v>
      </c>
      <c r="R13" s="42">
        <f t="shared" si="5"/>
        <v>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10</v>
      </c>
      <c r="D14" s="34">
        <f>IF(((AND(C70&gt;0,C14&gt;0))), ((C14/(C70))),0)</f>
        <v>28.571428571428573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25</v>
      </c>
      <c r="R14" s="42">
        <f t="shared" si="5"/>
        <v>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41</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3.98</v>
      </c>
      <c r="D42" s="56">
        <f>E6/1000</f>
        <v>3.4000000000000002E-2</v>
      </c>
      <c r="E42" s="56">
        <f>MAX(C42:D42)</f>
        <v>3.98</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0.6</v>
      </c>
      <c r="D44" s="56">
        <f>E8/100</f>
        <v>0</v>
      </c>
      <c r="E44" s="56">
        <f>MAX(C44:D44,0)</f>
        <v>0.6</v>
      </c>
      <c r="G44" s="1" t="str">
        <f>B44</f>
        <v>per 100 referrals</v>
      </c>
      <c r="L44" s="57">
        <v>100</v>
      </c>
      <c r="M44" s="57"/>
      <c r="R44" s="49"/>
    </row>
    <row r="45" spans="2:18" ht="15" hidden="1" customHeight="1" x14ac:dyDescent="0.25">
      <c r="B45" s="49" t="s">
        <v>89</v>
      </c>
      <c r="C45" s="49">
        <f>C11/100</f>
        <v>0.41</v>
      </c>
      <c r="D45" s="49">
        <f>E11/100</f>
        <v>0</v>
      </c>
      <c r="E45" s="56">
        <f>MAX(C45:D45,0)</f>
        <v>0.41</v>
      </c>
      <c r="G45" s="1" t="str">
        <f>B45</f>
        <v>per 100 youth petitioned</v>
      </c>
      <c r="L45" s="57">
        <v>100</v>
      </c>
      <c r="M45" s="57"/>
      <c r="R45" s="49"/>
    </row>
    <row r="46" spans="2:18" ht="15" hidden="1" customHeight="1" x14ac:dyDescent="0.25">
      <c r="B46" s="49" t="s">
        <v>90</v>
      </c>
      <c r="C46" s="49">
        <f>C12/100</f>
        <v>0.35</v>
      </c>
      <c r="D46" s="49">
        <f>E12/100</f>
        <v>0</v>
      </c>
      <c r="E46" s="56">
        <f>MAX(C46:D46)</f>
        <v>0.35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3.98</v>
      </c>
      <c r="D48" s="56">
        <f>D42</f>
        <v>3.4000000000000002E-2</v>
      </c>
      <c r="E48" s="56">
        <f>MAX(C48:D48)</f>
        <v>3.98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0.41</v>
      </c>
      <c r="D51" s="49">
        <f>IF(($E45&gt;0),D45,D44)</f>
        <v>0</v>
      </c>
      <c r="E51" s="49">
        <f>MAX(C51:D51)</f>
        <v>0.41</v>
      </c>
      <c r="G51" s="1" t="str">
        <f>G45</f>
        <v>per 100 youth petitioned</v>
      </c>
      <c r="L51" s="58">
        <f>IF(($E45&gt;0),L45,L44)</f>
        <v>100</v>
      </c>
      <c r="M51" s="58"/>
    </row>
    <row r="52" spans="2:18" ht="15" hidden="1" customHeight="1" x14ac:dyDescent="0.25">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3.98</v>
      </c>
      <c r="D54" s="56">
        <f>D48</f>
        <v>3.4000000000000002E-2</v>
      </c>
      <c r="E54" s="56">
        <f>MAX(C54:D54)</f>
        <v>3.98</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x14ac:dyDescent="0.25">
      <c r="B57" s="49" t="str">
        <f>IF(($E51&gt;0),B51,B49)</f>
        <v>per 100 youth petitioned</v>
      </c>
      <c r="C57" s="49">
        <f>IF(($E51&gt;0),C51,C50)</f>
        <v>0.41</v>
      </c>
      <c r="D57" s="49">
        <f>IF(($E51&gt;0),D51,D50)</f>
        <v>0</v>
      </c>
      <c r="E57" s="49">
        <f>MAX(C57:D57)</f>
        <v>0.41</v>
      </c>
      <c r="G57" s="1" t="str">
        <f>G51</f>
        <v>per 100 youth petitioned</v>
      </c>
      <c r="L57" s="58">
        <f>IF(($E51&gt;0),L51,L50)</f>
        <v>100</v>
      </c>
      <c r="M57" s="58"/>
    </row>
    <row r="58" spans="2:18" ht="15" hidden="1" customHeight="1" x14ac:dyDescent="0.25">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3.98</v>
      </c>
      <c r="D60" s="56">
        <f>D54</f>
        <v>3.4000000000000002E-2</v>
      </c>
      <c r="E60" s="56">
        <f>MAX(C60:D60)</f>
        <v>3.98</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x14ac:dyDescent="0.25">
      <c r="B63" s="49" t="str">
        <f>IF(($E57&gt;0),B57,B55)</f>
        <v>per 100 youth petitioned</v>
      </c>
      <c r="C63" s="49">
        <f>IF(($E57&gt;0),C57,C56)</f>
        <v>0.41</v>
      </c>
      <c r="D63" s="49">
        <f>IF(($E57&gt;0),D57,D56)</f>
        <v>0</v>
      </c>
      <c r="E63" s="49">
        <f>MAX(C63:D63)</f>
        <v>0.41</v>
      </c>
      <c r="G63" s="1" t="str">
        <f>G57</f>
        <v>per 100 youth petitioned</v>
      </c>
      <c r="L63" s="58">
        <f>IF(($E57&gt;0),L57,L56)</f>
        <v>100</v>
      </c>
      <c r="M63" s="58"/>
    </row>
    <row r="64" spans="2:18" ht="15" hidden="1" customHeight="1" x14ac:dyDescent="0.25">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3.98</v>
      </c>
      <c r="D66" s="56">
        <f>D60</f>
        <v>3.4000000000000002E-2</v>
      </c>
      <c r="E66" s="56">
        <f>MAX(C66:D66)</f>
        <v>3.98</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x14ac:dyDescent="0.25">
      <c r="B69" s="49" t="str">
        <f>IF(($E63&gt;0),B63,B61)</f>
        <v>per 100 youth petitioned</v>
      </c>
      <c r="C69" s="49">
        <f>IF(($E63&gt;0),C63,C62)</f>
        <v>0.41</v>
      </c>
      <c r="D69" s="49">
        <f>IF(($E63&gt;0),D63,D62)</f>
        <v>0</v>
      </c>
      <c r="E69" s="49">
        <f>MAX(C69:D69)</f>
        <v>0.41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U47JMPN4QEAR-1806752177-30224</_dlc_DocId>
    <_dlc_DocIdUrl xmlns="ac3811b5-0f3e-49e2-ba69-f2ffa0c782af">
      <Url>https://michiganphi.sharepoint.com/sites/CMDMC/_layouts/15/DocIdRedir.aspx?ID=U47JMPN4QEAR-1806752177-30224</Url>
      <Description>U47JMPN4QEAR-1806752177-30224</Description>
    </_dlc_DocIdUrl>
  </documentManagement>
</p:properties>
</file>

<file path=customXml/itemProps1.xml><?xml version="1.0" encoding="utf-8"?>
<ds:datastoreItem xmlns:ds="http://schemas.openxmlformats.org/officeDocument/2006/customXml" ds:itemID="{AB89E2EF-FBD5-4ADD-A59B-E7CE00129DDF}"/>
</file>

<file path=customXml/itemProps2.xml><?xml version="1.0" encoding="utf-8"?>
<ds:datastoreItem xmlns:ds="http://schemas.openxmlformats.org/officeDocument/2006/customXml" ds:itemID="{92675395-8676-4267-A37C-2F68A771525F}"/>
</file>

<file path=customXml/itemProps3.xml><?xml version="1.0" encoding="utf-8"?>
<ds:datastoreItem xmlns:ds="http://schemas.openxmlformats.org/officeDocument/2006/customXml" ds:itemID="{EFA5CC7A-1A31-4C80-93BF-CFF835C894C4}"/>
</file>

<file path=customXml/itemProps4.xml><?xml version="1.0" encoding="utf-8"?>
<ds:datastoreItem xmlns:ds="http://schemas.openxmlformats.org/officeDocument/2006/customXml" ds:itemID="{EE8FA9EA-A6C7-47EF-B15C-4E09821C19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9f7af8df-8623-4f34-b31c-6b364ed93923</vt:lpwstr>
  </property>
</Properties>
</file>