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8" documentId="8_{7E40224A-0A38-4527-B62A-7D067ABB97C4}" xr6:coauthVersionLast="47" xr6:coauthVersionMax="47" xr10:uidLastSave="{DA6B3045-4DB0-42F6-AB63-58020492E17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2" l="1"/>
  <c r="M66" i="2"/>
  <c r="M66" i="7"/>
  <c r="F27" i="7"/>
  <c r="M66" i="6"/>
  <c r="F27" i="6"/>
  <c r="F27" i="4"/>
  <c r="M66" i="4"/>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E58" i="8"/>
  <c r="B56" i="8"/>
  <c r="D64" i="5"/>
  <c r="E64" i="5" s="1"/>
  <c r="L64" i="5"/>
  <c r="C57" i="8"/>
  <c r="C64" i="8" s="1"/>
  <c r="L56" i="8"/>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C63" i="3"/>
  <c r="E57" i="8"/>
  <c r="B63" i="8" s="1"/>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L69" i="7"/>
  <c r="C70" i="3"/>
  <c r="D14" i="3" s="1"/>
  <c r="D70" i="6"/>
  <c r="C70" i="6"/>
  <c r="L63" i="8"/>
  <c r="L70" i="8" s="1"/>
  <c r="E63" i="3"/>
  <c r="C69" i="3" s="1"/>
  <c r="D15" i="3" s="1"/>
  <c r="C63" i="8"/>
  <c r="C70" i="8" s="1"/>
  <c r="D63" i="8"/>
  <c r="D70" i="8" s="1"/>
  <c r="F13" i="8" s="1"/>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Q13" i="6"/>
  <c r="Q14" i="6"/>
  <c r="O13" i="6"/>
  <c r="F14" i="6"/>
  <c r="B69" i="6"/>
  <c r="M69" i="6" s="1"/>
  <c r="F14" i="3"/>
  <c r="Q13" i="3"/>
  <c r="E70" i="6"/>
  <c r="D13" i="6"/>
  <c r="F13" i="6"/>
  <c r="Q14" i="3"/>
  <c r="D13" i="3"/>
  <c r="O13" i="3"/>
  <c r="D14" i="6"/>
  <c r="O12" i="7"/>
  <c r="D15" i="7"/>
  <c r="Q15" i="7"/>
  <c r="O15" i="7"/>
  <c r="Q13" i="8"/>
  <c r="F12" i="7"/>
  <c r="E63" i="8"/>
  <c r="D69" i="8" s="1"/>
  <c r="F15" i="8" s="1"/>
  <c r="B69" i="3"/>
  <c r="M69" i="3" s="1"/>
  <c r="D12" i="3"/>
  <c r="D69" i="3"/>
  <c r="E69" i="3" s="1"/>
  <c r="L69" i="3"/>
  <c r="Q12" i="3" s="1"/>
  <c r="E70" i="3"/>
  <c r="F33" i="3"/>
  <c r="E69" i="7"/>
  <c r="Q12" i="7"/>
  <c r="F34" i="3"/>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T13" i="6"/>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T14" i="6"/>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6" l="1"/>
  <c r="S14" i="6" s="1"/>
  <c r="K13" i="6"/>
  <c r="K14" i="6"/>
  <c r="T13" i="3"/>
  <c r="R13" i="3"/>
  <c r="S13" i="3" s="1"/>
  <c r="U13" i="3" s="1"/>
  <c r="J13" i="3" s="1"/>
  <c r="M13" i="3" s="1"/>
  <c r="G13" i="3" s="1"/>
  <c r="R13" i="6"/>
  <c r="S13" i="6" s="1"/>
  <c r="U13" i="6" s="1"/>
  <c r="J13" i="6" s="1"/>
  <c r="M13" i="6" s="1"/>
  <c r="G13" i="6" s="1"/>
  <c r="M14" i="13" s="1"/>
  <c r="F32" i="6"/>
  <c r="F35" i="6"/>
  <c r="K14" i="3"/>
  <c r="F12" i="3"/>
  <c r="R14" i="3"/>
  <c r="S14" i="3" s="1"/>
  <c r="U14" i="3" s="1"/>
  <c r="J14" i="3" s="1"/>
  <c r="M14" i="3" s="1"/>
  <c r="G14" i="3" s="1"/>
  <c r="I15" i="16" s="1"/>
  <c r="T12" i="7"/>
  <c r="R15" i="7"/>
  <c r="S15" i="7" s="1"/>
  <c r="U15" i="7" s="1"/>
  <c r="J15" i="7" s="1"/>
  <c r="M15" i="7" s="1"/>
  <c r="C69" i="8"/>
  <c r="D15" i="8" s="1"/>
  <c r="K13" i="3"/>
  <c r="L69" i="8"/>
  <c r="O15" i="8" s="1"/>
  <c r="T15" i="7"/>
  <c r="K15" i="7"/>
  <c r="R13" i="8"/>
  <c r="S13" i="8" s="1"/>
  <c r="F15" i="3"/>
  <c r="O15" i="6"/>
  <c r="O15" i="3"/>
  <c r="F35" i="3"/>
  <c r="F32" i="3"/>
  <c r="F12" i="8"/>
  <c r="R12" i="7"/>
  <c r="S12" i="7" s="1"/>
  <c r="U12" i="7" s="1"/>
  <c r="J12" i="7" s="1"/>
  <c r="M12" i="7" s="1"/>
  <c r="T14" i="3"/>
  <c r="O12" i="3"/>
  <c r="R12" i="3" s="1"/>
  <c r="S12" i="3" s="1"/>
  <c r="U12" i="3" s="1"/>
  <c r="J12" i="3" s="1"/>
  <c r="K12" i="7"/>
  <c r="R14" i="8"/>
  <c r="S14" i="8" s="1"/>
  <c r="O12" i="6"/>
  <c r="B69" i="8"/>
  <c r="M69" i="8" s="1"/>
  <c r="T13" i="8"/>
  <c r="Q15" i="3"/>
  <c r="Q12" i="6"/>
  <c r="Q15" i="6"/>
  <c r="E69" i="6"/>
  <c r="D15" i="6"/>
  <c r="F15" i="6"/>
  <c r="L13" i="4"/>
  <c r="O14" i="16" s="1"/>
  <c r="L11" i="4"/>
  <c r="O12" i="16" s="1"/>
  <c r="K8" i="7"/>
  <c r="O13" i="2"/>
  <c r="T8" i="7"/>
  <c r="U8" i="7" s="1"/>
  <c r="J8" i="7" s="1"/>
  <c r="M8" i="7" s="1"/>
  <c r="T13" i="7"/>
  <c r="Q10" i="7"/>
  <c r="F13" i="2"/>
  <c r="Q11" i="7"/>
  <c r="R8" i="6"/>
  <c r="S8" i="6" s="1"/>
  <c r="F14" i="2"/>
  <c r="E69" i="8"/>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3" l="1"/>
  <c r="P14" i="16" s="1"/>
  <c r="G13" i="9"/>
  <c r="L13" i="6"/>
  <c r="R14" i="16" s="1"/>
  <c r="I15" i="13"/>
  <c r="R15" i="3"/>
  <c r="S15" i="3" s="1"/>
  <c r="U15" i="3" s="1"/>
  <c r="J15" i="3" s="1"/>
  <c r="M15" i="3" s="1"/>
  <c r="G15" i="3" s="1"/>
  <c r="I16" i="16" s="1"/>
  <c r="D12" i="8"/>
  <c r="R12" i="6"/>
  <c r="S12" i="6" s="1"/>
  <c r="U12" i="6" s="1"/>
  <c r="J12" i="6" s="1"/>
  <c r="M12" i="6" s="1"/>
  <c r="G12" i="6" s="1"/>
  <c r="L14" i="3"/>
  <c r="P15" i="16" s="1"/>
  <c r="O12" i="8"/>
  <c r="N30" i="3"/>
  <c r="E14" i="9"/>
  <c r="K12" i="6"/>
  <c r="L15" i="7"/>
  <c r="S16" i="16" s="1"/>
  <c r="Q15" i="8"/>
  <c r="R15" i="8" s="1"/>
  <c r="S15" i="8" s="1"/>
  <c r="U15" i="8" s="1"/>
  <c r="J15" i="8" s="1"/>
  <c r="Q12" i="8"/>
  <c r="U13" i="8"/>
  <c r="J13" i="8" s="1"/>
  <c r="M13" i="8" s="1"/>
  <c r="G13" i="8" s="1"/>
  <c r="K14" i="16" s="1"/>
  <c r="K12" i="3"/>
  <c r="L12" i="3" s="1"/>
  <c r="P13" i="16" s="1"/>
  <c r="T15" i="3"/>
  <c r="K15" i="6"/>
  <c r="T15" i="6"/>
  <c r="K15" i="3"/>
  <c r="L15" i="3" s="1"/>
  <c r="P16" i="16" s="1"/>
  <c r="U14" i="8"/>
  <c r="J14" i="8" s="1"/>
  <c r="N30" i="8" s="1"/>
  <c r="L12" i="7"/>
  <c r="S13" i="16" s="1"/>
  <c r="T12" i="3"/>
  <c r="T12" i="6"/>
  <c r="F32" i="8"/>
  <c r="F35" i="8"/>
  <c r="R15" i="6"/>
  <c r="S15" i="6" s="1"/>
  <c r="U15" i="6" s="1"/>
  <c r="J15" i="6" s="1"/>
  <c r="M15" i="6" s="1"/>
  <c r="G15" i="6" s="1"/>
  <c r="M13" i="9"/>
  <c r="U14" i="13"/>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K15" i="8" l="1"/>
  <c r="L15" i="8" s="1"/>
  <c r="T16" i="16" s="1"/>
  <c r="Y16" i="13"/>
  <c r="Q15" i="9"/>
  <c r="I16" i="13"/>
  <c r="N14" i="9"/>
  <c r="R12" i="8"/>
  <c r="S12" i="8" s="1"/>
  <c r="U12" i="8" s="1"/>
  <c r="J12" i="8" s="1"/>
  <c r="M12" i="8" s="1"/>
  <c r="L12" i="6"/>
  <c r="R13" i="16" s="1"/>
  <c r="V15" i="13"/>
  <c r="T15" i="8"/>
  <c r="T12" i="8"/>
  <c r="K12" i="8"/>
  <c r="L13" i="8"/>
  <c r="T14" i="16" s="1"/>
  <c r="U13" i="2"/>
  <c r="J13" i="2" s="1"/>
  <c r="M13" i="2" s="1"/>
  <c r="G13" i="2" s="1"/>
  <c r="E14" i="16" s="1"/>
  <c r="I13" i="9"/>
  <c r="Q14" i="13"/>
  <c r="Y13" i="13"/>
  <c r="L15" i="6"/>
  <c r="R16" i="16" s="1"/>
  <c r="M14" i="8"/>
  <c r="G14" i="8" s="1"/>
  <c r="K15" i="16" s="1"/>
  <c r="L14" i="8"/>
  <c r="T15" i="16" s="1"/>
  <c r="Q12"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L13" i="2"/>
  <c r="N14" i="16" s="1"/>
  <c r="R13" i="9"/>
  <c r="G12" i="8"/>
  <c r="K13" i="16" s="1"/>
  <c r="Z14" i="13"/>
  <c r="L12" i="8"/>
  <c r="T13" i="16" s="1"/>
  <c r="E14" i="13"/>
  <c r="C13" i="9"/>
  <c r="Q15" i="13"/>
  <c r="P15" i="9"/>
  <c r="X16" i="13"/>
  <c r="I14" i="9"/>
  <c r="R14" i="9"/>
  <c r="Z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R12" i="9"/>
  <c r="I12" i="9"/>
  <c r="Z13" i="13"/>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<sst xmlns="http://schemas.openxmlformats.org/spreadsheetml/2006/main" count="654" uniqueCount="141">
  <si>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</si>
  <si>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</si>
  <si>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</si>
  <si>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</si>
  <si>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</si>
  <si>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</si>
  <si>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</si>
  <si>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</si>
  <si>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</si>
  <si>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</si>
  <si>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</si>
  <si>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</si>
  <si>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</si>
  <si>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</si>
  <si>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</si>
  <si>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</si>
  <si>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</si>
  <si>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</si>
  <si>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</si>
  <si>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</si>
  <si>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</si>
  <si>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</si>
  <si>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</si>
  <si>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</si>
  <si>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</si>
  <si>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</si>
  <si>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</si>
  <si>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</si>
  <si>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</si>
  <si>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</si>
  <si>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</si>
  <si>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</si>
  <si>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</si>
  <si>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</si>
  <si>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</si>
  <si>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</si>
  <si>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</si>
  <si>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</si>
  <si>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</si>
  <si>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</si>
  <si>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</si>
  <si>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</si>
  <si>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</si>
  <si>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</si>
  <si>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</si>
  <si>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</si>
  <si>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</si>
  <si>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</si>
  <si>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</si>
  <si>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</si>
  <si>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</si>
  <si>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</si>
  <si>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</si>
  <si>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</si>
  <si>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</si>
  <si>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</si>
  <si>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</si>
  <si>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</si>
  <si>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</si>
  <si>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</si>
  <si>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</si>
  <si>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</si>
  <si>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</si>
  <si>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</si>
  <si>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</si>
  <si>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</si>
  <si>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</si>
  <si>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</si>
  <si>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</si>
  <si>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</si>
  <si>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</si>
  <si>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</si>
  <si>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</si>
  <si>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</si>
  <si>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</si>
  <si>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</si>
  <si>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</si>
  <si>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</si>
  <si>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</si>
  <si>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</si>
  <si>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</si>
  <si>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</si>
  <si>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</si>
  <si>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</si>
  <si>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</si>
  <si>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</si>
  <si>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</si>
  <si>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</si>
  <si>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</si>
  <si>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</si>
  <si>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</si>
  <si>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</si>
  <si>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</si>
  <si>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</si>
  <si>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</si>
  <si>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</si>
  <si>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</si>
  <si>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</si>
  <si>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</si>
  <si>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</si>
  <si>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</si>
  <si>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</si>
  <si>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</si>
  <si>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</si>
  <si>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</si>
  <si>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</si>
  <si>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</si>
  <si>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</si>
  <si>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</si>
  <si>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</si>
  <si>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</si>
  <si>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</si>
  <si>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</si>
  <si>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</si>
  <si>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</si>
  <si>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</si>
  <si>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</si>
  <si>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</si>
  <si>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</si>
  <si>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</si>
  <si>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</si>
  <si>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</si>
  <si>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</si>
  <si>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</si>
  <si>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</si>
  <si>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</si>
  <si>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</si>
  <si>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</si>
  <si>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</si>
  <si>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</si>
  <si>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</si>
  <si>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</si>
  <si>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</si>
  <si>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</si>
  <si>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</si>
  <si>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</si>
  <si>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Shiawassee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</si>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</sst>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Shiawassee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N=31</c:v>
                </c:pt>
                <c:pt idx="2">
                  <c:v>Delinquent Findings, total N=60</c:v>
                </c:pt>
                <c:pt idx="3">
                  <c:v>Petitions, total N=59</c:v>
                </c:pt>
                <c:pt idx="4">
                  <c:v>Detentions, total N=7</c:v>
                </c:pt>
                <c:pt idx="5">
                  <c:v>Referrals, total N=135</c:v>
                </c:pt>
                <c:pt idx="6">
                  <c:v>Arrests, total N=19</c:v>
                </c:pt>
                <c:pt idx="7">
                  <c:v>Population, total N=6645</c:v>
                </c:pt>
              </c:strCache>
            </c:strRef>
          </c:cat>
          <c:val>
            <c:numRef>
              <c:f>'Stacked 100%'!$B$7:$B$14</c:f>
              <c:numCache>
                <c:formatCode>0%</c:formatCode>
                <c:ptCount val="8"/>
                <c:pt idx="0">
                  <c:v>0</c:v>
                </c:pt>
                <c:pt idx="1">
                  <c:v>6.4516129032258063E-2</c:v>
                </c:pt>
                <c:pt idx="2">
                  <c:v>8.3333333333333329E-2</c:v>
                </c:pt>
                <c:pt idx="3">
                  <c:v>8.4745762711864403E-2</c:v>
                </c:pt>
                <c:pt idx="4">
                  <c:v>0</c:v>
                </c:pt>
                <c:pt idx="5">
                  <c:v>6.6666666666666666E-2</c:v>
                </c:pt>
                <c:pt idx="6">
                  <c:v>5.2631578947368418E-2</c:v>
                </c:pt>
                <c:pt idx="7">
                  <c:v>1.7908201655379985E-2</c:v>
                </c:pt>
              </c:numCache>
            </c:numRef>
          </c:val>
          <c:extLst>
            <c:ext xmlns:c16="http://schemas.microsoft.com/office/drawing/2014/chart" uri="{C3380CC4-5D6E-409C-BE32-E72D297353CC}">
              <c16:uniqueId val="{00000000-4E04-41FA-8841-F7D5208053B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N=31</c:v>
                </c:pt>
                <c:pt idx="2">
                  <c:v>Delinquent Findings, total N=60</c:v>
                </c:pt>
                <c:pt idx="3">
                  <c:v>Petitions, total N=59</c:v>
                </c:pt>
                <c:pt idx="4">
                  <c:v>Detentions, total N=7</c:v>
                </c:pt>
                <c:pt idx="5">
                  <c:v>Referrals, total N=135</c:v>
                </c:pt>
                <c:pt idx="6">
                  <c:v>Arrests, total N=19</c:v>
                </c:pt>
                <c:pt idx="7">
                  <c:v>Population, total N=6645</c:v>
                </c:pt>
              </c:strCache>
            </c:strRef>
          </c:cat>
          <c:val>
            <c:numRef>
              <c:f>'Stacked 100%'!$C$7:$C$14</c:f>
              <c:numCache>
                <c:formatCode>0%</c:formatCode>
                <c:ptCount val="8"/>
                <c:pt idx="0">
                  <c:v>0</c:v>
                </c:pt>
                <c:pt idx="1">
                  <c:v>0</c:v>
                </c:pt>
                <c:pt idx="2">
                  <c:v>0</c:v>
                </c:pt>
                <c:pt idx="3">
                  <c:v>0</c:v>
                </c:pt>
                <c:pt idx="4">
                  <c:v>0</c:v>
                </c:pt>
                <c:pt idx="5">
                  <c:v>0</c:v>
                </c:pt>
                <c:pt idx="6">
                  <c:v>0</c:v>
                </c:pt>
                <c:pt idx="7">
                  <c:v>4.8006019563581644E-2</c:v>
                </c:pt>
              </c:numCache>
            </c:numRef>
          </c:val>
          <c:extLst>
            <c:ext xmlns:c16="http://schemas.microsoft.com/office/drawing/2014/chart" uri="{C3380CC4-5D6E-409C-BE32-E72D297353CC}">
              <c16:uniqueId val="{00000001-4E04-41FA-8841-F7D5208053B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N=31</c:v>
                </c:pt>
                <c:pt idx="2">
                  <c:v>Delinquent Findings, total N=60</c:v>
                </c:pt>
                <c:pt idx="3">
                  <c:v>Petitions, total N=59</c:v>
                </c:pt>
                <c:pt idx="4">
                  <c:v>Detentions, total N=7</c:v>
                </c:pt>
                <c:pt idx="5">
                  <c:v>Referrals, total N=135</c:v>
                </c:pt>
                <c:pt idx="6">
                  <c:v>Arrests, total N=19</c:v>
                </c:pt>
                <c:pt idx="7">
                  <c:v>Population, total N=6645</c:v>
                </c:pt>
              </c:strCache>
            </c:strRef>
          </c:cat>
          <c:val>
            <c:numRef>
              <c:f>'Stacked 100%'!$H$7:$H$14</c:f>
              <c:numCache>
                <c:formatCode>0%</c:formatCode>
                <c:ptCount val="8"/>
                <c:pt idx="0">
                  <c:v>0</c:v>
                </c:pt>
                <c:pt idx="1">
                  <c:v>0</c:v>
                </c:pt>
                <c:pt idx="2">
                  <c:v>0</c:v>
                </c:pt>
                <c:pt idx="3">
                  <c:v>0</c:v>
                </c:pt>
                <c:pt idx="4">
                  <c:v>0</c:v>
                </c:pt>
                <c:pt idx="5">
                  <c:v>0</c:v>
                </c:pt>
                <c:pt idx="6">
                  <c:v>0</c:v>
                </c:pt>
                <c:pt idx="7">
                  <c:v>2.1061678445919893E-6</c:v>
                </c:pt>
              </c:numCache>
            </c:numRef>
          </c:val>
          <c:extLst>
            <c:ext xmlns:c16="http://schemas.microsoft.com/office/drawing/2014/chart" uri="{C3380CC4-5D6E-409C-BE32-E72D297353CC}">
              <c16:uniqueId val="{00000002-4E04-41FA-8841-F7D5208053B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N=31</c:v>
                </c:pt>
                <c:pt idx="2">
                  <c:v>Delinquent Findings, total N=60</c:v>
                </c:pt>
                <c:pt idx="3">
                  <c:v>Petitions, total N=59</c:v>
                </c:pt>
                <c:pt idx="4">
                  <c:v>Detentions, total N=7</c:v>
                </c:pt>
                <c:pt idx="5">
                  <c:v>Referrals, total N=135</c:v>
                </c:pt>
                <c:pt idx="6">
                  <c:v>Arrests, total N=19</c:v>
                </c:pt>
                <c:pt idx="7">
                  <c:v>Population, total N=6645</c:v>
                </c:pt>
              </c:strCache>
            </c:strRef>
          </c:cat>
          <c:val>
            <c:numRef>
              <c:f>'Stacked 100%'!$I$7:$I$14</c:f>
              <c:numCache>
                <c:formatCode>0%</c:formatCode>
                <c:ptCount val="8"/>
                <c:pt idx="0">
                  <c:v>0</c:v>
                </c:pt>
                <c:pt idx="1">
                  <c:v>0.93548387096774188</c:v>
                </c:pt>
                <c:pt idx="2">
                  <c:v>0.9</c:v>
                </c:pt>
                <c:pt idx="3">
                  <c:v>0.89830508474576276</c:v>
                </c:pt>
                <c:pt idx="4">
                  <c:v>1</c:v>
                </c:pt>
                <c:pt idx="5">
                  <c:v>0.84444444444444444</c:v>
                </c:pt>
                <c:pt idx="6">
                  <c:v>0.89473684210526316</c:v>
                </c:pt>
                <c:pt idx="7">
                  <c:v>0.92009029345372462</c:v>
                </c:pt>
              </c:numCache>
            </c:numRef>
          </c:val>
          <c:extLst>
            <c:ext xmlns:c16="http://schemas.microsoft.com/office/drawing/2014/chart" uri="{C3380CC4-5D6E-409C-BE32-E72D297353CC}">
              <c16:uniqueId val="{00000003-4E04-41FA-8841-F7D5208053B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N=31</c:v>
                </c:pt>
                <c:pt idx="2">
                  <c:v>Delinquent Findings, total N=60</c:v>
                </c:pt>
                <c:pt idx="3">
                  <c:v>Petitions, total N=59</c:v>
                </c:pt>
                <c:pt idx="4">
                  <c:v>Detentions, total N=7</c:v>
                </c:pt>
                <c:pt idx="5">
                  <c:v>Referrals, total N=135</c:v>
                </c:pt>
                <c:pt idx="6">
                  <c:v>Arrests, total N=19</c:v>
                </c:pt>
                <c:pt idx="7">
                  <c:v>Population, total N=6645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E04-41FA-8841-F7D5208053B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6645</v>
      </c>
      <c r="C6" s="11">
        <v>6114</v>
      </c>
      <c r="D6" s="11">
        <v>119</v>
      </c>
      <c r="E6" s="11">
        <v>319</v>
      </c>
      <c r="F6" s="11">
        <v>61</v>
      </c>
      <c r="G6" s="11"/>
      <c r="H6" s="11">
        <v>32</v>
      </c>
      <c r="I6" s="11"/>
      <c r="J6" s="91">
        <f>SUM(D6:I6)</f>
        <v>531</v>
      </c>
      <c r="K6" s="92"/>
    </row>
    <row r="7" spans="1:11" ht="15.75" customHeight="1" thickBot="1">
      <c r="A7" s="10" t="s">
        <v>8</v>
      </c>
      <c r="B7" s="11">
        <f t="shared" ref="B7:B15" si="0">SUM(C7:I7)+K7</f>
        <v>19</v>
      </c>
      <c r="C7" s="11">
        <v>17</v>
      </c>
      <c r="D7" s="11">
        <v>1</v>
      </c>
      <c r="E7" s="11"/>
      <c r="F7" s="11"/>
      <c r="G7" s="11"/>
      <c r="H7" s="11"/>
      <c r="I7" s="11"/>
      <c r="J7" s="91">
        <f t="shared" ref="J7:J15" si="1">SUM(D7:I7)</f>
        <v>1</v>
      </c>
      <c r="K7" s="92">
        <v>1</v>
      </c>
    </row>
    <row r="8" spans="1:11" ht="15.75" customHeight="1" thickBot="1">
      <c r="A8" s="10" t="s">
        <v>9</v>
      </c>
      <c r="B8" s="11">
        <f t="shared" si="0"/>
        <v>135</v>
      </c>
      <c r="C8" s="11">
        <v>114</v>
      </c>
      <c r="D8" s="11">
        <v>9</v>
      </c>
      <c r="E8" s="11"/>
      <c r="F8" s="11"/>
      <c r="G8" s="11"/>
      <c r="H8" s="11"/>
      <c r="I8" s="11"/>
      <c r="J8" s="91">
        <f t="shared" si="1"/>
        <v>9</v>
      </c>
      <c r="K8" s="92">
        <v>12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7</v>
      </c>
      <c r="C10" s="11">
        <v>7</v>
      </c>
      <c r="D10" s="11"/>
      <c r="E10" s="11"/>
      <c r="F10" s="11"/>
      <c r="G10" s="11"/>
      <c r="H10" s="11"/>
      <c r="I10" s="11"/>
      <c r="J10" s="91">
        <f t="shared" si="1"/>
        <v>0</v>
      </c>
      <c r="K10" s="92"/>
    </row>
    <row r="11" spans="1:11" ht="15.75" customHeight="1" thickBot="1">
      <c r="A11" s="10" t="s">
        <v>12</v>
      </c>
      <c r="B11" s="11">
        <f t="shared" si="0"/>
        <v>59</v>
      </c>
      <c r="C11" s="11">
        <v>53</v>
      </c>
      <c r="D11" s="11">
        <v>5</v>
      </c>
      <c r="E11" s="11"/>
      <c r="F11" s="11"/>
      <c r="G11" s="11"/>
      <c r="H11" s="11"/>
      <c r="I11" s="11"/>
      <c r="J11" s="91">
        <f t="shared" si="1"/>
        <v>5</v>
      </c>
      <c r="K11" s="92">
        <v>1</v>
      </c>
    </row>
    <row r="12" spans="1:11" ht="15.75" customHeight="1" thickBot="1">
      <c r="A12" s="10" t="s">
        <v>13</v>
      </c>
      <c r="B12" s="11">
        <f t="shared" si="0"/>
        <v>60</v>
      </c>
      <c r="C12" s="11">
        <v>54</v>
      </c>
      <c r="D12" s="11">
        <v>5</v>
      </c>
      <c r="E12" s="11"/>
      <c r="F12" s="11"/>
      <c r="G12" s="11"/>
      <c r="H12" s="11"/>
      <c r="I12" s="11"/>
      <c r="J12" s="91">
        <f t="shared" si="1"/>
        <v>5</v>
      </c>
      <c r="K12" s="92">
        <v>1</v>
      </c>
    </row>
    <row r="13" spans="1:11" ht="15.75" customHeight="1" thickBot="1">
      <c r="A13" s="10" t="s">
        <v>133</v>
      </c>
      <c r="B13" s="11">
        <f t="shared" si="0"/>
        <v>94</v>
      </c>
      <c r="C13" s="11">
        <v>84</v>
      </c>
      <c r="D13" s="11">
        <v>8</v>
      </c>
      <c r="E13" s="11"/>
      <c r="F13" s="11"/>
      <c r="G13" s="11"/>
      <c r="H13" s="11"/>
      <c r="I13" s="11"/>
      <c r="J13" s="91">
        <f t="shared" si="1"/>
        <v>8</v>
      </c>
      <c r="K13" s="92">
        <v>2</v>
      </c>
    </row>
    <row r="14" spans="1:11" ht="26.25" customHeight="1" thickBot="1">
      <c r="A14" s="10" t="s">
        <v>123</v>
      </c>
      <c r="B14" s="11">
        <f t="shared" si="0"/>
        <v>31</v>
      </c>
      <c r="C14" s="11">
        <v>29</v>
      </c>
      <c r="D14" s="11">
        <v>2</v>
      </c>
      <c r="E14" s="11"/>
      <c r="F14" s="11"/>
      <c r="G14" s="11"/>
      <c r="H14" s="11"/>
      <c r="I14" s="11"/>
      <c r="J14" s="91">
        <f t="shared" si="1"/>
        <v>2</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6097</v>
      </c>
      <c r="R7" s="42">
        <f t="shared" ref="R7:R15" si="5">SUM(N7:Q7)</f>
        <v>6114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114</v>
      </c>
      <c r="D8" s="34">
        <f>IF((AND(C67&gt;0,C8&gt;0)),(C8/C67),0)</f>
        <v>670.58823529411757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114</v>
      </c>
      <c r="Q8" s="42">
        <f>(C$67*L67)-C8</f>
        <v>-97</v>
      </c>
      <c r="R8" s="42">
        <f t="shared" si="5"/>
        <v>17.049999999999997</v>
      </c>
      <c r="S8" s="30">
        <f t="shared" si="6"/>
        <v>553.95449999999994</v>
      </c>
      <c r="T8" s="30">
        <f t="shared" si="7"/>
        <v>-9394.4549999999999</v>
      </c>
      <c r="U8" s="31">
        <f t="shared" si="8"/>
        <v>-5.8966113521220755E-2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113.99999999999999</v>
      </c>
      <c r="R9" s="42">
        <f t="shared" si="5"/>
        <v>113.99999999999999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6.1403508771929829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106.99999999999999</v>
      </c>
      <c r="R10" s="42">
        <f t="shared" si="5"/>
        <v>113.99999999999999</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46.491228070175445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60.999999999999986</v>
      </c>
      <c r="R11" s="42">
        <f t="shared" si="5"/>
        <v>113.99999999999999</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101.88679245283018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v>
      </c>
      <c r="R12" s="42">
        <f t="shared" si="5"/>
        <v>53</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155.55555555555554</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-30</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25</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0</v>
      </c>
      <c r="E42" s="56">
        <f>MAX(C42:D42)</f>
        <v>6.1139999999999999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1.1399999999999999</v>
      </c>
      <c r="D44" s="56">
        <f>E8/100</f>
        <v>0</v>
      </c>
      <c r="E44" s="56">
        <f>MAX(C44:D44,0)</f>
        <v>1.1399999999999999</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0</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0</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0</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0</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Entry'!J6</f>
        <v>531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Entry'!J7</f>
        <v>1</v>
      </c>
      <c r="F7" s="34">
        <f>IF((AND($E$7&gt;0,$D$66&gt;0)),($E$7/$D$66),0)</f>
        <v>1.8832391713747645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530</v>
      </c>
      <c r="P7" s="42">
        <f t="shared" ref="P7:P15" si="4">C7</f>
        <v>17</v>
      </c>
      <c r="Q7" s="42">
        <f>C6-C7</f>
        <v>6097</v>
      </c>
      <c r="R7" s="42">
        <f t="shared" ref="R7:R15" si="5">SUM(N7:Q7)</f>
        <v>6645</v>
      </c>
      <c r="S7" s="30">
        <f t="shared" ref="S7:S15" si="6">R7*((((N7*Q7)-(O7*P7))^2))</f>
        <v>56386606005</v>
      </c>
      <c r="T7" s="30">
        <f t="shared" ref="T7:T15" si="7">(N7+O7)*(P7+Q7)*(N7+P7)*(O7+Q7)</f>
        <v>387266054724</v>
      </c>
      <c r="U7" s="31">
        <f t="shared" ref="U7:U15" si="8">IF((S7&gt;0),S7/T7,"- -")</f>
        <v>0.1456017260412511</v>
      </c>
    </row>
    <row r="8" spans="2:21" ht="18" customHeight="1">
      <c r="B8" s="32" t="str">
        <f>'Data Entry'!A8</f>
        <v>3. Refer to Juvenile Court</v>
      </c>
      <c r="C8" s="33">
        <f>'Data Entry'!C8</f>
        <v>114</v>
      </c>
      <c r="D8" s="34">
        <f>IF((AND(C67&gt;0,C8&gt;0)),(C8/C67),0)</f>
        <v>670.58823529411757</v>
      </c>
      <c r="E8" s="33">
        <f>'Data Entry'!J8</f>
        <v>9</v>
      </c>
      <c r="F8" s="34">
        <f>IF((AND($E$8&gt;0,$D$67&gt;0)),($E8/$D67),0)</f>
        <v>900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9</v>
      </c>
      <c r="O8" s="42">
        <f>((D67*L67)-E8)+0.05</f>
        <v>-7.95</v>
      </c>
      <c r="P8" s="42">
        <f t="shared" si="4"/>
        <v>114</v>
      </c>
      <c r="Q8" s="42">
        <f>(C$67*L67)-C8</f>
        <v>-97</v>
      </c>
      <c r="R8" s="42">
        <f t="shared" si="5"/>
        <v>18.049999999999997</v>
      </c>
      <c r="S8" s="30">
        <f t="shared" si="6"/>
        <v>20015.464500000082</v>
      </c>
      <c r="T8" s="30">
        <f t="shared" si="7"/>
        <v>-230422.97249999997</v>
      </c>
      <c r="U8" s="31">
        <f t="shared" si="8"/>
        <v>-8.6864014828209393E-2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9</v>
      </c>
      <c r="P9" s="42">
        <f t="shared" si="4"/>
        <v>0</v>
      </c>
      <c r="Q9" s="42">
        <f>(C$68*L68)-C9</f>
        <v>113.99999999999999</v>
      </c>
      <c r="R9" s="42">
        <f t="shared" si="5"/>
        <v>122.99999999999999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6.1403508771929829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9</v>
      </c>
      <c r="P10" s="42">
        <f t="shared" si="4"/>
        <v>7</v>
      </c>
      <c r="Q10" s="42">
        <f>(C$68*L68)-C10</f>
        <v>106.99999999999999</v>
      </c>
      <c r="R10" s="42">
        <f t="shared" si="5"/>
        <v>122.99999999999999</v>
      </c>
      <c r="S10" s="30">
        <f t="shared" si="6"/>
        <v>488186.99999999994</v>
      </c>
      <c r="T10" s="30">
        <f t="shared" si="7"/>
        <v>833111.99999999965</v>
      </c>
      <c r="U10" s="31">
        <f t="shared" si="8"/>
        <v>0.58598003629764084</v>
      </c>
    </row>
    <row r="11" spans="2:21" ht="18" customHeight="1">
      <c r="B11" s="32" t="str">
        <f>'Data Entry'!A11</f>
        <v>6. Cases Petitioned (Charge Filed)</v>
      </c>
      <c r="C11" s="33">
        <f>'Data Entry'!C11</f>
        <v>53</v>
      </c>
      <c r="D11" s="34">
        <f>IF(((AND(C68&gt;0,C11&gt;0))),(C11/(C68)),0)</f>
        <v>46.491228070175445</v>
      </c>
      <c r="E11" s="33">
        <f>'Data Entry'!J11</f>
        <v>5</v>
      </c>
      <c r="F11" s="34">
        <f>IF(((AND($E$11&gt;0,$D$68&gt;0))),($E$11/($D$68)),0)</f>
        <v>55.555555555555557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4</v>
      </c>
      <c r="P11" s="42">
        <f t="shared" si="4"/>
        <v>53</v>
      </c>
      <c r="Q11" s="42">
        <f>(C$68*L68)-C11</f>
        <v>60.999999999999986</v>
      </c>
      <c r="R11" s="42">
        <f t="shared" si="5"/>
        <v>122.99999999999999</v>
      </c>
      <c r="S11" s="30">
        <f t="shared" si="6"/>
        <v>1063826.9999999986</v>
      </c>
      <c r="T11" s="30">
        <f t="shared" si="7"/>
        <v>3868019.9999999981</v>
      </c>
      <c r="U11" s="31">
        <f t="shared" si="8"/>
        <v>0.27503141141979592</v>
      </c>
    </row>
    <row r="12" spans="2:21" ht="18" customHeight="1">
      <c r="B12" s="32" t="str">
        <f>'Data Entry'!A12</f>
        <v>7. Cases Resulting in Delinquent Findings</v>
      </c>
      <c r="C12" s="33">
        <f>'Data Entry'!C12</f>
        <v>54</v>
      </c>
      <c r="D12" s="34">
        <f>IF(((AND(C69&gt;0,C12&gt;0))),(C12/(C69)),0)</f>
        <v>101.88679245283018</v>
      </c>
      <c r="E12" s="33">
        <f>'Data Entry'!J12</f>
        <v>5</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0</v>
      </c>
      <c r="P12" s="42">
        <f t="shared" si="4"/>
        <v>54</v>
      </c>
      <c r="Q12" s="42">
        <f>(C69*L69)-C12</f>
        <v>-1</v>
      </c>
      <c r="R12" s="42">
        <f t="shared" si="5"/>
        <v>58</v>
      </c>
      <c r="S12" s="30">
        <f t="shared" si="6"/>
        <v>1450</v>
      </c>
      <c r="T12" s="30">
        <f t="shared" si="7"/>
        <v>-15635</v>
      </c>
      <c r="U12" s="31">
        <f t="shared" si="8"/>
        <v>-9.2740645986568601E-2</v>
      </c>
    </row>
    <row r="13" spans="2:21" ht="18" customHeight="1">
      <c r="B13" s="32" t="str">
        <f>'Data Entry'!A13</f>
        <v>8. Cases Resulting in Probation Placement</v>
      </c>
      <c r="C13" s="33">
        <f>'Data Entry'!C13</f>
        <v>84</v>
      </c>
      <c r="D13" s="34">
        <f>IF(((AND(C70&gt;0,C13&gt;0))),(C13/(C70)),0)</f>
        <v>155.55555555555554</v>
      </c>
      <c r="E13" s="33">
        <f>'Data Entry'!J13</f>
        <v>8</v>
      </c>
      <c r="F13" s="34">
        <f>IF(((AND($D$70&gt;0,$E$13&gt;0))),($E$13/($D$70)),0)</f>
        <v>160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8</v>
      </c>
      <c r="O13" s="42">
        <f>(D70*L70)-E13</f>
        <v>-3</v>
      </c>
      <c r="P13" s="42">
        <f t="shared" si="4"/>
        <v>84</v>
      </c>
      <c r="Q13" s="42">
        <f>(C70*L70)-C13</f>
        <v>-30</v>
      </c>
      <c r="R13" s="42">
        <f t="shared" si="5"/>
        <v>59</v>
      </c>
      <c r="S13" s="30">
        <f t="shared" si="6"/>
        <v>8496</v>
      </c>
      <c r="T13" s="30">
        <f t="shared" si="7"/>
        <v>-819720</v>
      </c>
      <c r="U13" s="31">
        <f t="shared" si="8"/>
        <v>-1.0364514712340799E-2</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Entry'!J14</f>
        <v>2</v>
      </c>
      <c r="F14" s="34">
        <f>IF(((AND($D$70&gt;0,$E$14&gt;0))), (($E$14/($D$70))),0)</f>
        <v>40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3</v>
      </c>
      <c r="P14" s="42">
        <f t="shared" si="4"/>
        <v>29</v>
      </c>
      <c r="Q14" s="42">
        <f>(C70*L70)-C14</f>
        <v>25</v>
      </c>
      <c r="R14" s="42">
        <f t="shared" si="5"/>
        <v>59</v>
      </c>
      <c r="S14" s="30">
        <f t="shared" si="6"/>
        <v>80771</v>
      </c>
      <c r="T14" s="30">
        <f t="shared" si="7"/>
        <v>234360</v>
      </c>
      <c r="U14" s="31">
        <f t="shared" si="8"/>
        <v>0.34464499061273257</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53</v>
      </c>
      <c r="R15" s="42">
        <f t="shared" si="5"/>
        <v>58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0.53100000000000003</v>
      </c>
      <c r="E42" s="56">
        <f>MAX(C42:D42)</f>
        <v>6.1139999999999999</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1.1399999999999999</v>
      </c>
      <c r="D44" s="56">
        <f>E8/100</f>
        <v>0.09</v>
      </c>
      <c r="E44" s="56">
        <f>MAX(C44:D44,0)</f>
        <v>1.1399999999999999</v>
      </c>
      <c r="G44" s="1" t="str">
        <f>B44</f>
        <v>per 100 referrals</v>
      </c>
      <c r="L44" s="57">
        <v>100</v>
      </c>
      <c r="M44" s="57"/>
      <c r="R44" s="49"/>
    </row>
    <row r="45" spans="2:18" ht="15" hidden="1" customHeight="1">
      <c r="B45" s="49" t="s">
        <v>89</v>
      </c>
      <c r="C45" s="49">
        <f>C11/100</f>
        <v>0.53</v>
      </c>
      <c r="D45" s="49">
        <f>E11/100</f>
        <v>0.05</v>
      </c>
      <c r="E45" s="56">
        <f>MAX(C45:D45,0)</f>
        <v>0.53</v>
      </c>
      <c r="G45" s="1" t="str">
        <f>B45</f>
        <v>per 100 youth petitioned</v>
      </c>
      <c r="L45" s="57">
        <v>100</v>
      </c>
      <c r="M45" s="57"/>
      <c r="R45" s="49"/>
    </row>
    <row r="46" spans="2:18" ht="15" hidden="1" customHeight="1">
      <c r="B46" s="49" t="s">
        <v>90</v>
      </c>
      <c r="C46" s="49">
        <f>C12/100</f>
        <v>0.54</v>
      </c>
      <c r="D46" s="49">
        <f>E12/100</f>
        <v>0.05</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0.53100000000000003</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0.09</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0.05</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0.05</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0.53100000000000003</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0.09</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0.05</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0.05</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0.53100000000000003</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0.09</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0.05</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0.05</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0.53100000000000003</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0.09</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0.05</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0.05</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Shiawassee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6645</v>
      </c>
      <c r="D3" s="57">
        <f>'Data Entry'!C6</f>
        <v>6114</v>
      </c>
      <c r="E3" s="57">
        <f>'Data Entry'!D6</f>
        <v>119</v>
      </c>
      <c r="F3" s="57">
        <f>'Data Entry'!E6</f>
        <v>319</v>
      </c>
      <c r="G3" s="57">
        <f>'Data Entry'!F6</f>
        <v>61</v>
      </c>
      <c r="H3" s="57">
        <f>'Data Entry'!G6</f>
        <v>0</v>
      </c>
      <c r="I3" s="57">
        <f>'Data Entry'!H6</f>
        <v>32</v>
      </c>
      <c r="J3" s="57">
        <f>'Data Entry'!I6</f>
        <v>0</v>
      </c>
      <c r="K3" s="57">
        <f>'Data Entry'!J6</f>
        <v>531</v>
      </c>
    </row>
    <row r="4" spans="2:11" ht="15" customHeight="1">
      <c r="B4" s="16" t="s">
        <v>8</v>
      </c>
      <c r="C4" s="1">
        <f>IF((C$3&gt;0),(1000*('Data Entry'!B7/'Data Entry'!B$6)), 0)</f>
        <v>2.8592927012791574</v>
      </c>
      <c r="D4" s="1">
        <f>IF((D$3&gt;0),(1000*('Data Entry'!C7/'Data Entry'!C$6)), 0)</f>
        <v>2.7805037618580308</v>
      </c>
      <c r="E4" s="1">
        <f>IF((E$3&gt;0),(1000*('Data Entry'!D7/'Data Entry'!D$6)), 0)</f>
        <v>8.4033613445378155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1.8832391713747645</v>
      </c>
    </row>
    <row r="5" spans="2:11" ht="15" customHeight="1">
      <c r="B5" s="16" t="s">
        <v>9</v>
      </c>
      <c r="C5" s="1">
        <f>IF((C$3&gt;0),(1000*('Data Entry'!B8/'Data Entry'!B$6)), 0)</f>
        <v>20.316027088036115</v>
      </c>
      <c r="D5" s="1">
        <f>IF((D$3&gt;0),(1000*('Data Entry'!C8/'Data Entry'!C$6)), 0)</f>
        <v>18.645731108930324</v>
      </c>
      <c r="E5" s="1">
        <f>IF((E$3&gt;0),(1000*('Data Entry'!D8/'Data Entry'!D$6)), 0)</f>
        <v>75.630252100840337</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16.949152542372882</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1.053423626787058</v>
      </c>
      <c r="D7" s="1">
        <f>IF((D$3&gt;0),(1000*('Data Entry'!C10/'Data Entry'!C$6)), 0)</f>
        <v>1.1449133137062482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8.8788562829194895</v>
      </c>
      <c r="D8" s="1">
        <f>IF((D$3&gt;0),(1000*('Data Entry'!C11/'Data Entry'!C$6)), 0)</f>
        <v>8.6686293752044481</v>
      </c>
      <c r="E8" s="1">
        <f>IF((E$3&gt;0),(1000*('Data Entry'!D11/'Data Entry'!D$6)), 0)</f>
        <v>42.016806722689076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9.4161958568738218</v>
      </c>
    </row>
    <row r="9" spans="2:11" ht="15" customHeight="1">
      <c r="B9" s="16" t="s">
        <v>13</v>
      </c>
      <c r="C9" s="1">
        <f>IF((C$3&gt;0),(1000*('Data Entry'!B12/'Data Entry'!B$6)), 0)</f>
        <v>9.0293453724604955</v>
      </c>
      <c r="D9" s="1">
        <f>IF((D$3&gt;0),(1000*('Data Entry'!C12/'Data Entry'!C$6)), 0)</f>
        <v>8.8321884200196283</v>
      </c>
      <c r="E9" s="1">
        <f>IF((E$3&gt;0),(1000*('Data Entry'!D12/'Data Entry'!D$6)), 0)</f>
        <v>42.016806722689076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9.4161958568738218</v>
      </c>
    </row>
    <row r="10" spans="2:11" ht="15" customHeight="1">
      <c r="B10" s="16" t="s">
        <v>14</v>
      </c>
      <c r="C10" s="1">
        <f>IF((C$3&gt;0),(1000*('Data Entry'!B13/'Data Entry'!B$6)), 0)</f>
        <v>14.145974416854779</v>
      </c>
      <c r="D10" s="1">
        <f>IF((D$3&gt;0),(1000*('Data Entry'!C13/'Data Entry'!C$6)), 0)</f>
        <v>13.738959764474975</v>
      </c>
      <c r="E10" s="1">
        <f>IF((E$3&gt;0),(1000*('Data Entry'!D13/'Data Entry'!D$6)), 0)</f>
        <v>67.226890756302524</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15.065913370998116</v>
      </c>
    </row>
    <row r="11" spans="2:11" ht="25.5" customHeight="1">
      <c r="B11" s="16" t="s">
        <v>15</v>
      </c>
      <c r="C11" s="1">
        <f>IF((C$3&gt;0),(1000*('Data Entry'!B14/'Data Entry'!B$6)), 0)</f>
        <v>4.6651617757712565</v>
      </c>
      <c r="D11" s="1">
        <f>IF((D$3&gt;0),(1000*('Data Entry'!C14/'Data Entry'!C$6)), 0)</f>
        <v>4.7432122996401702</v>
      </c>
      <c r="E11" s="1">
        <f>IF((E$3&gt;0),(1000*('Data Entry'!D14/'Data Entry'!D$6)), 0)</f>
        <v>16.806722689075631</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3.766478342749529</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Shiawassee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3.022244191794365</v>
      </c>
      <c r="E19" s="72" t="str">
        <f t="shared" si="1"/>
        <v>--</v>
      </c>
      <c r="F19" s="72" t="str">
        <f t="shared" si="1"/>
        <v>--</v>
      </c>
      <c r="G19" s="72" t="str">
        <f t="shared" si="1"/>
        <v>--</v>
      </c>
      <c r="H19" s="72" t="str">
        <f t="shared" si="1"/>
        <v>--</v>
      </c>
      <c r="I19" s="72" t="str">
        <f t="shared" si="1"/>
        <v>--</v>
      </c>
      <c r="J19" s="73">
        <f t="shared" si="1"/>
        <v>0.67730142904619473</v>
      </c>
    </row>
    <row r="20" spans="2:10" ht="15" customHeight="1">
      <c r="B20" s="71" t="s">
        <v>9</v>
      </c>
      <c r="C20" s="72">
        <f t="shared" ref="C20:J27" si="2">IF(AND(($D5&gt;0),(D5&gt;0)), (D5/$D5),"--")</f>
        <v>1</v>
      </c>
      <c r="D20" s="72">
        <f t="shared" si="2"/>
        <v>4.0561698363555951</v>
      </c>
      <c r="E20" s="72" t="str">
        <f t="shared" si="2"/>
        <v>--</v>
      </c>
      <c r="F20" s="72" t="str">
        <f t="shared" si="2"/>
        <v>--</v>
      </c>
      <c r="G20" s="72" t="str">
        <f t="shared" si="2"/>
        <v>--</v>
      </c>
      <c r="H20" s="72" t="str">
        <f t="shared" si="2"/>
        <v>--</v>
      </c>
      <c r="I20" s="72" t="str">
        <f t="shared" si="2"/>
        <v>--</v>
      </c>
      <c r="J20" s="73">
        <f t="shared" si="2"/>
        <v>0.90900981266726144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4.8469954019343593</v>
      </c>
      <c r="E23" s="72" t="str">
        <f t="shared" si="2"/>
        <v>--</v>
      </c>
      <c r="F23" s="72" t="str">
        <f t="shared" si="2"/>
        <v>--</v>
      </c>
      <c r="G23" s="72" t="str">
        <f t="shared" si="2"/>
        <v>--</v>
      </c>
      <c r="H23" s="72" t="str">
        <f t="shared" si="2"/>
        <v>--</v>
      </c>
      <c r="I23" s="72" t="str">
        <f t="shared" si="2"/>
        <v>--</v>
      </c>
      <c r="J23" s="73">
        <f t="shared" si="2"/>
        <v>1.0862381409231425</v>
      </c>
    </row>
    <row r="24" spans="2:10" ht="15" customHeight="1">
      <c r="B24" s="71" t="s">
        <v>13</v>
      </c>
      <c r="C24" s="72">
        <f t="shared" si="2"/>
        <v>1</v>
      </c>
      <c r="D24" s="72">
        <f t="shared" si="2"/>
        <v>4.7572362278244622</v>
      </c>
      <c r="E24" s="72" t="str">
        <f t="shared" si="2"/>
        <v>--</v>
      </c>
      <c r="F24" s="72" t="str">
        <f t="shared" si="2"/>
        <v>--</v>
      </c>
      <c r="G24" s="72" t="str">
        <f t="shared" si="2"/>
        <v>--</v>
      </c>
      <c r="H24" s="72" t="str">
        <f t="shared" si="2"/>
        <v>--</v>
      </c>
      <c r="I24" s="72" t="str">
        <f t="shared" si="2"/>
        <v>--</v>
      </c>
      <c r="J24" s="73">
        <f t="shared" si="2"/>
        <v>1.0661226197949358</v>
      </c>
    </row>
    <row r="25" spans="2:10" ht="15" customHeight="1">
      <c r="B25" s="71" t="s">
        <v>14</v>
      </c>
      <c r="C25" s="72">
        <f t="shared" si="2"/>
        <v>1</v>
      </c>
      <c r="D25" s="72">
        <f t="shared" si="2"/>
        <v>4.8931572629051621</v>
      </c>
      <c r="E25" s="72" t="str">
        <f t="shared" si="2"/>
        <v>--</v>
      </c>
      <c r="F25" s="72" t="str">
        <f t="shared" si="2"/>
        <v>--</v>
      </c>
      <c r="G25" s="72" t="str">
        <f t="shared" si="2"/>
        <v>--</v>
      </c>
      <c r="H25" s="72" t="str">
        <f t="shared" si="2"/>
        <v>--</v>
      </c>
      <c r="I25" s="72" t="str">
        <f t="shared" si="2"/>
        <v>--</v>
      </c>
      <c r="J25" s="73">
        <f t="shared" si="2"/>
        <v>1.0965832660747914</v>
      </c>
    </row>
    <row r="26" spans="2:10" ht="25.5" customHeight="1">
      <c r="B26" s="71" t="s">
        <v>15</v>
      </c>
      <c r="C26" s="72">
        <f t="shared" si="2"/>
        <v>1</v>
      </c>
      <c r="D26" s="72">
        <f t="shared" si="2"/>
        <v>3.5433207765864969</v>
      </c>
      <c r="E26" s="72" t="str">
        <f t="shared" si="2"/>
        <v>--</v>
      </c>
      <c r="F26" s="72" t="str">
        <f t="shared" si="2"/>
        <v>--</v>
      </c>
      <c r="G26" s="72" t="str">
        <f t="shared" si="2"/>
        <v>--</v>
      </c>
      <c r="H26" s="72" t="str">
        <f t="shared" si="2"/>
        <v>--</v>
      </c>
      <c r="I26" s="72" t="str">
        <f t="shared" si="2"/>
        <v>--</v>
      </c>
      <c r="J26" s="73">
        <f t="shared" si="2"/>
        <v>0.79407753750243515</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Shiawassee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6114</v>
      </c>
      <c r="D7" s="104">
        <f>'Data Entry'!D6</f>
        <v>119</v>
      </c>
      <c r="E7" s="105"/>
      <c r="F7" s="106">
        <f>'Data Entry'!E6</f>
        <v>319</v>
      </c>
      <c r="G7" s="105"/>
      <c r="H7" s="106">
        <f>'Data Entry'!F6</f>
        <v>61</v>
      </c>
      <c r="I7" s="105"/>
      <c r="J7" s="106">
        <f>'Data Entry'!G6</f>
        <v>0</v>
      </c>
      <c r="K7" s="105"/>
      <c r="L7" s="106">
        <f>'Data Entry'!H6</f>
        <v>32</v>
      </c>
      <c r="M7" s="105"/>
      <c r="N7" s="106">
        <f>'Data Entry'!I6</f>
        <v>0</v>
      </c>
      <c r="O7" s="105"/>
      <c r="P7" s="106">
        <f>'Data Entry'!J6</f>
        <v>531</v>
      </c>
      <c r="Q7" s="107"/>
    </row>
    <row r="8" spans="2:26" s="1" customFormat="1" ht="15" customHeight="1">
      <c r="B8" s="142" t="s">
        <v>8</v>
      </c>
      <c r="C8" s="103">
        <f>'Data Entry'!C7</f>
        <v>17</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114</v>
      </c>
      <c r="D9" s="108">
        <f>'Data Entry'!D8</f>
        <v>9</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9</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7</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53</v>
      </c>
      <c r="D12" s="112">
        <f>'Data Entry'!D11</f>
        <v>5</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5</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54</v>
      </c>
      <c r="D13" s="108">
        <f>'Data Entry'!D12</f>
        <v>5</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5</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84</v>
      </c>
      <c r="D14" s="112">
        <f>'Data Entry'!D13</f>
        <v>8</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8</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29</v>
      </c>
      <c r="D15" s="108">
        <f>'Data Entry'!D14</f>
        <v>2</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2</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Shiawassee</v>
      </c>
    </row>
    <row r="6" spans="1:12">
      <c r="A6" s="135" t="str">
        <f>CONCATENATE("Percentage of Minorities at Stages of the Juvenile Justice System, ", A5, " 2022")</f>
        <v>Percentage of Minorities at Stages of the Juvenile Justice System, County: Shiawassee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11.514124293785311</v>
      </c>
    </row>
    <row r="8" spans="1:12" ht="25.5" customHeight="1">
      <c r="A8" s="151" t="str">
        <f>CONCATENATE("Confinement, total N=", 'Data Entry'!B14)</f>
        <v>Confinement, total N=31</v>
      </c>
      <c r="B8" s="150">
        <f>'Data Entry'!D14/'Data Entry'!B14</f>
        <v>6.4516129032258063E-2</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0.93548387096774188</v>
      </c>
      <c r="K8" s="96" t="str">
        <f>A8</f>
        <v>Confinement, total N=31</v>
      </c>
      <c r="L8">
        <f>I14/(SUM(B14:G14))</f>
        <v>11.514124293785311</v>
      </c>
    </row>
    <row r="9" spans="1:12">
      <c r="A9" s="128" t="str">
        <f>CONCATENATE("Delinquent Findings, total N=", 'Data Entry'!B12)</f>
        <v>Delinquent Findings, total N=60</v>
      </c>
      <c r="B9" s="150">
        <f>'Data Entry'!D12/'Data Entry'!B12</f>
        <v>8.3333333333333329E-2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v>
      </c>
      <c r="K9" s="96" t="str">
        <f t="shared" si="0"/>
        <v>Delinquent Findings, total N=60</v>
      </c>
      <c r="L9">
        <f>I14/(SUM(B14:G14))</f>
        <v>11.514124293785311</v>
      </c>
    </row>
    <row r="10" spans="1:12">
      <c r="A10" s="128" t="str">
        <f>CONCATENATE("Petitions, total N=", 'Data Entry'!B11)</f>
        <v>Petitions, total N=59</v>
      </c>
      <c r="B10" s="150">
        <f>'Data Entry'!D11/'Data Entry'!B11</f>
        <v>8.4745762711864403E-2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0.89830508474576276</v>
      </c>
      <c r="K10" s="96" t="str">
        <f t="shared" si="0"/>
        <v>Petitions, total N=59</v>
      </c>
      <c r="L10">
        <f>I14/(SUM(B14:G14))</f>
        <v>11.514124293785311</v>
      </c>
    </row>
    <row r="11" spans="1:12">
      <c r="A11" s="128" t="str">
        <f>CONCATENATE("Detentions, total N=", 'Data Entry'!B10)</f>
        <v>Detentions, total N=7</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N=7</v>
      </c>
      <c r="L11">
        <f>I14/(SUM(B14:G14))</f>
        <v>11.514124293785311</v>
      </c>
    </row>
    <row r="12" spans="1:12">
      <c r="A12" s="128" t="str">
        <f>CONCATENATE("Referrals, total N=", 'Data Entry'!B8)</f>
        <v>Referrals, total N=135</v>
      </c>
      <c r="B12" s="150">
        <f>'Data Entry'!D8/'Data Entry'!B8</f>
        <v>6.6666666666666666E-2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0.84444444444444444</v>
      </c>
      <c r="K12" s="96" t="str">
        <f t="shared" si="0"/>
        <v>Referrals, total N=135</v>
      </c>
      <c r="L12">
        <f>I14/(SUM(B14:G14))</f>
        <v>11.514124293785311</v>
      </c>
    </row>
    <row r="13" spans="1:12">
      <c r="A13" s="128" t="str">
        <f>CONCATENATE("Arrests, total N=", 'Data Entry'!B7)</f>
        <v>Arrests, total N=19</v>
      </c>
      <c r="B13" s="150">
        <f>'Data Entry'!D7/'Data Entry'!B7</f>
        <v>5.2631578947368418E-2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0.89473684210526316</v>
      </c>
      <c r="K13" s="96" t="str">
        <f t="shared" si="0"/>
        <v>Arrests, total N=19</v>
      </c>
      <c r="L13">
        <f>I14/(SUM(B14:G14))</f>
        <v>11.514124293785311</v>
      </c>
    </row>
    <row r="14" spans="1:12">
      <c r="A14" s="128" t="str">
        <f>CONCATENATE("Population, total N=", 'Data Entry'!B6)</f>
        <v>Population, total N=6645</v>
      </c>
      <c r="B14" s="150">
        <f>'Data Entry'!D6/'Data Entry'!B6</f>
        <v>1.7908201655379985E-2</v>
      </c>
      <c r="C14" s="150">
        <f>'Data Entry'!E6/'Data Entry'!B6</f>
        <v>4.8006019563581644E-2</v>
      </c>
      <c r="D14" s="150">
        <f>'Data Entry'!F6/'Data Entry'!B6</f>
        <v>9.1798344620015043E-3</v>
      </c>
      <c r="E14" s="150">
        <f>'Data Entry'!G6/'Data Entry'!B6</f>
        <v>0</v>
      </c>
      <c r="F14" s="150">
        <f>'Data Entry'!H6/'Data Entry'!B6</f>
        <v>4.8156508653122649E-3</v>
      </c>
      <c r="G14" s="150">
        <f>'Data Entry'!I6/'Data Entry'!B6</f>
        <v>0</v>
      </c>
      <c r="H14" s="150">
        <f>SUM(D14:G14)/'Data Entry'!B6</f>
        <v>2.1061678445919893E-6</v>
      </c>
      <c r="I14" s="150">
        <f>'Data Entry'!C6/'Data Entry'!B6</f>
        <v>0.92009029345372462</v>
      </c>
      <c r="K14" s="96" t="str">
        <f t="shared" si="0"/>
        <v>Population, total N=6645</v>
      </c>
      <c r="L14">
        <f>I14/(SUM(B14:G14))</f>
        <v>11.514124293785311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Shiawassee</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6114</v>
      </c>
      <c r="D7" s="104">
        <f>'Data Entry'!D6</f>
        <v>119</v>
      </c>
      <c r="E7" s="105"/>
      <c r="F7" s="106">
        <f>'Data Entry'!E6</f>
        <v>319</v>
      </c>
      <c r="G7" s="105"/>
      <c r="H7" s="106">
        <f>'Data Entry'!F6</f>
        <v>61</v>
      </c>
      <c r="I7" s="105"/>
      <c r="J7" s="106">
        <f>'Data Entry'!J6</f>
        <v>531</v>
      </c>
      <c r="K7" s="107"/>
    </row>
    <row r="8" spans="2:30" s="1" customFormat="1" ht="15" customHeight="1">
      <c r="B8" s="121" t="s">
        <v>8</v>
      </c>
      <c r="C8" s="103">
        <f>'Data Entry'!C7</f>
        <v>17</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114</v>
      </c>
      <c r="D9" s="108">
        <f>'Data Entry'!D8</f>
        <v>9</v>
      </c>
      <c r="E9" s="109" t="str">
        <f>'Black or African-American'!$G8</f>
        <v>**</v>
      </c>
      <c r="F9" s="110">
        <f>'Data Entry'!E8</f>
        <v>0</v>
      </c>
      <c r="G9" s="109" t="str">
        <f>Hispanic!G8</f>
        <v>**</v>
      </c>
      <c r="H9" s="110">
        <f>'Data Entry'!F8</f>
        <v>0</v>
      </c>
      <c r="I9" s="109" t="str">
        <f>Asian!G8</f>
        <v>*</v>
      </c>
      <c r="J9" s="110">
        <f>'Data Entry'!J8</f>
        <v>9</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7</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53</v>
      </c>
      <c r="D12" s="112">
        <f>'Data Entry'!D11</f>
        <v>5</v>
      </c>
      <c r="E12" s="113" t="str">
        <f>'Black or African-American'!$G11</f>
        <v>**</v>
      </c>
      <c r="F12" s="114">
        <f>'Data Entry'!E11</f>
        <v>0</v>
      </c>
      <c r="G12" s="113" t="str">
        <f>Hispanic!G11</f>
        <v>--</v>
      </c>
      <c r="H12" s="114">
        <f>'Data Entry'!F11</f>
        <v>0</v>
      </c>
      <c r="I12" s="113" t="str">
        <f>Asian!G11</f>
        <v>*</v>
      </c>
      <c r="J12" s="114">
        <f>'Data Entry'!J11</f>
        <v>5</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54</v>
      </c>
      <c r="D13" s="108">
        <f>'Data Entry'!D12</f>
        <v>5</v>
      </c>
      <c r="E13" s="109" t="str">
        <f>'Black or African-American'!$G12</f>
        <v>**</v>
      </c>
      <c r="F13" s="110">
        <f>'Data Entry'!E12</f>
        <v>0</v>
      </c>
      <c r="G13" s="109" t="str">
        <f>Hispanic!G12</f>
        <v>--</v>
      </c>
      <c r="H13" s="110">
        <f>'Data Entry'!F12</f>
        <v>0</v>
      </c>
      <c r="I13" s="109" t="str">
        <f>Asian!G12</f>
        <v>*</v>
      </c>
      <c r="J13" s="110">
        <f>'Data Entry'!J12</f>
        <v>5</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84</v>
      </c>
      <c r="D14" s="112">
        <f>'Data Entry'!D13</f>
        <v>8</v>
      </c>
      <c r="E14" s="113" t="str">
        <f>'Black or African-American'!$G13</f>
        <v>**</v>
      </c>
      <c r="F14" s="114">
        <f>'Data Entry'!E13</f>
        <v>0</v>
      </c>
      <c r="G14" s="113" t="str">
        <f>Hispanic!G13</f>
        <v>--</v>
      </c>
      <c r="H14" s="114">
        <f>'Data Entry'!F13</f>
        <v>0</v>
      </c>
      <c r="I14" s="113" t="str">
        <f>Asian!G13</f>
        <v>*</v>
      </c>
      <c r="J14" s="114">
        <f>'Data Entry'!J13</f>
        <v>8</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29</v>
      </c>
      <c r="D15" s="108">
        <f>'Data Entry'!D14</f>
        <v>2</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Entry'!D6</f>
        <v>119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Entry'!D7</f>
        <v>1</v>
      </c>
      <c r="F7" s="34">
        <f>IF((AND($E$7&gt;0,$D$66&gt;0)),($E$7/$D$66),0)</f>
        <v>8.4033613445378155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118</v>
      </c>
      <c r="P7" s="42">
        <f t="shared" ref="P7:P15" si="2">C7</f>
        <v>17</v>
      </c>
      <c r="Q7" s="42">
        <f>C6-C7</f>
        <v>6097</v>
      </c>
      <c r="R7" s="42">
        <f t="shared" ref="R7:R15" si="3">SUM(N7:Q7)</f>
        <v>6233</v>
      </c>
      <c r="S7" s="30">
        <f t="shared" ref="S7:S15" si="4">R7*((((N7*Q7)-(O7*P7))^2))</f>
        <v>104317239473</v>
      </c>
      <c r="T7" s="30">
        <f t="shared" ref="T7:T15" si="5">(N7+O7)*(P7+Q7)*(N7+P7)*(O7+Q7)</f>
        <v>81392808420</v>
      </c>
      <c r="U7" s="31">
        <f t="shared" ref="U7:U15" si="6">IF((S7&gt;0),S7/T7,"- -")</f>
        <v>1.2816518006690008</v>
      </c>
    </row>
    <row r="8" spans="2:21" ht="18" customHeight="1">
      <c r="B8" s="32" t="str">
        <f>'Data Entry'!A8</f>
        <v>3. Refer to Juvenile Court</v>
      </c>
      <c r="C8" s="33">
        <f>'Data Entry'!C8</f>
        <v>114</v>
      </c>
      <c r="D8" s="34">
        <f>IF((AND(C67&gt;0,C8&gt;0)),(C8/C67),0)</f>
        <v>670.58823529411757</v>
      </c>
      <c r="E8" s="33">
        <f>'Data Entry'!D8</f>
        <v>9</v>
      </c>
      <c r="F8" s="34">
        <f>IF((AND($E$8&gt;0,$D$67&gt;0)),($E8/$D67),0)</f>
        <v>900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9</v>
      </c>
      <c r="O8" s="42">
        <f>((D67*L67)-E8)+0.05</f>
        <v>-7.95</v>
      </c>
      <c r="P8" s="42">
        <f t="shared" si="2"/>
        <v>114</v>
      </c>
      <c r="Q8" s="42">
        <f>(C$67*L67)-C8</f>
        <v>-97</v>
      </c>
      <c r="R8" s="42">
        <f t="shared" si="3"/>
        <v>18.049999999999997</v>
      </c>
      <c r="S8" s="30">
        <f t="shared" si="4"/>
        <v>20015.464500000082</v>
      </c>
      <c r="T8" s="30">
        <f t="shared" si="5"/>
        <v>-230422.97249999997</v>
      </c>
      <c r="U8" s="31">
        <f t="shared" si="6"/>
        <v>-8.6864014828209393E-2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9</v>
      </c>
      <c r="P9" s="42">
        <f t="shared" si="2"/>
        <v>0</v>
      </c>
      <c r="Q9" s="42">
        <f>(C$68*L68)-C9</f>
        <v>113.99999999999999</v>
      </c>
      <c r="R9" s="42">
        <f t="shared" si="3"/>
        <v>122.99999999999999</v>
      </c>
      <c r="S9" s="30">
        <f t="shared" si="4"/>
        <v>0</v>
      </c>
      <c r="T9" s="30">
        <f t="shared" si="5"/>
        <v>0</v>
      </c>
      <c r="U9" s="31" t="str">
        <f t="shared" si="6"/>
        <v>- -</v>
      </c>
    </row>
    <row r="10" spans="2:21" ht="18" customHeight="1">
      <c r="B10" s="32" t="str">
        <f>'Data Entry'!A10</f>
        <v>5. Cases Involving Secure Detention</v>
      </c>
      <c r="C10" s="33">
        <f>'Data Entry'!C10</f>
        <v>7</v>
      </c>
      <c r="D10" s="34">
        <f>IF(((AND(C68&gt;0,C10&gt;0))),(C10/(C68)),0)</f>
        <v>6.1403508771929829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9</v>
      </c>
      <c r="P10" s="42">
        <f t="shared" si="2"/>
        <v>7</v>
      </c>
      <c r="Q10" s="42">
        <f>(C$68*L68)-C10</f>
        <v>106.99999999999999</v>
      </c>
      <c r="R10" s="42">
        <f t="shared" si="3"/>
        <v>122.99999999999999</v>
      </c>
      <c r="S10" s="30">
        <f t="shared" si="4"/>
        <v>488186.99999999994</v>
      </c>
      <c r="T10" s="30">
        <f t="shared" si="5"/>
        <v>833111.99999999965</v>
      </c>
      <c r="U10" s="31">
        <f t="shared" si="6"/>
        <v>0.58598003629764084</v>
      </c>
    </row>
    <row r="11" spans="2:21" ht="18" customHeight="1">
      <c r="B11" s="32" t="str">
        <f>'Data Entry'!A11</f>
        <v>6. Cases Petitioned (Charge Filed)</v>
      </c>
      <c r="C11" s="33">
        <f>'Data Entry'!C11</f>
        <v>53</v>
      </c>
      <c r="D11" s="34">
        <f>IF(((AND(C68&gt;0,C11&gt;0))),(C11/(C68)),0)</f>
        <v>46.491228070175445</v>
      </c>
      <c r="E11" s="33">
        <f>'Data Entry'!D11</f>
        <v>5</v>
      </c>
      <c r="F11" s="34">
        <f>IF(((AND($E$11&gt;0,$D$68&gt;0))),($E$11/($D$68)),0)</f>
        <v>55.555555555555557</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5</v>
      </c>
      <c r="O11" s="42">
        <f>(D$68*L68)-E11</f>
        <v>4</v>
      </c>
      <c r="P11" s="42">
        <f t="shared" si="2"/>
        <v>53</v>
      </c>
      <c r="Q11" s="42">
        <f>(C$68*L68)-C11</f>
        <v>60.999999999999986</v>
      </c>
      <c r="R11" s="42">
        <f t="shared" si="3"/>
        <v>122.99999999999999</v>
      </c>
      <c r="S11" s="30">
        <f t="shared" si="4"/>
        <v>1063826.9999999986</v>
      </c>
      <c r="T11" s="30">
        <f t="shared" si="5"/>
        <v>3868019.9999999981</v>
      </c>
      <c r="U11" s="31">
        <f t="shared" si="6"/>
        <v>0.27503141141979592</v>
      </c>
    </row>
    <row r="12" spans="2:21" ht="18" customHeight="1">
      <c r="B12" s="32" t="str">
        <f>'Data Entry'!A12</f>
        <v>7. Cases Resulting in Delinquent Findings</v>
      </c>
      <c r="C12" s="33">
        <f>'Data Entry'!C12</f>
        <v>54</v>
      </c>
      <c r="D12" s="34">
        <f>IF(((AND(C69&gt;0,C12&gt;0))),(C12/(C69)),0)</f>
        <v>101.88679245283018</v>
      </c>
      <c r="E12" s="33">
        <f>'Data Entry'!D12</f>
        <v>5</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5</v>
      </c>
      <c r="O12" s="42">
        <f>(D69*L69)-E12</f>
        <v>0</v>
      </c>
      <c r="P12" s="42">
        <f t="shared" si="2"/>
        <v>54</v>
      </c>
      <c r="Q12" s="42">
        <f>(C69*L69)-C12</f>
        <v>-1</v>
      </c>
      <c r="R12" s="42">
        <f t="shared" si="3"/>
        <v>58</v>
      </c>
      <c r="S12" s="30">
        <f t="shared" si="4"/>
        <v>1450</v>
      </c>
      <c r="T12" s="30">
        <f t="shared" si="5"/>
        <v>-15635</v>
      </c>
      <c r="U12" s="31">
        <f t="shared" si="6"/>
        <v>-9.2740645986568601E-2</v>
      </c>
    </row>
    <row r="13" spans="2:21" ht="18" customHeight="1">
      <c r="B13" s="32" t="str">
        <f>'Data Entry'!A13</f>
        <v>8. Cases Resulting in Probation Placement</v>
      </c>
      <c r="C13" s="33">
        <f>'Data Entry'!C13</f>
        <v>84</v>
      </c>
      <c r="D13" s="34">
        <f>IF(((AND(C70&gt;0,C13&gt;0))),(C13/(C70)),0)</f>
        <v>155.55555555555554</v>
      </c>
      <c r="E13" s="33">
        <f>'Data Entry'!D13</f>
        <v>8</v>
      </c>
      <c r="F13" s="34">
        <f>IF(((AND($D$70&gt;0,$E$13&gt;0))),($E$13/($D$70)),0)</f>
        <v>160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8</v>
      </c>
      <c r="O13" s="42">
        <f>(D70*L70)-E13</f>
        <v>-3</v>
      </c>
      <c r="P13" s="42">
        <f t="shared" si="2"/>
        <v>84</v>
      </c>
      <c r="Q13" s="42">
        <f>(C70*L70)-C13</f>
        <v>-30</v>
      </c>
      <c r="R13" s="42">
        <f t="shared" si="3"/>
        <v>59</v>
      </c>
      <c r="S13" s="30">
        <f t="shared" si="4"/>
        <v>8496</v>
      </c>
      <c r="T13" s="30">
        <f t="shared" si="5"/>
        <v>-819720</v>
      </c>
      <c r="U13" s="31">
        <f t="shared" si="6"/>
        <v>-1.0364514712340799E-2</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Entry'!D14</f>
        <v>2</v>
      </c>
      <c r="F14" s="34">
        <f>IF(((AND($D$70&gt;0,$E$14&gt;0))), (($E$14/($D$70))),0)</f>
        <v>40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v>
      </c>
      <c r="O14" s="42">
        <f>(D70*L70)-E14</f>
        <v>3</v>
      </c>
      <c r="P14" s="42">
        <f t="shared" si="2"/>
        <v>29</v>
      </c>
      <c r="Q14" s="42">
        <f>(C70*L70)-C14</f>
        <v>25</v>
      </c>
      <c r="R14" s="42">
        <f t="shared" si="3"/>
        <v>59</v>
      </c>
      <c r="S14" s="30">
        <f t="shared" si="4"/>
        <v>80771</v>
      </c>
      <c r="T14" s="30">
        <f t="shared" si="5"/>
        <v>234360</v>
      </c>
      <c r="U14" s="31">
        <f t="shared" si="6"/>
        <v>0.34464499061273257</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5</v>
      </c>
      <c r="P15" s="42">
        <f t="shared" si="2"/>
        <v>0</v>
      </c>
      <c r="Q15" s="42">
        <f>(C69*L69)-C15</f>
        <v>53</v>
      </c>
      <c r="R15" s="42">
        <f t="shared" si="3"/>
        <v>58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0.11899999999999999</v>
      </c>
      <c r="E42" s="56">
        <f>MAX(C42:D42)</f>
        <v>6.1139999999999999</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1.1399999999999999</v>
      </c>
      <c r="D44" s="56">
        <f>E8/100</f>
        <v>0.09</v>
      </c>
      <c r="E44" s="56">
        <f>MAX(C44:D44,0)</f>
        <v>1.1399999999999999</v>
      </c>
      <c r="G44" s="1" t="str">
        <f>B44</f>
        <v>per 100 referrals</v>
      </c>
      <c r="L44" s="57">
        <v>100</v>
      </c>
      <c r="M44" s="57"/>
      <c r="R44" s="49"/>
    </row>
    <row r="45" spans="2:18" ht="15" hidden="1" customHeight="1">
      <c r="B45" s="49" t="s">
        <v>89</v>
      </c>
      <c r="C45" s="49">
        <f>C11/100</f>
        <v>0.53</v>
      </c>
      <c r="D45" s="49">
        <f>E11/100</f>
        <v>0.05</v>
      </c>
      <c r="E45" s="56">
        <f>MAX(C45:D45,0)</f>
        <v>0.53</v>
      </c>
      <c r="G45" s="1" t="str">
        <f>B45</f>
        <v>per 100 youth petitioned</v>
      </c>
      <c r="L45" s="57">
        <v>100</v>
      </c>
      <c r="M45" s="57"/>
      <c r="R45" s="49"/>
    </row>
    <row r="46" spans="2:18" ht="15" hidden="1" customHeight="1">
      <c r="B46" s="49" t="s">
        <v>90</v>
      </c>
      <c r="C46" s="49">
        <f>C12/100</f>
        <v>0.54</v>
      </c>
      <c r="D46" s="49">
        <f>E12/100</f>
        <v>0.05</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0.11899999999999999</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0.09</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0.05</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0.05</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0.11899999999999999</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0.09</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0.05</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0.05</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0.11899999999999999</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0.09</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0.05</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0.05</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0.11899999999999999</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0.09</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0.05</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0.05</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Entry'!F6</f>
        <v>61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61</v>
      </c>
      <c r="P7" s="42">
        <f t="shared" ref="P7:P15" si="4">C7</f>
        <v>17</v>
      </c>
      <c r="Q7" s="42">
        <f>C6-C7</f>
        <v>6097</v>
      </c>
      <c r="R7" s="42">
        <f t="shared" ref="R7:R15" si="5">SUM(N7:Q7)</f>
        <v>6175</v>
      </c>
      <c r="S7" s="30">
        <f t="shared" ref="S7:S15" si="6">R7*((((N7*Q7)-(O7*P7))^2))</f>
        <v>6640403575</v>
      </c>
      <c r="T7" s="30">
        <f t="shared" ref="T7:T15" si="7">(N7+O7)*(P7+Q7)*(N7+P7)*(O7+Q7)</f>
        <v>39043062444</v>
      </c>
      <c r="U7" s="31">
        <f t="shared" ref="U7:U15" si="8">IF((S7&gt;0),S7/T7,"- -")</f>
        <v>0.17007896305584178</v>
      </c>
    </row>
    <row r="8" spans="2:21" ht="18" customHeight="1">
      <c r="B8" s="32" t="str">
        <f>'Data Entry'!A8</f>
        <v>3. Refer to Juvenile Court</v>
      </c>
      <c r="C8" s="33">
        <f>'Data Entry'!C8</f>
        <v>114</v>
      </c>
      <c r="D8" s="34">
        <f>IF((AND(C67&gt;0,C8&gt;0)),(C8/C67),0)</f>
        <v>670.58823529411757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114</v>
      </c>
      <c r="Q8" s="42">
        <f>(C$67*L67)-C8</f>
        <v>-97</v>
      </c>
      <c r="R8" s="42">
        <f t="shared" si="5"/>
        <v>17.049999999999997</v>
      </c>
      <c r="S8" s="30">
        <f t="shared" si="6"/>
        <v>553.95449999999994</v>
      </c>
      <c r="T8" s="30">
        <f t="shared" si="7"/>
        <v>-9394.4549999999999</v>
      </c>
      <c r="U8" s="31">
        <f t="shared" si="8"/>
        <v>-5.8966113521220755E-2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113.99999999999999</v>
      </c>
      <c r="R9" s="42">
        <f t="shared" si="5"/>
        <v>113.99999999999999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6.1403508771929829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106.99999999999999</v>
      </c>
      <c r="R10" s="42">
        <f t="shared" si="5"/>
        <v>113.99999999999999</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46.491228070175445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60.999999999999986</v>
      </c>
      <c r="R11" s="42">
        <f t="shared" si="5"/>
        <v>113.99999999999999</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101.88679245283018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v>
      </c>
      <c r="R12" s="42">
        <f t="shared" si="5"/>
        <v>53</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155.55555555555554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-30</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25</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6.0999999999999999E-2</v>
      </c>
      <c r="E42" s="56">
        <f>MAX(C42:D42)</f>
        <v>6.1139999999999999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1.1399999999999999</v>
      </c>
      <c r="D44" s="56">
        <f>E8/100</f>
        <v>0</v>
      </c>
      <c r="E44" s="56">
        <f>MAX(C44:D44,0)</f>
        <v>1.1399999999999999</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6.0999999999999999E-2</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6.0999999999999999E-2</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6.0999999999999999E-2</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6.0999999999999999E-2</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Entry'!E6</f>
        <v>319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319</v>
      </c>
      <c r="P7" s="42">
        <f t="shared" ref="P7:P15" si="4">C7</f>
        <v>17</v>
      </c>
      <c r="Q7" s="42">
        <f>C6-C7</f>
        <v>6097</v>
      </c>
      <c r="R7" s="42">
        <f t="shared" ref="R7:R15" si="5">SUM(N7:Q7)</f>
        <v>6433</v>
      </c>
      <c r="S7" s="30">
        <f t="shared" ref="S7:S15" si="6">R7*((((N7*Q7)-(O7*P7))^2))</f>
        <v>189187640257</v>
      </c>
      <c r="T7" s="30">
        <f t="shared" ref="T7:T15" si="7">(N7+O7)*(P7+Q7)*(N7+P7)*(O7+Q7)</f>
        <v>212730320352</v>
      </c>
      <c r="U7" s="31">
        <f t="shared" ref="U7:U15" si="8">IF((S7&gt;0),S7/T7,"- -")</f>
        <v>0.88933086709950671</v>
      </c>
    </row>
    <row r="8" spans="2:21" ht="18" customHeight="1">
      <c r="B8" s="32" t="str">
        <f>'Data Entry'!A8</f>
        <v>3. Refer to Juvenile Court</v>
      </c>
      <c r="C8" s="33">
        <f>'Data Entry'!C8</f>
        <v>114</v>
      </c>
      <c r="D8" s="34">
        <f>IF((AND(C67&gt;0,C8&gt;0)),(C8/C67),0)</f>
        <v>670.58823529411757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114</v>
      </c>
      <c r="Q8" s="42">
        <f>(C$67*L67)-C8</f>
        <v>-97</v>
      </c>
      <c r="R8" s="42">
        <f t="shared" si="5"/>
        <v>17.049999999999997</v>
      </c>
      <c r="S8" s="30">
        <f t="shared" si="6"/>
        <v>553.95449999999994</v>
      </c>
      <c r="T8" s="30">
        <f t="shared" si="7"/>
        <v>-9394.4549999999999</v>
      </c>
      <c r="U8" s="31">
        <f t="shared" si="8"/>
        <v>-5.8966113521220755E-2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113.99999999999999</v>
      </c>
      <c r="R9" s="42">
        <f t="shared" si="5"/>
        <v>113.99999999999999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6.1403508771929829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106.99999999999999</v>
      </c>
      <c r="R10" s="42">
        <f t="shared" si="5"/>
        <v>113.99999999999999</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46.491228070175445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60.999999999999986</v>
      </c>
      <c r="R11" s="42">
        <f t="shared" si="5"/>
        <v>113.99999999999999</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101.88679245283018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v>
      </c>
      <c r="R12" s="42">
        <f t="shared" si="5"/>
        <v>53</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155.55555555555554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-30</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25</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0.31900000000000001</v>
      </c>
      <c r="E42" s="56">
        <f>MAX(C42:D42)</f>
        <v>6.1139999999999999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1.1399999999999999</v>
      </c>
      <c r="D44" s="56">
        <f>E8/100</f>
        <v>0</v>
      </c>
      <c r="E44" s="56">
        <f>MAX(C44:D44,0)</f>
        <v>1.1399999999999999</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0.31900000000000001</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0.31900000000000001</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0.31900000000000001</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0.31900000000000001</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6097</v>
      </c>
      <c r="R7" s="42">
        <f t="shared" ref="R7:R15" si="5">SUM(N7:Q7)</f>
        <v>6114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114</v>
      </c>
      <c r="D8" s="34">
        <f>IF((AND(C67&gt;0,C8&gt;0)),(C8/C67),0)</f>
        <v>670.58823529411757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114</v>
      </c>
      <c r="Q8" s="42">
        <f>(C$67*L67)-C8</f>
        <v>-97</v>
      </c>
      <c r="R8" s="42">
        <f t="shared" si="5"/>
        <v>17.049999999999997</v>
      </c>
      <c r="S8" s="30">
        <f t="shared" si="6"/>
        <v>553.95449999999994</v>
      </c>
      <c r="T8" s="30">
        <f t="shared" si="7"/>
        <v>-9394.4549999999999</v>
      </c>
      <c r="U8" s="31">
        <f t="shared" si="8"/>
        <v>-5.8966113521220755E-2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113.99999999999999</v>
      </c>
      <c r="R9" s="42">
        <f t="shared" si="5"/>
        <v>113.99999999999999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6.1403508771929829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106.99999999999999</v>
      </c>
      <c r="R10" s="42">
        <f t="shared" si="5"/>
        <v>113.99999999999999</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46.491228070175445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60.999999999999986</v>
      </c>
      <c r="R11" s="42">
        <f t="shared" si="5"/>
        <v>113.99999999999999</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101.88679245283018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v>
      </c>
      <c r="R12" s="42">
        <f t="shared" si="5"/>
        <v>53</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155.55555555555554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-30</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25</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0</v>
      </c>
      <c r="E42" s="56">
        <f>MAX(C42:D42)</f>
        <v>6.1139999999999999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1.1399999999999999</v>
      </c>
      <c r="D44" s="56">
        <f>E8/100</f>
        <v>0</v>
      </c>
      <c r="E44" s="56">
        <f>MAX(C44:D44,0)</f>
        <v>1.1399999999999999</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0</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0</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0</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0</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6114</v>
      </c>
      <c r="D6" s="34"/>
      <c r="E6" s="33">
        <f>'Data Entry'!H6</f>
        <v>32</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2.7805037618580308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v>
      </c>
      <c r="P7" s="42">
        <f t="shared" ref="P7:P15" si="4">C7</f>
        <v>17</v>
      </c>
      <c r="Q7" s="42">
        <f>C6-C7</f>
        <v>6097</v>
      </c>
      <c r="R7" s="42">
        <f t="shared" ref="R7:R15" si="5">SUM(N7:Q7)</f>
        <v>6146</v>
      </c>
      <c r="S7" s="30">
        <f t="shared" ref="S7:S15" si="6">R7*((((N7*Q7)-(O7*P7))^2))</f>
        <v>1818822656</v>
      </c>
      <c r="T7" s="30">
        <f t="shared" ref="T7:T15" si="7">(N7+O7)*(P7+Q7)*(N7+P7)*(O7+Q7)</f>
        <v>20385152064</v>
      </c>
      <c r="U7" s="31">
        <f t="shared" ref="U7:U15" si="8">IF((S7&gt;0),S7/T7,"- -")</f>
        <v>8.9222913338577681E-2</v>
      </c>
    </row>
    <row r="8" spans="2:21" ht="18" customHeight="1">
      <c r="B8" s="32" t="str">
        <f>'Data Entry'!A8</f>
        <v>3. Refer to Juvenile Court</v>
      </c>
      <c r="C8" s="33">
        <f>'Data Entry'!C8</f>
        <v>114</v>
      </c>
      <c r="D8" s="34">
        <f>IF((AND(C67&gt;0,C8&gt;0)),(C8/C67),0)</f>
        <v>670.58823529411757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114</v>
      </c>
      <c r="Q8" s="42">
        <f>(C$67*L67)-C8</f>
        <v>-97</v>
      </c>
      <c r="R8" s="42">
        <f t="shared" si="5"/>
        <v>17.049999999999997</v>
      </c>
      <c r="S8" s="30">
        <f t="shared" si="6"/>
        <v>553.95449999999994</v>
      </c>
      <c r="T8" s="30">
        <f t="shared" si="7"/>
        <v>-9394.4549999999999</v>
      </c>
      <c r="U8" s="31">
        <f t="shared" si="8"/>
        <v>-5.8966113521220755E-2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113.99999999999999</v>
      </c>
      <c r="R9" s="42">
        <f t="shared" si="5"/>
        <v>113.99999999999999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6.1403508771929829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106.99999999999999</v>
      </c>
      <c r="R10" s="42">
        <f t="shared" si="5"/>
        <v>113.99999999999999</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46.491228070175445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60.999999999999986</v>
      </c>
      <c r="R11" s="42">
        <f t="shared" si="5"/>
        <v>113.99999999999999</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101.88679245283018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v>
      </c>
      <c r="R12" s="42">
        <f t="shared" si="5"/>
        <v>53</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155.55555555555554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-30</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29</v>
      </c>
      <c r="D14" s="34">
        <f>IF(((AND(C70&gt;0,C14&gt;0))), ((C14/(C70))),0)</f>
        <v>53.703703703703702</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29</v>
      </c>
      <c r="Q14" s="42">
        <f>(C70*L70)-C14</f>
        <v>25</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6.1139999999999999</v>
      </c>
      <c r="D42" s="56">
        <f>E6/1000</f>
        <v>3.2000000000000001E-2</v>
      </c>
      <c r="E42" s="56">
        <f>MAX(C42:D42)</f>
        <v>6.1139999999999999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1.1399999999999999</v>
      </c>
      <c r="D44" s="56">
        <f>E8/100</f>
        <v>0</v>
      </c>
      <c r="E44" s="56">
        <f>MAX(C44:D44,0)</f>
        <v>1.1399999999999999</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6.1139999999999999</v>
      </c>
      <c r="D48" s="56">
        <f>D42</f>
        <v>3.2000000000000001E-2</v>
      </c>
      <c r="E48" s="56">
        <f>MAX(C48:D48)</f>
        <v>6.1139999999999999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1.1399999999999999</v>
      </c>
      <c r="D50" s="49">
        <f t="shared" si="9"/>
        <v>0</v>
      </c>
      <c r="E50" s="49">
        <f>MAX(C50:D50)</f>
        <v>1.1399999999999999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6.1139999999999999</v>
      </c>
      <c r="D54" s="56">
        <f>D48</f>
        <v>3.2000000000000001E-2</v>
      </c>
      <c r="E54" s="56">
        <f>MAX(C54:D54)</f>
        <v>6.1139999999999999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1.1399999999999999</v>
      </c>
      <c r="D56" s="49">
        <f t="shared" si="10"/>
        <v>0</v>
      </c>
      <c r="E56" s="49">
        <f>MAX(C56:D56)</f>
        <v>1.1399999999999999</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6.1139999999999999</v>
      </c>
      <c r="D60" s="56">
        <f>D54</f>
        <v>3.2000000000000001E-2</v>
      </c>
      <c r="E60" s="56">
        <f>MAX(C60:D60)</f>
        <v>6.1139999999999999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1.1399999999999999</v>
      </c>
      <c r="D62" s="49">
        <f t="shared" si="11"/>
        <v>0</v>
      </c>
      <c r="E62" s="49">
        <f>MAX(C62:D62)</f>
        <v>1.1399999999999999</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6.1139999999999999</v>
      </c>
      <c r="D66" s="56">
        <f>D60</f>
        <v>3.2000000000000001E-2</v>
      </c>
      <c r="E66" s="56">
        <f>MAX(C66:D66)</f>
        <v>6.1139999999999999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1.1399999999999999</v>
      </c>
      <c r="D68" s="49">
        <f t="shared" si="12"/>
        <v>0</v>
      </c>
      <c r="E68" s="49">
        <f>MAX(C68:D68)</f>
        <v>1.1399999999999999</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U47JMPN4QEAR-1806752177-30507</_dlc_DocId>
    <_dlc_DocIdUrl xmlns="ac3811b5-0f3e-49e2-ba69-f2ffa0c782af">
      <Url>https://michiganphi.sharepoint.com/sites/CMDMC/_layouts/15/DocIdRedir.aspx?ID=U47JMPN4QEAR-1806752177-30507</Url>
      <Description>U47JMPN4QEAR-1806752177-30507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A5A58C-FC79-44B7-A3DB-7090B729436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3FDB562A-92AC-43A5-82A3-0417FE1CE5E7}"/>
</file>

<file path=customXml/itemProps3.xml><?xml version="1.0" encoding="utf-8"?>
<ds:datastoreItem xmlns:ds="http://schemas.openxmlformats.org/officeDocument/2006/customXml" ds:itemID="{AA1DEFCD-0A66-48B1-BD96-254AF43CF1E8}">
  <ds:schemaRefs>
    <ds:schemaRef ds:uri="http://schemas.microsoft.com/sharepoint/v3/contenttype/forms"/>
  </ds:schemaRefs>
</ds:datastoreItem>
</file>

<file path=customXml/itemProps4.xml><?xml version="1.0" encoding="utf-8"?>
<ds:datastoreItem xmlns:ds="http://schemas.openxmlformats.org/officeDocument/2006/customXml" ds:itemID="{8D1725BA-76A8-4AEF-BC28-239CE5161D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86e28feb-42e2-4a37-b757-7b8d4d598a01</vt:lpwstr>
  </property>
</Properties>
</file>