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524FB2E9-2BE8-4F84-AA4A-BF79409E1219}"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2" l="1"/>
  <c r="M66" i="2"/>
  <c r="M66" i="7"/>
  <c r="F27" i="7"/>
  <c r="M66" i="6"/>
  <c r="F27" i="6"/>
  <c r="F27" i="4"/>
  <c r="M66" i="4"/>
  <c r="F27" i="5"/>
  <c r="M66" i="5"/>
  <c r="M66" i="3"/>
  <c r="F27"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E43" i="7"/>
  <c r="D46" i="8"/>
  <c r="E46" i="8" s="1"/>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L58" i="8" s="1"/>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L64" i="3" s="1"/>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4" i="5" s="1"/>
  <c r="C66" i="6"/>
  <c r="E60" i="6"/>
  <c r="C66" i="2"/>
  <c r="E60" i="2"/>
  <c r="E56" i="6"/>
  <c r="E55" i="6"/>
  <c r="E55" i="7"/>
  <c r="E58" i="7"/>
  <c r="B56" i="8" l="1"/>
  <c r="D64" i="5"/>
  <c r="E64" i="5" s="1"/>
  <c r="L64" i="5"/>
  <c r="C57" i="8"/>
  <c r="C64" i="8" s="1"/>
  <c r="L56" i="8"/>
  <c r="B57" i="8"/>
  <c r="B64" i="8" s="1"/>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I7" i="9" l="1"/>
  <c r="Q8" i="13"/>
  <c r="C63" i="3"/>
  <c r="E57" i="8"/>
  <c r="B63" i="8" s="1"/>
  <c r="B63" i="3"/>
  <c r="E64" i="6"/>
  <c r="B70" i="6" s="1"/>
  <c r="M70" i="6" s="1"/>
  <c r="Z8" i="13"/>
  <c r="R7" i="9"/>
  <c r="D63" i="3"/>
  <c r="E64" i="3"/>
  <c r="L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L70" i="6" l="1"/>
  <c r="L69" i="7"/>
  <c r="C70" i="3"/>
  <c r="D14" i="3" s="1"/>
  <c r="D70" i="6"/>
  <c r="C70" i="6"/>
  <c r="L63" i="8"/>
  <c r="L70" i="8" s="1"/>
  <c r="E63" i="3"/>
  <c r="C69" i="3" s="1"/>
  <c r="D15" i="3" s="1"/>
  <c r="C63" i="8"/>
  <c r="D63" i="8"/>
  <c r="D70" i="8" s="1"/>
  <c r="F13" i="8" s="1"/>
  <c r="C69" i="7"/>
  <c r="D12" i="7" s="1"/>
  <c r="B70" i="3"/>
  <c r="M70" i="3"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O14" i="6" l="1"/>
  <c r="Q13" i="6"/>
  <c r="Q14" i="6"/>
  <c r="O13" i="6"/>
  <c r="K13" i="6" s="1"/>
  <c r="F14" i="6"/>
  <c r="B69" i="6"/>
  <c r="M69" i="6" s="1"/>
  <c r="F14" i="3"/>
  <c r="Q13" i="3"/>
  <c r="E70" i="6"/>
  <c r="D13" i="6"/>
  <c r="F13" i="6"/>
  <c r="Q14" i="3"/>
  <c r="D13" i="3"/>
  <c r="O13" i="3"/>
  <c r="R13" i="3" s="1"/>
  <c r="S13" i="3" s="1"/>
  <c r="U13" i="3" s="1"/>
  <c r="J13" i="3" s="1"/>
  <c r="D14" i="6"/>
  <c r="O12" i="7"/>
  <c r="D15" i="7"/>
  <c r="Q15" i="7"/>
  <c r="O15" i="7"/>
  <c r="Q13" i="8"/>
  <c r="F12" i="7"/>
  <c r="E63" i="8"/>
  <c r="D69" i="8" s="1"/>
  <c r="F15" i="8" s="1"/>
  <c r="B69" i="3"/>
  <c r="M69" i="3" s="1"/>
  <c r="D12" i="3"/>
  <c r="D69" i="3"/>
  <c r="E69" i="3" s="1"/>
  <c r="L69" i="3"/>
  <c r="Q12" i="3" s="1"/>
  <c r="E70" i="3"/>
  <c r="F33" i="3"/>
  <c r="E69" i="7"/>
  <c r="Q12" i="7"/>
  <c r="F34" i="3"/>
  <c r="C69" i="6"/>
  <c r="D12" i="6" s="1"/>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T13" i="6"/>
  <c r="F8" i="2"/>
  <c r="O14" i="8"/>
  <c r="F14" i="8"/>
  <c r="T14" i="4"/>
  <c r="R13" i="6"/>
  <c r="S13" i="6" s="1"/>
  <c r="U13" i="6" s="1"/>
  <c r="J13" i="6" s="1"/>
  <c r="M13" i="6" s="1"/>
  <c r="G13" i="6" s="1"/>
  <c r="B70" i="2"/>
  <c r="F33" i="2" s="1"/>
  <c r="D69" i="5"/>
  <c r="O15" i="5" s="1"/>
  <c r="R14" i="6"/>
  <c r="S14" i="6"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K14" i="6"/>
  <c r="T14" i="6"/>
  <c r="F34" i="8"/>
  <c r="R14" i="5"/>
  <c r="S14" i="5" s="1"/>
  <c r="U14" i="5" s="1"/>
  <c r="J14" i="5" s="1"/>
  <c r="M14" i="5" s="1"/>
  <c r="F33" i="8"/>
  <c r="C70" i="2"/>
  <c r="D14" i="2" s="1"/>
  <c r="T14" i="5"/>
  <c r="D13" i="8"/>
  <c r="K14" i="5"/>
  <c r="D70" i="2"/>
  <c r="O14" i="2" s="1"/>
  <c r="D14" i="8"/>
  <c r="E70" i="8"/>
  <c r="R13" i="5"/>
  <c r="S13" i="5" s="1"/>
  <c r="U13" i="5" s="1"/>
  <c r="J13" i="5" s="1"/>
  <c r="M13" i="5" s="1"/>
  <c r="M67" i="2"/>
  <c r="T13" i="3"/>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2" i="6" l="1"/>
  <c r="F35" i="6"/>
  <c r="K14" i="3"/>
  <c r="F12" i="3"/>
  <c r="R14" i="3"/>
  <c r="S14" i="3" s="1"/>
  <c r="U14" i="3" s="1"/>
  <c r="J14" i="3" s="1"/>
  <c r="M14" i="3" s="1"/>
  <c r="G14" i="3" s="1"/>
  <c r="I15" i="16" s="1"/>
  <c r="T12" i="7"/>
  <c r="R15" i="7"/>
  <c r="S15" i="7" s="1"/>
  <c r="U15" i="7" s="1"/>
  <c r="J15" i="7" s="1"/>
  <c r="M15" i="7" s="1"/>
  <c r="C69" i="8"/>
  <c r="D15" i="8" s="1"/>
  <c r="K13" i="3"/>
  <c r="L69" i="8"/>
  <c r="O15" i="8" s="1"/>
  <c r="T15" i="7"/>
  <c r="K15" i="7"/>
  <c r="R13" i="8"/>
  <c r="S13" i="8" s="1"/>
  <c r="F15" i="3"/>
  <c r="O15" i="6"/>
  <c r="O15" i="3"/>
  <c r="F35" i="3"/>
  <c r="F32" i="3"/>
  <c r="F12" i="8"/>
  <c r="R12" i="7"/>
  <c r="S12" i="7" s="1"/>
  <c r="U12" i="7" s="1"/>
  <c r="J12" i="7" s="1"/>
  <c r="M12" i="7" s="1"/>
  <c r="T14" i="3"/>
  <c r="O12" i="3"/>
  <c r="R12" i="3" s="1"/>
  <c r="S12" i="3" s="1"/>
  <c r="U12" i="3" s="1"/>
  <c r="J12" i="3" s="1"/>
  <c r="K12" i="7"/>
  <c r="R14" i="8"/>
  <c r="S14" i="8" s="1"/>
  <c r="O12" i="6"/>
  <c r="B69" i="8"/>
  <c r="M69" i="8" s="1"/>
  <c r="T13" i="8"/>
  <c r="Q15" i="3"/>
  <c r="R15" i="3" s="1"/>
  <c r="S15" i="3" s="1"/>
  <c r="U15" i="3" s="1"/>
  <c r="J15" i="3" s="1"/>
  <c r="M15" i="3" s="1"/>
  <c r="G15" i="3" s="1"/>
  <c r="I16" i="16" s="1"/>
  <c r="Q12" i="6"/>
  <c r="Q15" i="6"/>
  <c r="E69" i="6"/>
  <c r="D15" i="6"/>
  <c r="F15" i="6"/>
  <c r="L13" i="4"/>
  <c r="O14" i="16" s="1"/>
  <c r="L11" i="4"/>
  <c r="O12" i="16" s="1"/>
  <c r="K8" i="7"/>
  <c r="O13" i="2"/>
  <c r="T8" i="7"/>
  <c r="U8" i="7" s="1"/>
  <c r="J8" i="7" s="1"/>
  <c r="M8" i="7" s="1"/>
  <c r="T13" i="7"/>
  <c r="Q10" i="7"/>
  <c r="F13" i="2"/>
  <c r="Q11" i="7"/>
  <c r="R8" i="6"/>
  <c r="S8" i="6" s="1"/>
  <c r="F14" i="2"/>
  <c r="E69" i="8"/>
  <c r="F10" i="7"/>
  <c r="L10" i="3"/>
  <c r="P11" i="16" s="1"/>
  <c r="F30" i="7"/>
  <c r="M68" i="7"/>
  <c r="F29" i="7"/>
  <c r="F15" i="5"/>
  <c r="U14" i="6"/>
  <c r="J14" i="6" s="1"/>
  <c r="M14" i="6" s="1"/>
  <c r="G14" i="6" s="1"/>
  <c r="M15" i="13" s="1"/>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G13" i="9"/>
  <c r="M14" i="13"/>
  <c r="T14" i="8"/>
  <c r="L13" i="6"/>
  <c r="R14" i="16" s="1"/>
  <c r="D13" i="2"/>
  <c r="E70" i="2"/>
  <c r="Q14" i="2"/>
  <c r="K14" i="2" s="1"/>
  <c r="M13" i="4"/>
  <c r="G13" i="4" s="1"/>
  <c r="G14" i="16" s="1"/>
  <c r="L9" i="4"/>
  <c r="O10" i="16" s="1"/>
  <c r="R13" i="7"/>
  <c r="S13" i="7" s="1"/>
  <c r="U13" i="7" s="1"/>
  <c r="J13" i="7" s="1"/>
  <c r="M13" i="7" s="1"/>
  <c r="Q13" i="2"/>
  <c r="L13" i="3"/>
  <c r="P14" i="16" s="1"/>
  <c r="U9" i="3"/>
  <c r="J9" i="3" s="1"/>
  <c r="L9" i="3" s="1"/>
  <c r="N30" i="5"/>
  <c r="L14" i="5"/>
  <c r="Q15" i="16" s="1"/>
  <c r="L13" i="5"/>
  <c r="Q14" i="16" s="1"/>
  <c r="L10" i="4"/>
  <c r="O11" i="16" s="1"/>
  <c r="K13" i="7"/>
  <c r="T8" i="2"/>
  <c r="U8" i="2" s="1"/>
  <c r="J8" i="2" s="1"/>
  <c r="M11" i="4"/>
  <c r="G11" i="4" s="1"/>
  <c r="T14" i="7"/>
  <c r="U14" i="7" s="1"/>
  <c r="J14" i="7" s="1"/>
  <c r="K14" i="7"/>
  <c r="M13" i="3"/>
  <c r="G13" i="3" s="1"/>
  <c r="D10" i="9"/>
  <c r="G11" i="13"/>
  <c r="E10" i="9"/>
  <c r="I11" i="13"/>
  <c r="D9" i="9"/>
  <c r="G10" i="13"/>
  <c r="I15"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D12" i="8" l="1"/>
  <c r="R12" i="6"/>
  <c r="S12" i="6" s="1"/>
  <c r="U12" i="6" s="1"/>
  <c r="J12" i="6" s="1"/>
  <c r="L14" i="3"/>
  <c r="P15" i="16" s="1"/>
  <c r="O12" i="8"/>
  <c r="N30" i="3"/>
  <c r="E14" i="9"/>
  <c r="K12" i="6"/>
  <c r="L15" i="7"/>
  <c r="S16" i="16" s="1"/>
  <c r="Q15" i="8"/>
  <c r="R15" i="8" s="1"/>
  <c r="S15" i="8" s="1"/>
  <c r="Q12" i="8"/>
  <c r="R12" i="8" s="1"/>
  <c r="S12" i="8" s="1"/>
  <c r="U13" i="8"/>
  <c r="J13" i="8" s="1"/>
  <c r="M13" i="8" s="1"/>
  <c r="G13" i="8" s="1"/>
  <c r="K14" i="16" s="1"/>
  <c r="K12" i="3"/>
  <c r="L12" i="3" s="1"/>
  <c r="P13" i="16" s="1"/>
  <c r="T15" i="3"/>
  <c r="K15" i="6"/>
  <c r="T15" i="6"/>
  <c r="K15" i="3"/>
  <c r="L15" i="3" s="1"/>
  <c r="P16" i="16" s="1"/>
  <c r="U14" i="8"/>
  <c r="J14" i="8" s="1"/>
  <c r="N30" i="8" s="1"/>
  <c r="L12" i="7"/>
  <c r="S13" i="16" s="1"/>
  <c r="T12" i="3"/>
  <c r="T12" i="6"/>
  <c r="F32" i="8"/>
  <c r="F35" i="8"/>
  <c r="R15" i="6"/>
  <c r="S15" i="6" s="1"/>
  <c r="U15" i="6" s="1"/>
  <c r="J15" i="6" s="1"/>
  <c r="M15" i="6" s="1"/>
  <c r="G15" i="6" s="1"/>
  <c r="M13" i="9"/>
  <c r="U14" i="13"/>
  <c r="U12" i="13"/>
  <c r="M11" i="9"/>
  <c r="T13" i="2"/>
  <c r="U8" i="6"/>
  <c r="J8" i="6" s="1"/>
  <c r="M8" i="6" s="1"/>
  <c r="G8" i="6" s="1"/>
  <c r="M9" i="13" s="1"/>
  <c r="R13" i="2"/>
  <c r="S13" i="2" s="1"/>
  <c r="V11" i="13"/>
  <c r="G14" i="9"/>
  <c r="R10" i="7"/>
  <c r="S10" i="7" s="1"/>
  <c r="U10" i="7" s="1"/>
  <c r="J10" i="7" s="1"/>
  <c r="T11" i="7"/>
  <c r="T10" i="7"/>
  <c r="L8" i="2"/>
  <c r="N9" i="16" s="1"/>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P13" i="9"/>
  <c r="K9" i="7"/>
  <c r="T14" i="2"/>
  <c r="V12" i="13"/>
  <c r="U10" i="13"/>
  <c r="X14" i="13"/>
  <c r="N11" i="9"/>
  <c r="T15" i="5"/>
  <c r="W14" i="13"/>
  <c r="N13" i="9"/>
  <c r="N14" i="9"/>
  <c r="L13" i="7"/>
  <c r="S14" i="16" s="1"/>
  <c r="M9" i="3"/>
  <c r="G9" i="3" s="1"/>
  <c r="I10" i="13" s="1"/>
  <c r="I14" i="13"/>
  <c r="I14" i="16"/>
  <c r="G12" i="13"/>
  <c r="G12" i="16"/>
  <c r="N9" i="9"/>
  <c r="P10" i="16"/>
  <c r="M14" i="7"/>
  <c r="N30" i="7"/>
  <c r="L14" i="7"/>
  <c r="S15" i="16" s="1"/>
  <c r="L8" i="7"/>
  <c r="S9" i="16" s="1"/>
  <c r="O13" i="9"/>
  <c r="V14" i="13"/>
  <c r="M9" i="9"/>
  <c r="M10" i="9"/>
  <c r="O14" i="9"/>
  <c r="V10" i="13"/>
  <c r="V15"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12" i="6"/>
  <c r="G12" i="6" s="1"/>
  <c r="L12" i="6"/>
  <c r="R13" i="16" s="1"/>
  <c r="M8" i="4"/>
  <c r="G8" i="4" s="1"/>
  <c r="G9" i="16" s="1"/>
  <c r="L8" i="4"/>
  <c r="O9" i="16" s="1"/>
  <c r="R10" i="8"/>
  <c r="S10" i="8" s="1"/>
  <c r="T10" i="8"/>
  <c r="K10" i="8"/>
  <c r="U15" i="4"/>
  <c r="J15" i="4" s="1"/>
  <c r="U15" i="8"/>
  <c r="J15" i="8" s="1"/>
  <c r="U10" i="6"/>
  <c r="J10" i="6" s="1"/>
  <c r="K11" i="8"/>
  <c r="T11" i="8"/>
  <c r="R11" i="8"/>
  <c r="S11" i="8" s="1"/>
  <c r="M12" i="3"/>
  <c r="G12" i="3" s="1"/>
  <c r="I13" i="16" s="1"/>
  <c r="K9" i="8"/>
  <c r="T9" i="8"/>
  <c r="T15" i="8" l="1"/>
  <c r="T12" i="8"/>
  <c r="K12" i="8"/>
  <c r="L13" i="8"/>
  <c r="T14" i="16" s="1"/>
  <c r="U13" i="2"/>
  <c r="J13" i="2" s="1"/>
  <c r="M13" i="2" s="1"/>
  <c r="G13" i="2" s="1"/>
  <c r="E14" i="16" s="1"/>
  <c r="I13" i="9"/>
  <c r="Q14" i="13"/>
  <c r="U12" i="8"/>
  <c r="J12" i="8" s="1"/>
  <c r="M12" i="8" s="1"/>
  <c r="Y13" i="13"/>
  <c r="L15" i="6"/>
  <c r="R16" i="16" s="1"/>
  <c r="M14" i="8"/>
  <c r="G14" i="8" s="1"/>
  <c r="K15" i="16" s="1"/>
  <c r="L14" i="8"/>
  <c r="T15" i="16" s="1"/>
  <c r="Q12" i="9"/>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1" i="2"/>
  <c r="N12" i="16" s="1"/>
  <c r="M12" i="4"/>
  <c r="G12" i="4" s="1"/>
  <c r="M9" i="2"/>
  <c r="G9" i="2" s="1"/>
  <c r="L9" i="7"/>
  <c r="S10" i="16" s="1"/>
  <c r="L14" i="2"/>
  <c r="N15" i="16" s="1"/>
  <c r="N30" i="2"/>
  <c r="C14" i="9"/>
  <c r="E15" i="13"/>
  <c r="C15" i="9"/>
  <c r="E16" i="13"/>
  <c r="L9" i="9"/>
  <c r="T10" i="13"/>
  <c r="C11" i="9"/>
  <c r="E12" i="13"/>
  <c r="M8" i="9"/>
  <c r="U9" i="13"/>
  <c r="O12" i="9"/>
  <c r="W13" i="13"/>
  <c r="M12" i="9"/>
  <c r="U13" i="13"/>
  <c r="E12" i="9"/>
  <c r="I13" i="13"/>
  <c r="D8" i="9"/>
  <c r="G9" i="13"/>
  <c r="U9" i="8"/>
  <c r="J9" i="8" s="1"/>
  <c r="M9" i="8" s="1"/>
  <c r="G9" i="8" s="1"/>
  <c r="K10" i="16" s="1"/>
  <c r="C10" i="9"/>
  <c r="E11" i="13"/>
  <c r="N12" i="9"/>
  <c r="V13" i="13"/>
  <c r="P12" i="9"/>
  <c r="X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L13" i="2" l="1"/>
  <c r="N14" i="16" s="1"/>
  <c r="R13" i="9"/>
  <c r="G12" i="8"/>
  <c r="K13" i="16" s="1"/>
  <c r="Z14" i="13"/>
  <c r="L12" i="8"/>
  <c r="T13" i="16" s="1"/>
  <c r="E14" i="13"/>
  <c r="C13" i="9"/>
  <c r="Q15" i="13"/>
  <c r="P15" i="9"/>
  <c r="X16" i="13"/>
  <c r="I14" i="9"/>
  <c r="R14" i="9"/>
  <c r="Z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R12" i="9" l="1"/>
  <c r="I12" i="9"/>
  <c r="Z13" i="13"/>
  <c r="Q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<sst xmlns="http://schemas.openxmlformats.org/spreadsheetml/2006/main" count="654" uniqueCount="141">
  <si>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</si>
  <si>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</si>
  <si>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</si>
  <si>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</si>
  <si>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</si>
  <si>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</si>
  <si>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</si>
  <si>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</si>
  <si>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</si>
  <si>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</si>
  <si>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</si>
  <si>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</si>
  <si>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</si>
  <si>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</si>
  <si>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</si>
  <si>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</si>
  <si>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</si>
  <si>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</si>
  <si>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</si>
  <si>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</si>
  <si>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</si>
  <si>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</si>
  <si>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</si>
  <si>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</si>
  <si>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</si>
  <si>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</si>
  <si>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</si>
  <si>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</si>
  <si>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</si>
  <si>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</si>
  <si>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</si>
  <si>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</si>
  <si>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</si>
  <si>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</si>
  <si>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</si>
  <si>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</si>
  <si>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</si>
  <si>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</si>
  <si>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</si>
  <si>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</si>
  <si>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</si>
  <si>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</si>
  <si>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</si>
  <si>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</si>
  <si>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</si>
  <si>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</si>
  <si>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</si>
  <si>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</si>
  <si>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</si>
  <si>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</si>
  <si>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</si>
  <si>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</si>
  <si>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</si>
  <si>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</si>
  <si>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</si>
  <si>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</si>
  <si>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</si>
  <si>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</si>
  <si>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</si>
  <si>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</si>
  <si>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</si>
  <si>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</si>
  <si>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</si>
  <si>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</si>
  <si>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</si>
  <si>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</si>
  <si>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</si>
  <si>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</si>
  <si>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</si>
  <si>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</si>
  <si>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</si>
  <si>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</si>
  <si>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</si>
  <si>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</si>
  <si>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</si>
  <si>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</si>
  <si>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</si>
  <si>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</si>
  <si>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</si>
  <si>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</si>
  <si>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</si>
  <si>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</si>
  <si>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</si>
  <si>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</si>
  <si>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</si>
  <si>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</si>
  <si>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</si>
  <si>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</si>
  <si>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</si>
  <si>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</si>
  <si>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</si>
  <si>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</si>
  <si>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</si>
  <si>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</si>
  <si>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</si>
  <si>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</si>
  <si>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</si>
  <si>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</si>
  <si>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</si>
  <si>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</si>
  <si>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</si>
  <si>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</si>
  <si>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</si>
  <si>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</si>
  <si>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</si>
  <si>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</si>
  <si>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</si>
  <si>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</si>
  <si>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</si>
  <si>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</si>
  <si>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</si>
  <si>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</si>
  <si>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</si>
  <si>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</si>
  <si>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</si>
  <si>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</si>
  <si>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</si>
  <si>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</si>
  <si>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</si>
  <si>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</si>
  <si>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</si>
  <si>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</si>
  <si>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</si>
  <si>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</si>
  <si>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</si>
  <si>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</si>
  <si>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</si>
  <si>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</si>
  <si>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</si>
  <si>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</si>
  <si>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</si>
  <si>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</si>
  <si>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</si>
  <si>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</si>
  <si>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</si>
  <si>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</si>
  <si>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</si>
  <si>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Shiawassee</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</si>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</sst>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2" fillId="2" borderId="0" xfId="0" applyNumberFormat="1" applyFont="1" applyFill="1" applyBorder="1" applyAlignment="1" applyProtection="1">
      <alignment vertical="top" wrapText="1"/>
    </xf>
    <xf numFmtId="4" fontId="4" fillId="0"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Shiawassee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N=9</c:v>
                </c:pt>
                <c:pt idx="7">
                  <c:v>Population, total N=5762</c:v>
                </c:pt>
              </c:strCache>
            </c:strRef>
          </c:cat>
          <c:val>
            <c:numRef>
              <c:f>'Stacked 100%'!$B$7:$B$14</c:f>
              <c:numCache>
                <c:formatCode>0%</c:formatCode>
                <c:ptCount val="8"/>
                <c:pt idx="0">
                  <c:v>0</c:v>
                </c:pt>
                <c:pt idx="1">
                  <c:v>0</c:v>
                </c:pt>
                <c:pt idx="2">
                  <c:v>0</c:v>
                </c:pt>
                <c:pt idx="3">
                  <c:v>0</c:v>
                </c:pt>
                <c:pt idx="4">
                  <c:v>0</c:v>
                </c:pt>
                <c:pt idx="5">
                  <c:v>0</c:v>
                </c:pt>
                <c:pt idx="6">
                  <c:v>0</c:v>
                </c:pt>
                <c:pt idx="7">
                  <c:v>1.822283929191253E-2</c:v>
                </c:pt>
              </c:numCache>
            </c:numRef>
          </c:val>
          <c:extLst>
            <c:ext xmlns:c16="http://schemas.microsoft.com/office/drawing/2014/chart" uri="{C3380CC4-5D6E-409C-BE32-E72D297353CC}">
              <c16:uniqueId val="{00000000-4E04-41FA-8841-F7D5208053BE}"/>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N=9</c:v>
                </c:pt>
                <c:pt idx="7">
                  <c:v>Population, total N=5762</c:v>
                </c:pt>
              </c:strCache>
            </c:strRef>
          </c:cat>
          <c:val>
            <c:numRef>
              <c:f>'Stacked 100%'!$C$7:$C$14</c:f>
              <c:numCache>
                <c:formatCode>0%</c:formatCode>
                <c:ptCount val="8"/>
                <c:pt idx="0">
                  <c:v>0</c:v>
                </c:pt>
                <c:pt idx="1">
                  <c:v>0</c:v>
                </c:pt>
                <c:pt idx="2">
                  <c:v>0</c:v>
                </c:pt>
                <c:pt idx="3">
                  <c:v>0</c:v>
                </c:pt>
                <c:pt idx="4">
                  <c:v>0</c:v>
                </c:pt>
                <c:pt idx="5">
                  <c:v>0</c:v>
                </c:pt>
                <c:pt idx="6">
                  <c:v>0</c:v>
                </c:pt>
                <c:pt idx="7">
                  <c:v>4.8073585560569246E-2</c:v>
                </c:pt>
              </c:numCache>
            </c:numRef>
          </c:val>
          <c:extLst>
            <c:ext xmlns:c16="http://schemas.microsoft.com/office/drawing/2014/chart" uri="{C3380CC4-5D6E-409C-BE32-E72D297353CC}">
              <c16:uniqueId val="{00000001-4E04-41FA-8841-F7D5208053BE}"/>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N=9</c:v>
                </c:pt>
                <c:pt idx="7">
                  <c:v>Population, total N=5762</c:v>
                </c:pt>
              </c:strCache>
            </c:strRef>
          </c:cat>
          <c:val>
            <c:numRef>
              <c:f>'Stacked 100%'!$H$7:$H$14</c:f>
              <c:numCache>
                <c:formatCode>0%</c:formatCode>
                <c:ptCount val="8"/>
                <c:pt idx="0">
                  <c:v>0</c:v>
                </c:pt>
                <c:pt idx="1">
                  <c:v>0</c:v>
                </c:pt>
                <c:pt idx="2">
                  <c:v>0</c:v>
                </c:pt>
                <c:pt idx="3">
                  <c:v>0</c:v>
                </c:pt>
                <c:pt idx="4">
                  <c:v>0</c:v>
                </c:pt>
                <c:pt idx="5">
                  <c:v>0</c:v>
                </c:pt>
                <c:pt idx="6">
                  <c:v>0</c:v>
                </c:pt>
                <c:pt idx="7">
                  <c:v>2.3493520185933742E-6</c:v>
                </c:pt>
              </c:numCache>
            </c:numRef>
          </c:val>
          <c:extLst>
            <c:ext xmlns:c16="http://schemas.microsoft.com/office/drawing/2014/chart" uri="{C3380CC4-5D6E-409C-BE32-E72D297353CC}">
              <c16:uniqueId val="{00000002-4E04-41FA-8841-F7D5208053BE}"/>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N=9</c:v>
                </c:pt>
                <c:pt idx="7">
                  <c:v>Population, total N=5762</c:v>
                </c:pt>
              </c:strCache>
            </c:strRef>
          </c:cat>
          <c:val>
            <c:numRef>
              <c:f>'Stacked 100%'!$I$7:$I$14</c:f>
              <c:numCache>
                <c:formatCode>0%</c:formatCode>
                <c:ptCount val="8"/>
                <c:pt idx="0">
                  <c:v>0</c:v>
                </c:pt>
                <c:pt idx="1">
                  <c:v>0</c:v>
                </c:pt>
                <c:pt idx="2">
                  <c:v>0</c:v>
                </c:pt>
                <c:pt idx="3">
                  <c:v>0</c:v>
                </c:pt>
                <c:pt idx="4">
                  <c:v>0</c:v>
                </c:pt>
                <c:pt idx="5">
                  <c:v>0</c:v>
                </c:pt>
                <c:pt idx="6">
                  <c:v>1</c:v>
                </c:pt>
                <c:pt idx="7">
                  <c:v>0.92016660881638324</c:v>
                </c:pt>
              </c:numCache>
            </c:numRef>
          </c:val>
          <c:extLst>
            <c:ext xmlns:c16="http://schemas.microsoft.com/office/drawing/2014/chart" uri="{C3380CC4-5D6E-409C-BE32-E72D297353CC}">
              <c16:uniqueId val="{00000003-4E04-41FA-8841-F7D5208053BE}"/>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N=9</c:v>
                </c:pt>
                <c:pt idx="7">
                  <c:v>Population, total N=5762</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4E04-41FA-8841-F7D5208053BE}"/>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K8" sqref="K8:K16"/>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7" t="s">
        <v>1</v>
      </c>
      <c r="C1" s="177"/>
      <c r="D1" s="177"/>
      <c r="E1" s="177"/>
      <c r="F1" s="177"/>
      <c r="G1" s="177"/>
      <c r="H1" s="177"/>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5762</v>
      </c>
      <c r="C6" s="11">
        <v>5302</v>
      </c>
      <c r="D6" s="11">
        <v>105</v>
      </c>
      <c r="E6" s="11">
        <v>277</v>
      </c>
      <c r="F6" s="11">
        <v>50</v>
      </c>
      <c r="G6" s="11"/>
      <c r="H6" s="11">
        <v>28</v>
      </c>
      <c r="I6" s="11"/>
      <c r="J6" s="91">
        <f>SUM(D6:I6)</f>
        <v>460</v>
      </c>
      <c r="K6" s="92"/>
    </row>
    <row r="7" spans="1:11" ht="15.75" customHeight="1" thickBot="1" x14ac:dyDescent="0.25">
      <c r="A7" s="10" t="s">
        <v>8</v>
      </c>
      <c r="B7" s="11">
        <f t="shared" ref="B7:B15" si="0">SUM(C7:I7)+K7</f>
        <v>9</v>
      </c>
      <c r="C7" s="11">
        <v>9</v>
      </c>
      <c r="D7" s="11"/>
      <c r="E7" s="11"/>
      <c r="F7" s="11"/>
      <c r="G7" s="11"/>
      <c r="H7" s="11"/>
      <c r="I7" s="11"/>
      <c r="J7" s="91">
        <f t="shared" ref="J7:J15" si="1">SUM(D7:I7)</f>
        <v>0</v>
      </c>
      <c r="K7" s="92"/>
    </row>
    <row r="8" spans="1:11" ht="15.75" customHeight="1" thickBot="1" x14ac:dyDescent="0.25">
      <c r="A8" s="10" t="s">
        <v>9</v>
      </c>
      <c r="B8" s="11">
        <f t="shared" si="0"/>
        <v>0</v>
      </c>
      <c r="C8" s="11"/>
      <c r="D8" s="11"/>
      <c r="E8" s="11"/>
      <c r="F8" s="11"/>
      <c r="G8" s="11"/>
      <c r="H8" s="11"/>
      <c r="I8" s="11"/>
      <c r="J8" s="91">
        <f t="shared" si="1"/>
        <v>0</v>
      </c>
      <c r="K8" s="92"/>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0</v>
      </c>
      <c r="C11" s="11"/>
      <c r="D11" s="11"/>
      <c r="E11" s="11"/>
      <c r="F11" s="11"/>
      <c r="G11" s="11"/>
      <c r="H11" s="11"/>
      <c r="I11" s="11"/>
      <c r="J11" s="91">
        <f t="shared" si="1"/>
        <v>0</v>
      </c>
      <c r="K11" s="92"/>
    </row>
    <row r="12" spans="1:11" ht="15.75" customHeight="1" thickBot="1" x14ac:dyDescent="0.25">
      <c r="A12" s="10" t="s">
        <v>13</v>
      </c>
      <c r="B12" s="11">
        <f t="shared" si="0"/>
        <v>0</v>
      </c>
      <c r="C12" s="11"/>
      <c r="D12" s="11"/>
      <c r="E12" s="11"/>
      <c r="F12" s="11"/>
      <c r="G12" s="11"/>
      <c r="H12" s="11"/>
      <c r="I12" s="11"/>
      <c r="J12" s="91">
        <f t="shared" si="1"/>
        <v>0</v>
      </c>
      <c r="K12" s="92"/>
    </row>
    <row r="13" spans="1:11" ht="15.75" customHeight="1" thickBot="1" x14ac:dyDescent="0.25">
      <c r="A13" s="10" t="s">
        <v>133</v>
      </c>
      <c r="B13" s="11">
        <f t="shared" si="0"/>
        <v>0</v>
      </c>
      <c r="C13" s="11"/>
      <c r="D13" s="11"/>
      <c r="E13" s="11"/>
      <c r="F13" s="11"/>
      <c r="G13" s="11"/>
      <c r="H13" s="11"/>
      <c r="I13" s="11"/>
      <c r="J13" s="91">
        <f t="shared" si="1"/>
        <v>0</v>
      </c>
      <c r="K13" s="92"/>
    </row>
    <row r="14" spans="1:11" ht="26.25" customHeight="1" thickBot="1" x14ac:dyDescent="0.25">
      <c r="A14" s="10" t="s">
        <v>123</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6" t="s">
        <v>138</v>
      </c>
      <c r="B19" s="176"/>
      <c r="C19" s="8"/>
      <c r="D19" s="176" t="s">
        <v>139</v>
      </c>
      <c r="E19" s="176"/>
      <c r="F19" s="176"/>
      <c r="G19" s="176"/>
      <c r="H19" s="176"/>
      <c r="I19" s="176"/>
    </row>
    <row r="20" spans="1:9" ht="15" customHeight="1" x14ac:dyDescent="0.25">
      <c r="A20" s="176" t="s">
        <v>108</v>
      </c>
      <c r="B20" s="176"/>
      <c r="C20" s="8"/>
      <c r="D20" s="176" t="s">
        <v>109</v>
      </c>
      <c r="E20" s="176"/>
      <c r="F20" s="176"/>
      <c r="G20" s="176"/>
      <c r="H20" s="176"/>
      <c r="I20" s="176"/>
    </row>
    <row r="21" spans="1:9" ht="15" customHeight="1" x14ac:dyDescent="0.25">
      <c r="A21" s="176" t="s">
        <v>110</v>
      </c>
      <c r="B21" s="176"/>
      <c r="C21" s="8"/>
      <c r="D21" s="176" t="s">
        <v>111</v>
      </c>
      <c r="E21" s="176"/>
      <c r="F21" s="176"/>
      <c r="G21" s="176"/>
      <c r="H21" s="176"/>
      <c r="I21" s="176"/>
    </row>
    <row r="22" spans="1:9" ht="15" customHeight="1" x14ac:dyDescent="0.25">
      <c r="A22" s="176" t="s">
        <v>112</v>
      </c>
      <c r="B22" s="176"/>
      <c r="C22" s="8"/>
      <c r="D22" s="176" t="s">
        <v>113</v>
      </c>
      <c r="E22" s="176"/>
      <c r="F22" s="176"/>
      <c r="G22" s="176"/>
      <c r="H22" s="176"/>
      <c r="I22" s="176"/>
    </row>
    <row r="23" spans="1:9" ht="15" customHeight="1" x14ac:dyDescent="0.25">
      <c r="A23" s="176" t="s">
        <v>114</v>
      </c>
      <c r="B23" s="176"/>
      <c r="C23" s="8"/>
      <c r="D23" s="176" t="s">
        <v>115</v>
      </c>
      <c r="E23" s="176"/>
      <c r="F23" s="176"/>
      <c r="G23" s="176"/>
      <c r="H23" s="176"/>
      <c r="I23" s="176"/>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Shiawassee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5302</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9</v>
      </c>
      <c r="D7" s="34">
        <f>IF((AND(C66&gt;0,C7&gt;0)),(C7/C66),0)</f>
        <v>1.6974726518294985</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9</v>
      </c>
      <c r="Q7" s="42">
        <f>C6-C7</f>
        <v>5293</v>
      </c>
      <c r="R7" s="42">
        <f t="shared" ref="R7:R15" si="5">SUM(N7:Q7)</f>
        <v>5302</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9</v>
      </c>
      <c r="R8" s="42">
        <f t="shared" si="5"/>
        <v>9.0500000000000007</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9</v>
      </c>
      <c r="R9" s="42">
        <f t="shared" si="5"/>
        <v>9</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9</v>
      </c>
      <c r="R10" s="42">
        <f t="shared" si="5"/>
        <v>9</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9</v>
      </c>
      <c r="R11" s="42">
        <f t="shared" si="5"/>
        <v>9</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9</v>
      </c>
      <c r="R12" s="42">
        <f t="shared" si="5"/>
        <v>9</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9</v>
      </c>
      <c r="R13" s="42">
        <f t="shared" si="5"/>
        <v>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9</v>
      </c>
      <c r="R14" s="42">
        <f t="shared" si="5"/>
        <v>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9</v>
      </c>
      <c r="R15" s="42">
        <f t="shared" si="5"/>
        <v>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5.3019999999999996</v>
      </c>
      <c r="D42" s="56">
        <f>E6/1000</f>
        <v>0</v>
      </c>
      <c r="E42" s="56">
        <f>MAX(C42:D42)</f>
        <v>5.3019999999999996</v>
      </c>
      <c r="G42" s="1" t="str">
        <f>B42</f>
        <v>per 1000 youth</v>
      </c>
      <c r="L42" s="57">
        <v>1000</v>
      </c>
      <c r="M42" s="57"/>
      <c r="R42" s="49"/>
    </row>
    <row r="43" spans="2:18" ht="15" hidden="1" customHeight="1" x14ac:dyDescent="0.25">
      <c r="B43" s="49" t="s">
        <v>87</v>
      </c>
      <c r="C43" s="56">
        <f>C7/100</f>
        <v>0.09</v>
      </c>
      <c r="D43" s="56">
        <f>E7/100</f>
        <v>0</v>
      </c>
      <c r="E43" s="56">
        <f>MAX(C43:D43,0)</f>
        <v>0.09</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5.3019999999999996</v>
      </c>
      <c r="D48" s="56">
        <f>D42</f>
        <v>0</v>
      </c>
      <c r="E48" s="56">
        <f>MAX(C48:D48)</f>
        <v>5.3019999999999996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0.09</v>
      </c>
      <c r="D49" s="49">
        <f t="shared" si="9"/>
        <v>0</v>
      </c>
      <c r="E49" s="49">
        <f>MAX(C49:D49)</f>
        <v>0.09</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0.09</v>
      </c>
      <c r="D50" s="49">
        <f t="shared" si="9"/>
        <v>0</v>
      </c>
      <c r="E50" s="49">
        <f>MAX(C50:D50)</f>
        <v>0.09</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5.3019999999999996</v>
      </c>
      <c r="D54" s="56">
        <f>D48</f>
        <v>0</v>
      </c>
      <c r="E54" s="56">
        <f>MAX(C54:D54)</f>
        <v>5.3019999999999996</v>
      </c>
      <c r="G54" s="1" t="str">
        <f>G48</f>
        <v>per 1000 youth</v>
      </c>
      <c r="L54" s="58">
        <f>L48</f>
        <v>1000</v>
      </c>
      <c r="M54" s="58"/>
    </row>
    <row r="55" spans="2:18" ht="15" hidden="1" customHeight="1" x14ac:dyDescent="0.25">
      <c r="B55" s="49" t="str">
        <f t="shared" ref="B55:D56" si="10">IF(($E49&gt;0),B49,B48)</f>
        <v>per 100 arrests</v>
      </c>
      <c r="C55" s="49">
        <f t="shared" si="10"/>
        <v>0.09</v>
      </c>
      <c r="D55" s="49">
        <f t="shared" si="10"/>
        <v>0</v>
      </c>
      <c r="E55" s="49">
        <f>MAX(C55:D55)</f>
        <v>0.09</v>
      </c>
      <c r="G55" s="1" t="str">
        <f>G49</f>
        <v>per 100 arrests</v>
      </c>
      <c r="L55" s="58">
        <f>IF(($E49&gt;0),L49,L48)</f>
        <v>100</v>
      </c>
      <c r="M55" s="58"/>
    </row>
    <row r="56" spans="2:18" ht="15" hidden="1" customHeight="1" x14ac:dyDescent="0.25">
      <c r="B56" s="49" t="str">
        <f t="shared" si="10"/>
        <v>per 100 arrests</v>
      </c>
      <c r="C56" s="49">
        <f t="shared" si="10"/>
        <v>0.09</v>
      </c>
      <c r="D56" s="49">
        <f t="shared" si="10"/>
        <v>0</v>
      </c>
      <c r="E56" s="49">
        <f>MAX(C56:D56)</f>
        <v>0.09</v>
      </c>
      <c r="G56" s="1" t="str">
        <f>G50</f>
        <v>per 100 referrals</v>
      </c>
      <c r="L56" s="58">
        <f>IF(($E50&gt;0),L50,L49)</f>
        <v>100</v>
      </c>
      <c r="M56" s="58"/>
    </row>
    <row r="57" spans="2:18" ht="15" hidden="1" customHeight="1" x14ac:dyDescent="0.25">
      <c r="B57" s="49" t="str">
        <f>IF(($E51&gt;0),B51,B49)</f>
        <v>per 100 arrests</v>
      </c>
      <c r="C57" s="49">
        <f>IF(($E51&gt;0),C51,C50)</f>
        <v>0.09</v>
      </c>
      <c r="D57" s="49">
        <f>IF(($E51&gt;0),D51,D50)</f>
        <v>0</v>
      </c>
      <c r="E57" s="49">
        <f>MAX(C57:D57)</f>
        <v>0.09</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5.3019999999999996</v>
      </c>
      <c r="D60" s="56">
        <f>D54</f>
        <v>0</v>
      </c>
      <c r="E60" s="56">
        <f>MAX(C60:D60)</f>
        <v>5.3019999999999996</v>
      </c>
      <c r="G60" s="1" t="str">
        <f>G54</f>
        <v>per 1000 youth</v>
      </c>
      <c r="L60" s="58">
        <f>L54</f>
        <v>1000</v>
      </c>
      <c r="M60" s="58"/>
    </row>
    <row r="61" spans="2:18" ht="15" hidden="1" customHeight="1" x14ac:dyDescent="0.25">
      <c r="B61" s="49" t="str">
        <f t="shared" ref="B61:D62" si="11">IF(($E55&gt;0),B55,B54)</f>
        <v>per 100 arrests</v>
      </c>
      <c r="C61" s="49">
        <f t="shared" si="11"/>
        <v>0.09</v>
      </c>
      <c r="D61" s="49">
        <f t="shared" si="11"/>
        <v>0</v>
      </c>
      <c r="E61" s="49">
        <f>MAX(C61:D61)</f>
        <v>0.09</v>
      </c>
      <c r="G61" s="1" t="str">
        <f>G55</f>
        <v>per 100 arrests</v>
      </c>
      <c r="L61" s="58">
        <f>IF(($E55&gt;0),L55,L54)</f>
        <v>100</v>
      </c>
      <c r="M61" s="58"/>
    </row>
    <row r="62" spans="2:18" ht="15" hidden="1" customHeight="1" x14ac:dyDescent="0.25">
      <c r="B62" s="49" t="str">
        <f t="shared" si="11"/>
        <v>per 100 arrests</v>
      </c>
      <c r="C62" s="49">
        <f t="shared" si="11"/>
        <v>0.09</v>
      </c>
      <c r="D62" s="49">
        <f t="shared" si="11"/>
        <v>0</v>
      </c>
      <c r="E62" s="49">
        <f>MAX(C62:D62)</f>
        <v>0.09</v>
      </c>
      <c r="G62" s="1" t="str">
        <f>G56</f>
        <v>per 100 referrals</v>
      </c>
      <c r="L62" s="58">
        <f>IF(($E56&gt;0),L56,L55)</f>
        <v>100</v>
      </c>
      <c r="M62" s="58"/>
    </row>
    <row r="63" spans="2:18" ht="15" hidden="1" customHeight="1" x14ac:dyDescent="0.25">
      <c r="B63" s="49" t="str">
        <f>IF(($E57&gt;0),B57,B55)</f>
        <v>per 100 arrests</v>
      </c>
      <c r="C63" s="49">
        <f>IF(($E57&gt;0),C57,C56)</f>
        <v>0.09</v>
      </c>
      <c r="D63" s="49">
        <f>IF(($E57&gt;0),D57,D56)</f>
        <v>0</v>
      </c>
      <c r="E63" s="49">
        <f>MAX(C63:D63)</f>
        <v>0.09</v>
      </c>
      <c r="G63" s="1" t="str">
        <f>G57</f>
        <v>per 100 youth petitioned</v>
      </c>
      <c r="L63" s="58">
        <f>IF(($E57&gt;0),L57,L56)</f>
        <v>100</v>
      </c>
      <c r="M63" s="58"/>
    </row>
    <row r="64" spans="2:18" ht="15" hidden="1" customHeight="1" x14ac:dyDescent="0.25">
      <c r="B64" s="49" t="str">
        <f>IF(($E58&gt;0),B58,B57)</f>
        <v>per 100 arrests</v>
      </c>
      <c r="C64" s="49">
        <f>IF(($E58&gt;0),C58,C57)</f>
        <v>0.09</v>
      </c>
      <c r="D64" s="49">
        <f>IF(($E58&gt;0),D58,D57)</f>
        <v>0</v>
      </c>
      <c r="E64" s="56">
        <f>MAX(C64:D64)</f>
        <v>0.09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5.3019999999999996</v>
      </c>
      <c r="D66" s="56">
        <f>D60</f>
        <v>0</v>
      </c>
      <c r="E66" s="56">
        <f>MAX(C66:D66)</f>
        <v>5.3019999999999996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0.09</v>
      </c>
      <c r="D67" s="49">
        <f t="shared" si="12"/>
        <v>0</v>
      </c>
      <c r="E67" s="49">
        <f>MAX(C67:D67)</f>
        <v>0.09</v>
      </c>
      <c r="G67" s="1" t="str">
        <f>G61</f>
        <v>per 100 arrests</v>
      </c>
      <c r="L67" s="58">
        <f>IF(($E61&gt;0),L61,L60)</f>
        <v>100</v>
      </c>
      <c r="M67" s="58">
        <f>IF((B67=G67),1,2)</f>
        <v>1</v>
      </c>
    </row>
    <row r="68" spans="2:13" ht="15" hidden="1" customHeight="1" x14ac:dyDescent="0.25">
      <c r="B68" s="49" t="str">
        <f t="shared" si="12"/>
        <v>per 100 arrests</v>
      </c>
      <c r="C68" s="49">
        <f t="shared" si="12"/>
        <v>0.09</v>
      </c>
      <c r="D68" s="49">
        <f t="shared" si="12"/>
        <v>0</v>
      </c>
      <c r="E68" s="49">
        <f>MAX(C68:D68)</f>
        <v>0.09</v>
      </c>
      <c r="G68" s="1" t="str">
        <f>G62</f>
        <v>per 100 referrals</v>
      </c>
      <c r="L68" s="58">
        <f>IF(($E62&gt;0),L62,L61)</f>
        <v>100</v>
      </c>
      <c r="M68" s="58">
        <f>IF((B68=G68),1,2)</f>
        <v>2</v>
      </c>
    </row>
    <row r="69" spans="2:13" ht="15" hidden="1" customHeight="1" x14ac:dyDescent="0.25">
      <c r="B69" s="49" t="str">
        <f>IF(($E63&gt;0),B63,B61)</f>
        <v>per 100 arrests</v>
      </c>
      <c r="C69" s="49">
        <f>IF(($E63&gt;0),C63,C62)</f>
        <v>0.09</v>
      </c>
      <c r="D69" s="49">
        <f>IF(($E63&gt;0),D63,D62)</f>
        <v>0</v>
      </c>
      <c r="E69" s="49">
        <f>MAX(C69:D69)</f>
        <v>0.09</v>
      </c>
      <c r="G69" s="1" t="str">
        <f>G63</f>
        <v>per 100 youth petitioned</v>
      </c>
      <c r="L69" s="58">
        <f>IF(($E63&gt;0),L63,L62)</f>
        <v>100</v>
      </c>
      <c r="M69" s="58">
        <f>IF((B69=G69),1,2)</f>
        <v>2</v>
      </c>
    </row>
    <row r="70" spans="2:13" ht="15" hidden="1" customHeight="1" x14ac:dyDescent="0.25">
      <c r="B70" s="49" t="str">
        <f>IF(($E64&gt;0),B64,B63)</f>
        <v>per 100 arrests</v>
      </c>
      <c r="C70" s="49">
        <f>IF(($E64&gt;0),C64,C63)</f>
        <v>0.09</v>
      </c>
      <c r="D70" s="49">
        <f>IF(($E64&gt;0),D64,D63)</f>
        <v>0</v>
      </c>
      <c r="E70" s="56">
        <f>MAX(C70:D70)</f>
        <v>0.09</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Shiawassee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5302</v>
      </c>
      <c r="D6" s="34"/>
      <c r="E6" s="33">
        <f>'Data Entry'!J6</f>
        <v>460</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9</v>
      </c>
      <c r="D7" s="34">
        <f>IF((AND(C66&gt;0,C7&gt;0)),(C7/C66),0)</f>
        <v>1.6974726518294985</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460</v>
      </c>
      <c r="P7" s="42">
        <f t="shared" ref="P7:P15" si="4">C7</f>
        <v>9</v>
      </c>
      <c r="Q7" s="42">
        <f>C6-C7</f>
        <v>5293</v>
      </c>
      <c r="R7" s="42">
        <f t="shared" ref="R7:R15" si="5">SUM(N7:Q7)</f>
        <v>5762</v>
      </c>
      <c r="S7" s="30">
        <f t="shared" ref="S7:S15" si="6">R7*((((N7*Q7)-(O7*P7))^2))</f>
        <v>98758375200</v>
      </c>
      <c r="T7" s="30">
        <f t="shared" ref="T7:T15" si="7">(N7+O7)*(P7+Q7)*(N7+P7)*(O7+Q7)</f>
        <v>126279960840</v>
      </c>
      <c r="U7" s="31">
        <f t="shared" ref="U7:U15" si="8">IF((S7&gt;0),S7/T7,"- -")</f>
        <v>0.78205896282411291</v>
      </c>
    </row>
    <row r="8" spans="2:21" ht="18" customHeight="1" x14ac:dyDescent="0.25">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9</v>
      </c>
      <c r="R8" s="42">
        <f t="shared" si="5"/>
        <v>9.0500000000000007</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9</v>
      </c>
      <c r="R9" s="42">
        <f t="shared" si="5"/>
        <v>9</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9</v>
      </c>
      <c r="R10" s="42">
        <f t="shared" si="5"/>
        <v>9</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9</v>
      </c>
      <c r="R11" s="42">
        <f t="shared" si="5"/>
        <v>9</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9</v>
      </c>
      <c r="R12" s="42">
        <f t="shared" si="5"/>
        <v>9</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9</v>
      </c>
      <c r="R13" s="42">
        <f t="shared" si="5"/>
        <v>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9</v>
      </c>
      <c r="R14" s="42">
        <f t="shared" si="5"/>
        <v>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9</v>
      </c>
      <c r="R15" s="42">
        <f t="shared" si="5"/>
        <v>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5.3019999999999996</v>
      </c>
      <c r="D42" s="56">
        <f>E6/1000</f>
        <v>0.46</v>
      </c>
      <c r="E42" s="56">
        <f>MAX(C42:D42)</f>
        <v>5.3019999999999996</v>
      </c>
      <c r="G42" s="1" t="str">
        <f>B42</f>
        <v>per 1000 youth</v>
      </c>
      <c r="L42" s="57">
        <v>1000</v>
      </c>
      <c r="M42" s="57"/>
      <c r="R42" s="49"/>
    </row>
    <row r="43" spans="2:18" ht="15" hidden="1" customHeight="1" x14ac:dyDescent="0.25">
      <c r="B43" s="49" t="s">
        <v>87</v>
      </c>
      <c r="C43" s="56">
        <f>C7/100</f>
        <v>0.09</v>
      </c>
      <c r="D43" s="56">
        <f>E7/100</f>
        <v>0</v>
      </c>
      <c r="E43" s="56">
        <f>MAX(C43:D43,0)</f>
        <v>0.09</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5.3019999999999996</v>
      </c>
      <c r="D48" s="56">
        <f>D42</f>
        <v>0.46</v>
      </c>
      <c r="E48" s="56">
        <f>MAX(C48:D48)</f>
        <v>5.3019999999999996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0.09</v>
      </c>
      <c r="D49" s="49">
        <f t="shared" si="9"/>
        <v>0</v>
      </c>
      <c r="E49" s="49">
        <f>MAX(C49:D49)</f>
        <v>0.09</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0.09</v>
      </c>
      <c r="D50" s="49">
        <f t="shared" si="9"/>
        <v>0</v>
      </c>
      <c r="E50" s="49">
        <f>MAX(C50:D50)</f>
        <v>0.09</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5.3019999999999996</v>
      </c>
      <c r="D54" s="56">
        <f>D48</f>
        <v>0.46</v>
      </c>
      <c r="E54" s="56">
        <f>MAX(C54:D54)</f>
        <v>5.3019999999999996</v>
      </c>
      <c r="G54" s="1" t="str">
        <f>G48</f>
        <v>per 1000 youth</v>
      </c>
      <c r="L54" s="58">
        <f>L48</f>
        <v>1000</v>
      </c>
      <c r="M54" s="58"/>
    </row>
    <row r="55" spans="2:18" ht="15" hidden="1" customHeight="1" x14ac:dyDescent="0.25">
      <c r="B55" s="49" t="str">
        <f t="shared" ref="B55:D56" si="10">IF(($E49&gt;0),B49,B48)</f>
        <v>per 100 arrests</v>
      </c>
      <c r="C55" s="49">
        <f t="shared" si="10"/>
        <v>0.09</v>
      </c>
      <c r="D55" s="49">
        <f t="shared" si="10"/>
        <v>0</v>
      </c>
      <c r="E55" s="49">
        <f>MAX(C55:D55)</f>
        <v>0.09</v>
      </c>
      <c r="G55" s="1" t="str">
        <f>G49</f>
        <v>per 100 arrests</v>
      </c>
      <c r="L55" s="58">
        <f>IF(($E49&gt;0),L49,L48)</f>
        <v>100</v>
      </c>
      <c r="M55" s="58"/>
    </row>
    <row r="56" spans="2:18" ht="15" hidden="1" customHeight="1" x14ac:dyDescent="0.25">
      <c r="B56" s="49" t="str">
        <f t="shared" si="10"/>
        <v>per 100 arrests</v>
      </c>
      <c r="C56" s="49">
        <f t="shared" si="10"/>
        <v>0.09</v>
      </c>
      <c r="D56" s="49">
        <f t="shared" si="10"/>
        <v>0</v>
      </c>
      <c r="E56" s="49">
        <f>MAX(C56:D56)</f>
        <v>0.09</v>
      </c>
      <c r="G56" s="1" t="str">
        <f>G50</f>
        <v>per 100 referrals</v>
      </c>
      <c r="L56" s="58">
        <f>IF(($E50&gt;0),L50,L49)</f>
        <v>100</v>
      </c>
      <c r="M56" s="58"/>
    </row>
    <row r="57" spans="2:18" ht="15" hidden="1" customHeight="1" x14ac:dyDescent="0.25">
      <c r="B57" s="49" t="str">
        <f>IF(($E51&gt;0),B51,B49)</f>
        <v>per 100 arrests</v>
      </c>
      <c r="C57" s="49">
        <f>IF(($E51&gt;0),C51,C50)</f>
        <v>0.09</v>
      </c>
      <c r="D57" s="49">
        <f>IF(($E51&gt;0),D51,D50)</f>
        <v>0</v>
      </c>
      <c r="E57" s="49">
        <f>MAX(C57:D57)</f>
        <v>0.09</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5.3019999999999996</v>
      </c>
      <c r="D60" s="56">
        <f>D54</f>
        <v>0.46</v>
      </c>
      <c r="E60" s="56">
        <f>MAX(C60:D60)</f>
        <v>5.3019999999999996</v>
      </c>
      <c r="G60" s="1" t="str">
        <f>G54</f>
        <v>per 1000 youth</v>
      </c>
      <c r="L60" s="58">
        <f>L54</f>
        <v>1000</v>
      </c>
      <c r="M60" s="58"/>
    </row>
    <row r="61" spans="2:18" ht="15" hidden="1" customHeight="1" x14ac:dyDescent="0.25">
      <c r="B61" s="49" t="str">
        <f t="shared" ref="B61:D62" si="11">IF(($E55&gt;0),B55,B54)</f>
        <v>per 100 arrests</v>
      </c>
      <c r="C61" s="49">
        <f t="shared" si="11"/>
        <v>0.09</v>
      </c>
      <c r="D61" s="49">
        <f t="shared" si="11"/>
        <v>0</v>
      </c>
      <c r="E61" s="49">
        <f>MAX(C61:D61)</f>
        <v>0.09</v>
      </c>
      <c r="G61" s="1" t="str">
        <f>G55</f>
        <v>per 100 arrests</v>
      </c>
      <c r="L61" s="58">
        <f>IF(($E55&gt;0),L55,L54)</f>
        <v>100</v>
      </c>
      <c r="M61" s="58"/>
    </row>
    <row r="62" spans="2:18" ht="15" hidden="1" customHeight="1" x14ac:dyDescent="0.25">
      <c r="B62" s="49" t="str">
        <f t="shared" si="11"/>
        <v>per 100 arrests</v>
      </c>
      <c r="C62" s="49">
        <f t="shared" si="11"/>
        <v>0.09</v>
      </c>
      <c r="D62" s="49">
        <f t="shared" si="11"/>
        <v>0</v>
      </c>
      <c r="E62" s="49">
        <f>MAX(C62:D62)</f>
        <v>0.09</v>
      </c>
      <c r="G62" s="1" t="str">
        <f>G56</f>
        <v>per 100 referrals</v>
      </c>
      <c r="L62" s="58">
        <f>IF(($E56&gt;0),L56,L55)</f>
        <v>100</v>
      </c>
      <c r="M62" s="58"/>
    </row>
    <row r="63" spans="2:18" ht="15" hidden="1" customHeight="1" x14ac:dyDescent="0.25">
      <c r="B63" s="49" t="str">
        <f>IF(($E57&gt;0),B57,B55)</f>
        <v>per 100 arrests</v>
      </c>
      <c r="C63" s="49">
        <f>IF(($E57&gt;0),C57,C56)</f>
        <v>0.09</v>
      </c>
      <c r="D63" s="49">
        <f>IF(($E57&gt;0),D57,D56)</f>
        <v>0</v>
      </c>
      <c r="E63" s="49">
        <f>MAX(C63:D63)</f>
        <v>0.09</v>
      </c>
      <c r="G63" s="1" t="str">
        <f>G57</f>
        <v>per 100 youth petitioned</v>
      </c>
      <c r="L63" s="58">
        <f>IF(($E57&gt;0),L57,L56)</f>
        <v>100</v>
      </c>
      <c r="M63" s="58"/>
    </row>
    <row r="64" spans="2:18" ht="15" hidden="1" customHeight="1" x14ac:dyDescent="0.25">
      <c r="B64" s="49" t="str">
        <f>IF(($E58&gt;0),B58,B57)</f>
        <v>per 100 arrests</v>
      </c>
      <c r="C64" s="49">
        <f>IF(($E58&gt;0),C58,C57)</f>
        <v>0.09</v>
      </c>
      <c r="D64" s="49">
        <f>IF(($E58&gt;0),D58,D57)</f>
        <v>0</v>
      </c>
      <c r="E64" s="56">
        <f>MAX(C64:D64)</f>
        <v>0.09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5.3019999999999996</v>
      </c>
      <c r="D66" s="56">
        <f>D60</f>
        <v>0.46</v>
      </c>
      <c r="E66" s="56">
        <f>MAX(C66:D66)</f>
        <v>5.3019999999999996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0.09</v>
      </c>
      <c r="D67" s="49">
        <f t="shared" si="12"/>
        <v>0</v>
      </c>
      <c r="E67" s="49">
        <f>MAX(C67:D67)</f>
        <v>0.09</v>
      </c>
      <c r="G67" s="1" t="str">
        <f>G61</f>
        <v>per 100 arrests</v>
      </c>
      <c r="L67" s="58">
        <f>IF(($E61&gt;0),L61,L60)</f>
        <v>100</v>
      </c>
      <c r="M67" s="58">
        <f>IF((B67=G67),1,2)</f>
        <v>1</v>
      </c>
    </row>
    <row r="68" spans="2:13" ht="15" hidden="1" customHeight="1" x14ac:dyDescent="0.25">
      <c r="B68" s="49" t="str">
        <f t="shared" si="12"/>
        <v>per 100 arrests</v>
      </c>
      <c r="C68" s="49">
        <f t="shared" si="12"/>
        <v>0.09</v>
      </c>
      <c r="D68" s="49">
        <f t="shared" si="12"/>
        <v>0</v>
      </c>
      <c r="E68" s="49">
        <f>MAX(C68:D68)</f>
        <v>0.09</v>
      </c>
      <c r="G68" s="1" t="str">
        <f>G62</f>
        <v>per 100 referrals</v>
      </c>
      <c r="L68" s="58">
        <f>IF(($E62&gt;0),L62,L61)</f>
        <v>100</v>
      </c>
      <c r="M68" s="58">
        <f>IF((B68=G68),1,2)</f>
        <v>2</v>
      </c>
    </row>
    <row r="69" spans="2:13" ht="15" hidden="1" customHeight="1" x14ac:dyDescent="0.25">
      <c r="B69" s="49" t="str">
        <f>IF(($E63&gt;0),B63,B61)</f>
        <v>per 100 arrests</v>
      </c>
      <c r="C69" s="49">
        <f>IF(($E63&gt;0),C63,C62)</f>
        <v>0.09</v>
      </c>
      <c r="D69" s="49">
        <f>IF(($E63&gt;0),D63,D62)</f>
        <v>0</v>
      </c>
      <c r="E69" s="49">
        <f>MAX(C69:D69)</f>
        <v>0.09</v>
      </c>
      <c r="G69" s="1" t="str">
        <f>G63</f>
        <v>per 100 youth petitioned</v>
      </c>
      <c r="L69" s="58">
        <f>IF(($E63&gt;0),L63,L62)</f>
        <v>100</v>
      </c>
      <c r="M69" s="58">
        <f>IF((B69=G69),1,2)</f>
        <v>2</v>
      </c>
    </row>
    <row r="70" spans="2:13" ht="15" hidden="1" customHeight="1" x14ac:dyDescent="0.25">
      <c r="B70" s="49" t="str">
        <f>IF(($E64&gt;0),B64,B63)</f>
        <v>per 100 arrests</v>
      </c>
      <c r="C70" s="49">
        <f>IF(($E64&gt;0),C64,C63)</f>
        <v>0.09</v>
      </c>
      <c r="D70" s="49">
        <f>IF(($E64&gt;0),D64,D63)</f>
        <v>0</v>
      </c>
      <c r="E70" s="56">
        <f>MAX(C70:D70)</f>
        <v>0.09</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Shiawassee</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5762</v>
      </c>
      <c r="D3" s="57">
        <f>'Data Entry'!C6</f>
        <v>5302</v>
      </c>
      <c r="E3" s="57">
        <f>'Data Entry'!D6</f>
        <v>105</v>
      </c>
      <c r="F3" s="57">
        <f>'Data Entry'!E6</f>
        <v>277</v>
      </c>
      <c r="G3" s="57">
        <f>'Data Entry'!F6</f>
        <v>50</v>
      </c>
      <c r="H3" s="57">
        <f>'Data Entry'!G6</f>
        <v>0</v>
      </c>
      <c r="I3" s="57">
        <f>'Data Entry'!H6</f>
        <v>28</v>
      </c>
      <c r="J3" s="57">
        <f>'Data Entry'!I6</f>
        <v>0</v>
      </c>
      <c r="K3" s="57">
        <f>'Data Entry'!J6</f>
        <v>460</v>
      </c>
    </row>
    <row r="4" spans="2:11" ht="15" customHeight="1" x14ac:dyDescent="0.25">
      <c r="B4" s="16" t="s">
        <v>8</v>
      </c>
      <c r="C4" s="1">
        <f>IF((C$3&gt;0),(1000*('Data Entry'!B7/'Data Entry'!B$6)), 0)</f>
        <v>1.5619576535925026</v>
      </c>
      <c r="D4" s="1">
        <f>IF((D$3&gt;0),(1000*('Data Entry'!C7/'Data Entry'!C$6)), 0)</f>
        <v>1.6974726518294985</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Shiawassee</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Shiawassee</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5302</v>
      </c>
      <c r="D7" s="105">
        <f>'Data Entry'!D6</f>
        <v>105</v>
      </c>
      <c r="E7" s="106"/>
      <c r="F7" s="107">
        <f>'Data Entry'!E6</f>
        <v>277</v>
      </c>
      <c r="G7" s="106"/>
      <c r="H7" s="107">
        <f>'Data Entry'!F6</f>
        <v>50</v>
      </c>
      <c r="I7" s="106"/>
      <c r="J7" s="107">
        <f>'Data Entry'!G6</f>
        <v>0</v>
      </c>
      <c r="K7" s="106"/>
      <c r="L7" s="107">
        <f>'Data Entry'!H6</f>
        <v>28</v>
      </c>
      <c r="M7" s="106"/>
      <c r="N7" s="107">
        <f>'Data Entry'!I6</f>
        <v>0</v>
      </c>
      <c r="O7" s="106"/>
      <c r="P7" s="107">
        <f>'Data Entry'!J6</f>
        <v>460</v>
      </c>
      <c r="Q7" s="108"/>
    </row>
    <row r="8" spans="2:26" s="1" customFormat="1" ht="15" customHeight="1" x14ac:dyDescent="0.3">
      <c r="B8" s="149" t="s">
        <v>8</v>
      </c>
      <c r="C8" s="104">
        <f>'Data Entry'!C7</f>
        <v>9</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x14ac:dyDescent="0.3">
      <c r="B9" s="149" t="s">
        <v>134</v>
      </c>
      <c r="C9" s="104">
        <f>'Data Entry'!C8</f>
        <v>0</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0</v>
      </c>
      <c r="Q9" s="112"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133</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Shiawassee</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Shiawassee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11.526086956521741</v>
      </c>
    </row>
    <row r="8" spans="1:12" ht="25.5" customHeight="1" x14ac:dyDescent="0.2">
      <c r="A8" s="158" t="str">
        <f>CONCATENATE("Confinement, total N=", 'Data Entry'!B14)</f>
        <v>Confinement, total N=0</v>
      </c>
      <c r="B8" s="157" t="e">
        <f>'Data Entry'!D14/'Data Entry'!B14</f>
        <v>#DIV/0!</v>
      </c>
      <c r="C8" s="157" t="e">
        <f>'Data Entry'!E14/'Data Entry'!B14</f>
        <v>#DIV/0!</v>
      </c>
      <c r="D8" s="157" t="e">
        <f>'Data Entry'!F14/'Data Entry'!B14</f>
        <v>#DIV/0!</v>
      </c>
      <c r="E8" s="157" t="e">
        <f>'Data Entry'!G14/'Data Entry'!B14</f>
        <v>#DIV/0!</v>
      </c>
      <c r="F8" s="157" t="e">
        <f>'Data Entry'!H14/'Data Entry'!B14</f>
        <v>#DIV/0!</v>
      </c>
      <c r="G8" s="157" t="e">
        <f>'Data Entry'!I14/'Data Entry'!B14</f>
        <v>#DIV/0!</v>
      </c>
      <c r="H8" s="157" t="e">
        <f>SUM(D8:G8)/'Data Entry'!B14</f>
        <v>#DIV/0!</v>
      </c>
      <c r="I8" s="157" t="e">
        <f>'Data Entry'!C14/'Data Entry'!B14</f>
        <v>#DIV/0!</v>
      </c>
      <c r="K8" s="97" t="str">
        <f>A8</f>
        <v>Confinement, total N=0</v>
      </c>
      <c r="L8">
        <f>I14/(SUM(B14:G14))</f>
        <v>11.526086956521741</v>
      </c>
    </row>
    <row r="9" spans="1:12" x14ac:dyDescent="0.2">
      <c r="A9" s="132" t="str">
        <f>CONCATENATE("Delinquent Findings, total N=", 'Data Entry'!B12)</f>
        <v>Delinquent Findings, total N=0</v>
      </c>
      <c r="B9" s="157" t="e">
        <f>'Data Entry'!D12/'Data Entry'!B12</f>
        <v>#DIV/0!</v>
      </c>
      <c r="C9" s="157" t="e">
        <f>'Data Entry'!E12/'Data Entry'!B12</f>
        <v>#DIV/0!</v>
      </c>
      <c r="D9" s="157" t="e">
        <f>'Data Entry'!F12/'Data Entry'!B12</f>
        <v>#DIV/0!</v>
      </c>
      <c r="E9" s="157" t="e">
        <f>'Data Entry'!G12/'Data Entry'!B12</f>
        <v>#DIV/0!</v>
      </c>
      <c r="F9" s="157" t="e">
        <f>'Data Entry'!H12/'Data Entry'!B12</f>
        <v>#DIV/0!</v>
      </c>
      <c r="G9" s="157" t="e">
        <f>'Data Entry'!I12/'Data Entry'!B12</f>
        <v>#DIV/0!</v>
      </c>
      <c r="H9" s="157" t="e">
        <f>SUM(D9:G9)/'Data Entry'!B12</f>
        <v>#DIV/0!</v>
      </c>
      <c r="I9" s="157" t="e">
        <f>'Data Entry'!C12/'Data Entry'!B12</f>
        <v>#DIV/0!</v>
      </c>
      <c r="K9" s="97" t="str">
        <f t="shared" si="0"/>
        <v>Delinquent Findings, total N=0</v>
      </c>
      <c r="L9">
        <f>I14/(SUM(B14:G14))</f>
        <v>11.526086956521741</v>
      </c>
    </row>
    <row r="10" spans="1:12" x14ac:dyDescent="0.2">
      <c r="A10" s="132" t="str">
        <f>CONCATENATE("Petitions, total N=", 'Data Entry'!B11)</f>
        <v>Petitions, total N=0</v>
      </c>
      <c r="B10" s="157" t="e">
        <f>'Data Entry'!D11/'Data Entry'!B11</f>
        <v>#DIV/0!</v>
      </c>
      <c r="C10" s="157" t="e">
        <f>'Data Entry'!E11/'Data Entry'!B11</f>
        <v>#DIV/0!</v>
      </c>
      <c r="D10" s="157" t="e">
        <f>'Data Entry'!F11/'Data Entry'!B11</f>
        <v>#DIV/0!</v>
      </c>
      <c r="E10" s="157" t="e">
        <f>'Data Entry'!G11/'Data Entry'!B11</f>
        <v>#DIV/0!</v>
      </c>
      <c r="F10" s="157" t="e">
        <f>'Data Entry'!H11/'Data Entry'!B11</f>
        <v>#DIV/0!</v>
      </c>
      <c r="G10" s="157" t="e">
        <f>'Data Entry'!I11/'Data Entry'!B11</f>
        <v>#DIV/0!</v>
      </c>
      <c r="H10" s="157" t="e">
        <f>SUM(D10:G10)/'Data Entry'!B11</f>
        <v>#DIV/0!</v>
      </c>
      <c r="I10" s="157" t="e">
        <f>'Data Entry'!C11/'Data Entry'!B11</f>
        <v>#DIV/0!</v>
      </c>
      <c r="K10" s="97" t="str">
        <f t="shared" si="0"/>
        <v>Petitions, total N=0</v>
      </c>
      <c r="L10">
        <f>I14/(SUM(B14:G14))</f>
        <v>11.526086956521741</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11.526086956521741</v>
      </c>
    </row>
    <row r="12" spans="1:12" x14ac:dyDescent="0.2">
      <c r="A12" s="132" t="str">
        <f>CONCATENATE("Referrals, total N=", 'Data Entry'!B8)</f>
        <v>Referrals, total N=0</v>
      </c>
      <c r="B12" s="157" t="e">
        <f>'Data Entry'!D8/'Data Entry'!B8</f>
        <v>#DIV/0!</v>
      </c>
      <c r="C12" s="157" t="e">
        <f>'Data Entry'!E8/'Data Entry'!B8</f>
        <v>#DIV/0!</v>
      </c>
      <c r="D12" s="157" t="e">
        <f>'Data Entry'!F8/'Data Entry'!B8</f>
        <v>#DIV/0!</v>
      </c>
      <c r="E12" s="157" t="e">
        <f>'Data Entry'!G8/'Data Entry'!B8</f>
        <v>#DIV/0!</v>
      </c>
      <c r="F12" s="157" t="e">
        <f>'Data Entry'!H8/'Data Entry'!B8</f>
        <v>#DIV/0!</v>
      </c>
      <c r="G12" s="157" t="e">
        <f>'Data Entry'!I8/'Data Entry'!B8</f>
        <v>#DIV/0!</v>
      </c>
      <c r="H12" s="157" t="e">
        <f>SUM(D12:G12)/'Data Entry'!B8</f>
        <v>#DIV/0!</v>
      </c>
      <c r="I12" s="157" t="e">
        <f>'Data Entry'!C8/'Data Entry'!B8</f>
        <v>#DIV/0!</v>
      </c>
      <c r="K12" s="97" t="str">
        <f t="shared" si="0"/>
        <v>Referrals, total N=0</v>
      </c>
      <c r="L12">
        <f>I14/(SUM(B14:G14))</f>
        <v>11.526086956521741</v>
      </c>
    </row>
    <row r="13" spans="1:12" x14ac:dyDescent="0.2">
      <c r="A13" s="132" t="str">
        <f>CONCATENATE("Arrests, total N=", 'Data Entry'!B7)</f>
        <v>Arrests, total N=9</v>
      </c>
      <c r="B13" s="157">
        <f>'Data Entry'!D7/'Data Entry'!B7</f>
        <v>0</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1</v>
      </c>
      <c r="K13" s="97" t="str">
        <f t="shared" si="0"/>
        <v>Arrests, total N=9</v>
      </c>
      <c r="L13">
        <f>I14/(SUM(B14:G14))</f>
        <v>11.526086956521741</v>
      </c>
    </row>
    <row r="14" spans="1:12" x14ac:dyDescent="0.2">
      <c r="A14" s="132" t="str">
        <f>CONCATENATE("Population, total N=", 'Data Entry'!B6)</f>
        <v>Population, total N=5762</v>
      </c>
      <c r="B14" s="157">
        <f>'Data Entry'!D6/'Data Entry'!B6</f>
        <v>1.822283929191253E-2</v>
      </c>
      <c r="C14" s="157">
        <f>'Data Entry'!E6/'Data Entry'!B6</f>
        <v>4.8073585560569246E-2</v>
      </c>
      <c r="D14" s="157">
        <f>'Data Entry'!F6/'Data Entry'!B6</f>
        <v>8.6775425199583471E-3</v>
      </c>
      <c r="E14" s="157">
        <f>'Data Entry'!G6/'Data Entry'!B6</f>
        <v>0</v>
      </c>
      <c r="F14" s="157">
        <f>'Data Entry'!H6/'Data Entry'!B6</f>
        <v>4.8594238111766752E-3</v>
      </c>
      <c r="G14" s="157">
        <f>'Data Entry'!I6/'Data Entry'!B6</f>
        <v>0</v>
      </c>
      <c r="H14" s="157">
        <f>SUM(D14:G14)/'Data Entry'!B6</f>
        <v>2.3493520185933742E-6</v>
      </c>
      <c r="I14" s="157">
        <f>'Data Entry'!C6/'Data Entry'!B6</f>
        <v>0.92016660881638324</v>
      </c>
      <c r="K14" s="97" t="str">
        <f t="shared" si="0"/>
        <v>Population, total N=5762</v>
      </c>
      <c r="L14">
        <f>I14/(SUM(B14:G14))</f>
        <v>11.526086956521741</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212" t="str">
        <f>'Data Entry'!C3</f>
        <v xml:space="preserve">Reporting Period:  </v>
      </c>
      <c r="I3" s="213"/>
      <c r="J3" s="213"/>
      <c r="K3" s="214"/>
    </row>
    <row r="4" spans="2:30" s="1" customFormat="1" ht="19.5" thickBot="1" x14ac:dyDescent="0.4">
      <c r="B4" s="102" t="str">
        <f>'Data Entry'!A3</f>
        <v>County: Shiawassee</v>
      </c>
      <c r="C4" s="121"/>
      <c r="D4" s="121"/>
      <c r="E4" s="124"/>
      <c r="F4" s="124"/>
      <c r="G4" s="124"/>
      <c r="H4" s="184" t="str">
        <f>'Data Entry'!C4</f>
        <v>10/1/20 through 9/30/21</v>
      </c>
      <c r="I4" s="215"/>
      <c r="J4" s="215"/>
      <c r="K4" s="216"/>
    </row>
    <row r="5" spans="2:30" s="123" customFormat="1" ht="69" customHeight="1" x14ac:dyDescent="0.35">
      <c r="B5" s="100"/>
      <c r="C5" s="101" t="s">
        <v>3</v>
      </c>
      <c r="D5" s="209" t="str">
        <f>'Black or African-American'!$F$1</f>
        <v>Black or African American</v>
      </c>
      <c r="E5" s="210"/>
      <c r="F5" s="209" t="str">
        <f>Hispanic!F1</f>
        <v>Hispanic or Latino</v>
      </c>
      <c r="G5" s="210"/>
      <c r="H5" s="209" t="str">
        <f>Asian!F1</f>
        <v>Asian</v>
      </c>
      <c r="I5" s="210"/>
      <c r="J5" s="209" t="str">
        <f>'Data Entry'!J5</f>
        <v>All Minorities</v>
      </c>
      <c r="K5" s="211"/>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5302</v>
      </c>
      <c r="D7" s="105">
        <f>'Data Entry'!D6</f>
        <v>105</v>
      </c>
      <c r="E7" s="106"/>
      <c r="F7" s="107">
        <f>'Data Entry'!E6</f>
        <v>277</v>
      </c>
      <c r="G7" s="106"/>
      <c r="H7" s="107">
        <f>'Data Entry'!F6</f>
        <v>50</v>
      </c>
      <c r="I7" s="106"/>
      <c r="J7" s="107">
        <f>'Data Entry'!J6</f>
        <v>460</v>
      </c>
      <c r="K7" s="108"/>
    </row>
    <row r="8" spans="2:30" s="1" customFormat="1" ht="15" customHeight="1" x14ac:dyDescent="0.3">
      <c r="B8" s="125" t="s">
        <v>8</v>
      </c>
      <c r="C8" s="104">
        <f>'Data Entry'!C7</f>
        <v>9</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x14ac:dyDescent="0.3">
      <c r="B9" s="125" t="s">
        <v>134</v>
      </c>
      <c r="C9" s="104">
        <f>'Data Entry'!C8</f>
        <v>0</v>
      </c>
      <c r="D9" s="109">
        <f>'Data Entry'!D8</f>
        <v>0</v>
      </c>
      <c r="E9" s="110" t="str">
        <f>'Black or African-American'!$G8</f>
        <v>--</v>
      </c>
      <c r="F9" s="111">
        <f>'Data Entry'!E8</f>
        <v>0</v>
      </c>
      <c r="G9" s="110" t="str">
        <f>Hispanic!G8</f>
        <v>--</v>
      </c>
      <c r="H9" s="111">
        <f>'Data Entry'!F8</f>
        <v>0</v>
      </c>
      <c r="I9" s="110" t="str">
        <f>Asian!G8</f>
        <v>*</v>
      </c>
      <c r="J9" s="111">
        <f>'Data Entry'!J8</f>
        <v>0</v>
      </c>
      <c r="K9" s="112"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199" t="s">
        <v>120</v>
      </c>
      <c r="C19" s="200"/>
      <c r="D19" s="200"/>
      <c r="E19" s="200"/>
      <c r="F19" s="200"/>
      <c r="G19" s="200"/>
      <c r="H19" s="200"/>
      <c r="I19" s="201"/>
      <c r="J19" s="202"/>
      <c r="K19" s="203"/>
    </row>
    <row r="20" spans="2:30" ht="15.75" x14ac:dyDescent="0.3">
      <c r="B20" s="160" t="s">
        <v>125</v>
      </c>
      <c r="C20" s="207" t="s">
        <v>53</v>
      </c>
      <c r="D20" s="208"/>
      <c r="E20" s="191" t="s">
        <v>56</v>
      </c>
      <c r="F20" s="192"/>
      <c r="G20" s="192"/>
      <c r="H20" s="192"/>
      <c r="I20" s="192"/>
      <c r="J20" s="192"/>
      <c r="K20" s="161" t="s">
        <v>57</v>
      </c>
    </row>
    <row r="21" spans="2:30" ht="15" customHeight="1" x14ac:dyDescent="0.3">
      <c r="B21" s="162" t="s">
        <v>126</v>
      </c>
      <c r="C21" s="193" t="s">
        <v>55</v>
      </c>
      <c r="D21" s="194"/>
      <c r="E21" s="195" t="s">
        <v>58</v>
      </c>
      <c r="F21" s="196"/>
      <c r="G21" s="196"/>
      <c r="H21" s="196"/>
      <c r="I21" s="196"/>
      <c r="J21" s="196"/>
      <c r="K21" s="163" t="s">
        <v>59</v>
      </c>
    </row>
    <row r="22" spans="2:30" ht="15" customHeight="1" thickBot="1" x14ac:dyDescent="0.35">
      <c r="B22" s="204"/>
      <c r="C22" s="205"/>
      <c r="D22" s="206"/>
      <c r="E22" s="197" t="s">
        <v>60</v>
      </c>
      <c r="F22" s="198"/>
      <c r="G22" s="198"/>
      <c r="H22" s="198"/>
      <c r="I22" s="198"/>
      <c r="J22" s="198"/>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Shiawassee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5302</v>
      </c>
      <c r="D6" s="34"/>
      <c r="E6" s="33">
        <f>'Data Entry'!D6</f>
        <v>105</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9</v>
      </c>
      <c r="D7" s="34">
        <f>IF((AND(C66&gt;0,C7&gt;0)),(C7/C66),0)</f>
        <v>1.6974726518294985</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105</v>
      </c>
      <c r="P7" s="42">
        <f t="shared" ref="P7:P15" si="2">C7</f>
        <v>9</v>
      </c>
      <c r="Q7" s="42">
        <f>C6-C7</f>
        <v>5293</v>
      </c>
      <c r="R7" s="42">
        <f t="shared" ref="R7:R15" si="3">SUM(N7:Q7)</f>
        <v>5407</v>
      </c>
      <c r="S7" s="30">
        <f t="shared" ref="S7:S15" si="4">R7*((((N7*Q7)-(O7*P7))^2))</f>
        <v>4828586175</v>
      </c>
      <c r="T7" s="30">
        <f t="shared" ref="T7:T15" si="5">(N7+O7)*(P7+Q7)*(N7+P7)*(O7+Q7)</f>
        <v>27046085220</v>
      </c>
      <c r="U7" s="31">
        <f t="shared" ref="U7:U15" si="6">IF((S7&gt;0),S7/T7,"- -")</f>
        <v>0.17853179621830681</v>
      </c>
    </row>
    <row r="8" spans="2:21" ht="18" customHeight="1" x14ac:dyDescent="0.25">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0.05</v>
      </c>
      <c r="P8" s="42">
        <f t="shared" si="2"/>
        <v>0</v>
      </c>
      <c r="Q8" s="42">
        <f>(C$67*L67)-C8</f>
        <v>9</v>
      </c>
      <c r="R8" s="42">
        <f t="shared" si="3"/>
        <v>9.0500000000000007</v>
      </c>
      <c r="S8" s="30">
        <f t="shared" si="4"/>
        <v>0</v>
      </c>
      <c r="T8" s="30">
        <f t="shared" si="5"/>
        <v>0</v>
      </c>
      <c r="U8" s="31" t="str">
        <f t="shared" si="6"/>
        <v>- -</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9</v>
      </c>
      <c r="R9" s="42">
        <f t="shared" si="3"/>
        <v>9</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9</v>
      </c>
      <c r="R10" s="42">
        <f t="shared" si="3"/>
        <v>9</v>
      </c>
      <c r="S10" s="30">
        <f t="shared" si="4"/>
        <v>0</v>
      </c>
      <c r="T10" s="30">
        <f t="shared" si="5"/>
        <v>0</v>
      </c>
      <c r="U10" s="31" t="str">
        <f t="shared" si="6"/>
        <v>- -</v>
      </c>
    </row>
    <row r="11" spans="2:21" ht="18" customHeight="1" x14ac:dyDescent="0.25">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0</v>
      </c>
      <c r="Q11" s="42">
        <f>(C$68*L68)-C11</f>
        <v>9</v>
      </c>
      <c r="R11" s="42">
        <f t="shared" si="3"/>
        <v>9</v>
      </c>
      <c r="S11" s="30">
        <f t="shared" si="4"/>
        <v>0</v>
      </c>
      <c r="T11" s="30">
        <f t="shared" si="5"/>
        <v>0</v>
      </c>
      <c r="U11" s="31" t="str">
        <f t="shared" si="6"/>
        <v>- -</v>
      </c>
    </row>
    <row r="12" spans="2:21" ht="18" customHeight="1" x14ac:dyDescent="0.25">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0</v>
      </c>
      <c r="Q12" s="42">
        <f>(C69*L69)-C12</f>
        <v>9</v>
      </c>
      <c r="R12" s="42">
        <f t="shared" si="3"/>
        <v>9</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9</v>
      </c>
      <c r="R13" s="42">
        <f t="shared" si="3"/>
        <v>9</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9</v>
      </c>
      <c r="R14" s="42">
        <f t="shared" si="3"/>
        <v>9</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9</v>
      </c>
      <c r="R15" s="42">
        <f t="shared" si="3"/>
        <v>9</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5.3019999999999996</v>
      </c>
      <c r="D42" s="56">
        <f>E6/1000</f>
        <v>0.105</v>
      </c>
      <c r="E42" s="56">
        <f>MAX(C42:D42)</f>
        <v>5.3019999999999996</v>
      </c>
      <c r="G42" s="1" t="str">
        <f>B42</f>
        <v>per 1000 youth</v>
      </c>
      <c r="L42" s="57">
        <v>1000</v>
      </c>
      <c r="M42" s="57"/>
      <c r="R42" s="49"/>
    </row>
    <row r="43" spans="2:18" ht="15" hidden="1" customHeight="1" x14ac:dyDescent="0.25">
      <c r="B43" s="49" t="s">
        <v>87</v>
      </c>
      <c r="C43" s="56">
        <f>C7/100</f>
        <v>0.09</v>
      </c>
      <c r="D43" s="56">
        <f>E7/100</f>
        <v>0</v>
      </c>
      <c r="E43" s="56">
        <f>MAX(C43:D43,0)</f>
        <v>0.09</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5.3019999999999996</v>
      </c>
      <c r="D48" s="56">
        <f>D42</f>
        <v>0.105</v>
      </c>
      <c r="E48" s="56">
        <f>MAX(C48:D48)</f>
        <v>5.3019999999999996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0.09</v>
      </c>
      <c r="D49" s="49">
        <f t="shared" si="9"/>
        <v>0</v>
      </c>
      <c r="E49" s="49">
        <f>MAX(C49:D49)</f>
        <v>0.09</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0.09</v>
      </c>
      <c r="D50" s="49">
        <f t="shared" si="9"/>
        <v>0</v>
      </c>
      <c r="E50" s="49">
        <f>MAX(C50:D50)</f>
        <v>0.09</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5.3019999999999996</v>
      </c>
      <c r="D54" s="56">
        <f>D48</f>
        <v>0.105</v>
      </c>
      <c r="E54" s="56">
        <f>MAX(C54:D54)</f>
        <v>5.3019999999999996</v>
      </c>
      <c r="G54" s="1" t="str">
        <f>G48</f>
        <v>per 1000 youth</v>
      </c>
      <c r="L54" s="58">
        <f>L48</f>
        <v>1000</v>
      </c>
      <c r="M54" s="58"/>
    </row>
    <row r="55" spans="2:18" ht="15" hidden="1" customHeight="1" x14ac:dyDescent="0.25">
      <c r="B55" s="49" t="str">
        <f t="shared" ref="B55:D56" si="10">IF(($E49&gt;0),B49,B48)</f>
        <v>per 100 arrests</v>
      </c>
      <c r="C55" s="49">
        <f t="shared" si="10"/>
        <v>0.09</v>
      </c>
      <c r="D55" s="49">
        <f t="shared" si="10"/>
        <v>0</v>
      </c>
      <c r="E55" s="49">
        <f>MAX(C55:D55)</f>
        <v>0.09</v>
      </c>
      <c r="G55" s="1" t="str">
        <f>G49</f>
        <v>per 100 arrests</v>
      </c>
      <c r="L55" s="58">
        <f>IF(($E49&gt;0),L49,L48)</f>
        <v>100</v>
      </c>
      <c r="M55" s="58"/>
    </row>
    <row r="56" spans="2:18" ht="15" hidden="1" customHeight="1" x14ac:dyDescent="0.25">
      <c r="B56" s="49" t="str">
        <f t="shared" si="10"/>
        <v>per 100 arrests</v>
      </c>
      <c r="C56" s="49">
        <f t="shared" si="10"/>
        <v>0.09</v>
      </c>
      <c r="D56" s="49">
        <f t="shared" si="10"/>
        <v>0</v>
      </c>
      <c r="E56" s="49">
        <f>MAX(C56:D56)</f>
        <v>0.09</v>
      </c>
      <c r="G56" s="1" t="str">
        <f>G50</f>
        <v>per 100 referrals</v>
      </c>
      <c r="L56" s="58">
        <f>IF(($E50&gt;0),L50,L49)</f>
        <v>100</v>
      </c>
      <c r="M56" s="58"/>
    </row>
    <row r="57" spans="2:18" ht="15" hidden="1" customHeight="1" x14ac:dyDescent="0.25">
      <c r="B57" s="49" t="str">
        <f>IF(($E51&gt;0),B51,B49)</f>
        <v>per 100 arrests</v>
      </c>
      <c r="C57" s="49">
        <f>IF(($E51&gt;0),C51,C50)</f>
        <v>0.09</v>
      </c>
      <c r="D57" s="49">
        <f>IF(($E51&gt;0),D51,D50)</f>
        <v>0</v>
      </c>
      <c r="E57" s="49">
        <f>MAX(C57:D57)</f>
        <v>0.09</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5.3019999999999996</v>
      </c>
      <c r="D60" s="56">
        <f>D54</f>
        <v>0.105</v>
      </c>
      <c r="E60" s="56">
        <f>MAX(C60:D60)</f>
        <v>5.3019999999999996</v>
      </c>
      <c r="G60" s="1" t="str">
        <f>G54</f>
        <v>per 1000 youth</v>
      </c>
      <c r="L60" s="58">
        <f>L54</f>
        <v>1000</v>
      </c>
      <c r="M60" s="58"/>
    </row>
    <row r="61" spans="2:18" ht="15" hidden="1" customHeight="1" x14ac:dyDescent="0.25">
      <c r="B61" s="49" t="str">
        <f t="shared" ref="B61:D62" si="11">IF(($E55&gt;0),B55,B54)</f>
        <v>per 100 arrests</v>
      </c>
      <c r="C61" s="49">
        <f t="shared" si="11"/>
        <v>0.09</v>
      </c>
      <c r="D61" s="49">
        <f t="shared" si="11"/>
        <v>0</v>
      </c>
      <c r="E61" s="49">
        <f>MAX(C61:D61)</f>
        <v>0.09</v>
      </c>
      <c r="G61" s="1" t="str">
        <f>G55</f>
        <v>per 100 arrests</v>
      </c>
      <c r="L61" s="58">
        <f>IF(($E55&gt;0),L55,L54)</f>
        <v>100</v>
      </c>
      <c r="M61" s="58"/>
    </row>
    <row r="62" spans="2:18" ht="15" hidden="1" customHeight="1" x14ac:dyDescent="0.25">
      <c r="B62" s="49" t="str">
        <f t="shared" si="11"/>
        <v>per 100 arrests</v>
      </c>
      <c r="C62" s="49">
        <f t="shared" si="11"/>
        <v>0.09</v>
      </c>
      <c r="D62" s="49">
        <f t="shared" si="11"/>
        <v>0</v>
      </c>
      <c r="E62" s="49">
        <f>MAX(C62:D62)</f>
        <v>0.09</v>
      </c>
      <c r="G62" s="1" t="str">
        <f>G56</f>
        <v>per 100 referrals</v>
      </c>
      <c r="L62" s="58">
        <f>IF(($E56&gt;0),L56,L55)</f>
        <v>100</v>
      </c>
      <c r="M62" s="58"/>
    </row>
    <row r="63" spans="2:18" ht="15" hidden="1" customHeight="1" x14ac:dyDescent="0.25">
      <c r="B63" s="49" t="str">
        <f>IF(($E57&gt;0),B57,B55)</f>
        <v>per 100 arrests</v>
      </c>
      <c r="C63" s="49">
        <f>IF(($E57&gt;0),C57,C56)</f>
        <v>0.09</v>
      </c>
      <c r="D63" s="49">
        <f>IF(($E57&gt;0),D57,D56)</f>
        <v>0</v>
      </c>
      <c r="E63" s="49">
        <f>MAX(C63:D63)</f>
        <v>0.09</v>
      </c>
      <c r="G63" s="1" t="str">
        <f>G57</f>
        <v>per 100 youth petitioned</v>
      </c>
      <c r="L63" s="58">
        <f>IF(($E57&gt;0),L57,L56)</f>
        <v>100</v>
      </c>
      <c r="M63" s="58"/>
    </row>
    <row r="64" spans="2:18" ht="15" hidden="1" customHeight="1" x14ac:dyDescent="0.25">
      <c r="B64" s="49" t="str">
        <f>IF(($E58&gt;0),B58,B57)</f>
        <v>per 100 arrests</v>
      </c>
      <c r="C64" s="49">
        <f>IF(($E58&gt;0),C58,C57)</f>
        <v>0.09</v>
      </c>
      <c r="D64" s="49">
        <f>IF(($E58&gt;0),D58,D57)</f>
        <v>0</v>
      </c>
      <c r="E64" s="56">
        <f>MAX(C64:D64)</f>
        <v>0.09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5.3019999999999996</v>
      </c>
      <c r="D66" s="56">
        <f>D60</f>
        <v>0.105</v>
      </c>
      <c r="E66" s="56">
        <f>MAX(C66:D66)</f>
        <v>5.3019999999999996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0.09</v>
      </c>
      <c r="D67" s="49">
        <f t="shared" si="12"/>
        <v>0</v>
      </c>
      <c r="E67" s="49">
        <f>MAX(C67:D67)</f>
        <v>0.09</v>
      </c>
      <c r="G67" s="1" t="str">
        <f>G61</f>
        <v>per 100 arrests</v>
      </c>
      <c r="L67" s="58">
        <f>IF(($E61&gt;0),L61,L60)</f>
        <v>100</v>
      </c>
      <c r="M67" s="58">
        <f>IF((B67=G67),1,2)</f>
        <v>1</v>
      </c>
    </row>
    <row r="68" spans="2:13" ht="15" hidden="1" customHeight="1" x14ac:dyDescent="0.25">
      <c r="B68" s="49" t="str">
        <f t="shared" si="12"/>
        <v>per 100 arrests</v>
      </c>
      <c r="C68" s="49">
        <f t="shared" si="12"/>
        <v>0.09</v>
      </c>
      <c r="D68" s="49">
        <f t="shared" si="12"/>
        <v>0</v>
      </c>
      <c r="E68" s="49">
        <f>MAX(C68:D68)</f>
        <v>0.09</v>
      </c>
      <c r="G68" s="1" t="str">
        <f>G62</f>
        <v>per 100 referrals</v>
      </c>
      <c r="L68" s="58">
        <f>IF(($E62&gt;0),L62,L61)</f>
        <v>100</v>
      </c>
      <c r="M68" s="58">
        <f>IF((B68=G68),1,2)</f>
        <v>2</v>
      </c>
    </row>
    <row r="69" spans="2:13" ht="15" hidden="1" customHeight="1" x14ac:dyDescent="0.25">
      <c r="B69" s="49" t="str">
        <f>IF(($E63&gt;0),B63,B61)</f>
        <v>per 100 arrests</v>
      </c>
      <c r="C69" s="49">
        <f>IF(($E63&gt;0),C63,C62)</f>
        <v>0.09</v>
      </c>
      <c r="D69" s="49">
        <f>IF(($E63&gt;0),D63,D62)</f>
        <v>0</v>
      </c>
      <c r="E69" s="49">
        <f>MAX(C69:D69)</f>
        <v>0.09</v>
      </c>
      <c r="G69" s="1" t="str">
        <f>G63</f>
        <v>per 100 youth petitioned</v>
      </c>
      <c r="L69" s="58">
        <f>IF(($E63&gt;0),L63,L62)</f>
        <v>100</v>
      </c>
      <c r="M69" s="58">
        <f>IF((B69=G69),1,2)</f>
        <v>2</v>
      </c>
    </row>
    <row r="70" spans="2:13" ht="15" hidden="1" customHeight="1" x14ac:dyDescent="0.25">
      <c r="B70" s="49" t="str">
        <f>IF(($E64&gt;0),B64,B63)</f>
        <v>per 100 arrests</v>
      </c>
      <c r="C70" s="49">
        <f>IF(($E64&gt;0),C64,C63)</f>
        <v>0.09</v>
      </c>
      <c r="D70" s="49">
        <f>IF(($E64&gt;0),D64,D63)</f>
        <v>0</v>
      </c>
      <c r="E70" s="56">
        <f>MAX(C70:D70)</f>
        <v>0.09</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Shiawassee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5302</v>
      </c>
      <c r="D6" s="34"/>
      <c r="E6" s="33">
        <f>'Data Entry'!F6</f>
        <v>50</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9</v>
      </c>
      <c r="D7" s="34">
        <f>IF((AND(C66&gt;0,C7&gt;0)),(C7/C66),0)</f>
        <v>1.6974726518294985</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50</v>
      </c>
      <c r="P7" s="42">
        <f t="shared" ref="P7:P15" si="4">C7</f>
        <v>9</v>
      </c>
      <c r="Q7" s="42">
        <f>C6-C7</f>
        <v>5293</v>
      </c>
      <c r="R7" s="42">
        <f t="shared" ref="R7:R15" si="5">SUM(N7:Q7)</f>
        <v>5352</v>
      </c>
      <c r="S7" s="30">
        <f t="shared" ref="S7:S15" si="6">R7*((((N7*Q7)-(O7*P7))^2))</f>
        <v>1083780000</v>
      </c>
      <c r="T7" s="30">
        <f t="shared" ref="T7:T15" si="7">(N7+O7)*(P7+Q7)*(N7+P7)*(O7+Q7)</f>
        <v>12747863700</v>
      </c>
      <c r="U7" s="31">
        <f t="shared" ref="U7:U15" si="8">IF((S7&gt;0),S7/T7,"- -")</f>
        <v>8.501659772217364E-2</v>
      </c>
    </row>
    <row r="8" spans="2:21" ht="18" customHeight="1" x14ac:dyDescent="0.25">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9</v>
      </c>
      <c r="R8" s="42">
        <f t="shared" si="5"/>
        <v>9.0500000000000007</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9</v>
      </c>
      <c r="R9" s="42">
        <f t="shared" si="5"/>
        <v>9</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9</v>
      </c>
      <c r="R10" s="42">
        <f t="shared" si="5"/>
        <v>9</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9</v>
      </c>
      <c r="R11" s="42">
        <f t="shared" si="5"/>
        <v>9</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9</v>
      </c>
      <c r="R12" s="42">
        <f t="shared" si="5"/>
        <v>9</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9</v>
      </c>
      <c r="R13" s="42">
        <f t="shared" si="5"/>
        <v>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9</v>
      </c>
      <c r="R14" s="42">
        <f t="shared" si="5"/>
        <v>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9</v>
      </c>
      <c r="R15" s="42">
        <f t="shared" si="5"/>
        <v>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5.3019999999999996</v>
      </c>
      <c r="D42" s="56">
        <f>E6/1000</f>
        <v>0.05</v>
      </c>
      <c r="E42" s="56">
        <f>MAX(C42:D42)</f>
        <v>5.3019999999999996</v>
      </c>
      <c r="G42" s="1" t="str">
        <f>B42</f>
        <v>per 1000 youth</v>
      </c>
      <c r="L42" s="57">
        <v>1000</v>
      </c>
      <c r="M42" s="57"/>
      <c r="R42" s="49"/>
    </row>
    <row r="43" spans="2:18" ht="15" hidden="1" customHeight="1" x14ac:dyDescent="0.25">
      <c r="B43" s="49" t="s">
        <v>87</v>
      </c>
      <c r="C43" s="56">
        <f>C7/100</f>
        <v>0.09</v>
      </c>
      <c r="D43" s="56">
        <f>E7/100</f>
        <v>0</v>
      </c>
      <c r="E43" s="56">
        <f>MAX(C43:D43,0)</f>
        <v>0.09</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5.3019999999999996</v>
      </c>
      <c r="D48" s="56">
        <f>D42</f>
        <v>0.05</v>
      </c>
      <c r="E48" s="56">
        <f>MAX(C48:D48)</f>
        <v>5.3019999999999996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0.09</v>
      </c>
      <c r="D49" s="49">
        <f t="shared" si="9"/>
        <v>0</v>
      </c>
      <c r="E49" s="49">
        <f>MAX(C49:D49)</f>
        <v>0.09</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0.09</v>
      </c>
      <c r="D50" s="49">
        <f t="shared" si="9"/>
        <v>0</v>
      </c>
      <c r="E50" s="49">
        <f>MAX(C50:D50)</f>
        <v>0.09</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5.3019999999999996</v>
      </c>
      <c r="D54" s="56">
        <f>D48</f>
        <v>0.05</v>
      </c>
      <c r="E54" s="56">
        <f>MAX(C54:D54)</f>
        <v>5.3019999999999996</v>
      </c>
      <c r="G54" s="1" t="str">
        <f>G48</f>
        <v>per 1000 youth</v>
      </c>
      <c r="L54" s="58">
        <f>L48</f>
        <v>1000</v>
      </c>
      <c r="M54" s="58"/>
    </row>
    <row r="55" spans="2:18" ht="15" hidden="1" customHeight="1" x14ac:dyDescent="0.25">
      <c r="B55" s="49" t="str">
        <f t="shared" ref="B55:D56" si="10">IF(($E49&gt;0),B49,B48)</f>
        <v>per 100 arrests</v>
      </c>
      <c r="C55" s="49">
        <f t="shared" si="10"/>
        <v>0.09</v>
      </c>
      <c r="D55" s="49">
        <f t="shared" si="10"/>
        <v>0</v>
      </c>
      <c r="E55" s="49">
        <f>MAX(C55:D55)</f>
        <v>0.09</v>
      </c>
      <c r="G55" s="1" t="str">
        <f>G49</f>
        <v>per 100 arrests</v>
      </c>
      <c r="L55" s="58">
        <f>IF(($E49&gt;0),L49,L48)</f>
        <v>100</v>
      </c>
      <c r="M55" s="58"/>
    </row>
    <row r="56" spans="2:18" ht="15" hidden="1" customHeight="1" x14ac:dyDescent="0.25">
      <c r="B56" s="49" t="str">
        <f t="shared" si="10"/>
        <v>per 100 arrests</v>
      </c>
      <c r="C56" s="49">
        <f t="shared" si="10"/>
        <v>0.09</v>
      </c>
      <c r="D56" s="49">
        <f t="shared" si="10"/>
        <v>0</v>
      </c>
      <c r="E56" s="49">
        <f>MAX(C56:D56)</f>
        <v>0.09</v>
      </c>
      <c r="G56" s="1" t="str">
        <f>G50</f>
        <v>per 100 referrals</v>
      </c>
      <c r="L56" s="58">
        <f>IF(($E50&gt;0),L50,L49)</f>
        <v>100</v>
      </c>
      <c r="M56" s="58"/>
    </row>
    <row r="57" spans="2:18" ht="15" hidden="1" customHeight="1" x14ac:dyDescent="0.25">
      <c r="B57" s="49" t="str">
        <f>IF(($E51&gt;0),B51,B49)</f>
        <v>per 100 arrests</v>
      </c>
      <c r="C57" s="49">
        <f>IF(($E51&gt;0),C51,C50)</f>
        <v>0.09</v>
      </c>
      <c r="D57" s="49">
        <f>IF(($E51&gt;0),D51,D50)</f>
        <v>0</v>
      </c>
      <c r="E57" s="49">
        <f>MAX(C57:D57)</f>
        <v>0.09</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5.3019999999999996</v>
      </c>
      <c r="D60" s="56">
        <f>D54</f>
        <v>0.05</v>
      </c>
      <c r="E60" s="56">
        <f>MAX(C60:D60)</f>
        <v>5.3019999999999996</v>
      </c>
      <c r="G60" s="1" t="str">
        <f>G54</f>
        <v>per 1000 youth</v>
      </c>
      <c r="L60" s="58">
        <f>L54</f>
        <v>1000</v>
      </c>
      <c r="M60" s="58"/>
    </row>
    <row r="61" spans="2:18" ht="15" hidden="1" customHeight="1" x14ac:dyDescent="0.25">
      <c r="B61" s="49" t="str">
        <f t="shared" ref="B61:D62" si="11">IF(($E55&gt;0),B55,B54)</f>
        <v>per 100 arrests</v>
      </c>
      <c r="C61" s="49">
        <f t="shared" si="11"/>
        <v>0.09</v>
      </c>
      <c r="D61" s="49">
        <f t="shared" si="11"/>
        <v>0</v>
      </c>
      <c r="E61" s="49">
        <f>MAX(C61:D61)</f>
        <v>0.09</v>
      </c>
      <c r="G61" s="1" t="str">
        <f>G55</f>
        <v>per 100 arrests</v>
      </c>
      <c r="L61" s="58">
        <f>IF(($E55&gt;0),L55,L54)</f>
        <v>100</v>
      </c>
      <c r="M61" s="58"/>
    </row>
    <row r="62" spans="2:18" ht="15" hidden="1" customHeight="1" x14ac:dyDescent="0.25">
      <c r="B62" s="49" t="str">
        <f t="shared" si="11"/>
        <v>per 100 arrests</v>
      </c>
      <c r="C62" s="49">
        <f t="shared" si="11"/>
        <v>0.09</v>
      </c>
      <c r="D62" s="49">
        <f t="shared" si="11"/>
        <v>0</v>
      </c>
      <c r="E62" s="49">
        <f>MAX(C62:D62)</f>
        <v>0.09</v>
      </c>
      <c r="G62" s="1" t="str">
        <f>G56</f>
        <v>per 100 referrals</v>
      </c>
      <c r="L62" s="58">
        <f>IF(($E56&gt;0),L56,L55)</f>
        <v>100</v>
      </c>
      <c r="M62" s="58"/>
    </row>
    <row r="63" spans="2:18" ht="15" hidden="1" customHeight="1" x14ac:dyDescent="0.25">
      <c r="B63" s="49" t="str">
        <f>IF(($E57&gt;0),B57,B55)</f>
        <v>per 100 arrests</v>
      </c>
      <c r="C63" s="49">
        <f>IF(($E57&gt;0),C57,C56)</f>
        <v>0.09</v>
      </c>
      <c r="D63" s="49">
        <f>IF(($E57&gt;0),D57,D56)</f>
        <v>0</v>
      </c>
      <c r="E63" s="49">
        <f>MAX(C63:D63)</f>
        <v>0.09</v>
      </c>
      <c r="G63" s="1" t="str">
        <f>G57</f>
        <v>per 100 youth petitioned</v>
      </c>
      <c r="L63" s="58">
        <f>IF(($E57&gt;0),L57,L56)</f>
        <v>100</v>
      </c>
      <c r="M63" s="58"/>
    </row>
    <row r="64" spans="2:18" ht="15" hidden="1" customHeight="1" x14ac:dyDescent="0.25">
      <c r="B64" s="49" t="str">
        <f>IF(($E58&gt;0),B58,B57)</f>
        <v>per 100 arrests</v>
      </c>
      <c r="C64" s="49">
        <f>IF(($E58&gt;0),C58,C57)</f>
        <v>0.09</v>
      </c>
      <c r="D64" s="49">
        <f>IF(($E58&gt;0),D58,D57)</f>
        <v>0</v>
      </c>
      <c r="E64" s="56">
        <f>MAX(C64:D64)</f>
        <v>0.09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5.3019999999999996</v>
      </c>
      <c r="D66" s="56">
        <f>D60</f>
        <v>0.05</v>
      </c>
      <c r="E66" s="56">
        <f>MAX(C66:D66)</f>
        <v>5.3019999999999996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0.09</v>
      </c>
      <c r="D67" s="49">
        <f t="shared" si="12"/>
        <v>0</v>
      </c>
      <c r="E67" s="49">
        <f>MAX(C67:D67)</f>
        <v>0.09</v>
      </c>
      <c r="G67" s="1" t="str">
        <f>G61</f>
        <v>per 100 arrests</v>
      </c>
      <c r="L67" s="58">
        <f>IF(($E61&gt;0),L61,L60)</f>
        <v>100</v>
      </c>
      <c r="M67" s="58">
        <f>IF((B67=G67),1,2)</f>
        <v>1</v>
      </c>
    </row>
    <row r="68" spans="2:13" ht="15" hidden="1" customHeight="1" x14ac:dyDescent="0.25">
      <c r="B68" s="49" t="str">
        <f t="shared" si="12"/>
        <v>per 100 arrests</v>
      </c>
      <c r="C68" s="49">
        <f t="shared" si="12"/>
        <v>0.09</v>
      </c>
      <c r="D68" s="49">
        <f t="shared" si="12"/>
        <v>0</v>
      </c>
      <c r="E68" s="49">
        <f>MAX(C68:D68)</f>
        <v>0.09</v>
      </c>
      <c r="G68" s="1" t="str">
        <f>G62</f>
        <v>per 100 referrals</v>
      </c>
      <c r="L68" s="58">
        <f>IF(($E62&gt;0),L62,L61)</f>
        <v>100</v>
      </c>
      <c r="M68" s="58">
        <f>IF((B68=G68),1,2)</f>
        <v>2</v>
      </c>
    </row>
    <row r="69" spans="2:13" ht="15" hidden="1" customHeight="1" x14ac:dyDescent="0.25">
      <c r="B69" s="49" t="str">
        <f>IF(($E63&gt;0),B63,B61)</f>
        <v>per 100 arrests</v>
      </c>
      <c r="C69" s="49">
        <f>IF(($E63&gt;0),C63,C62)</f>
        <v>0.09</v>
      </c>
      <c r="D69" s="49">
        <f>IF(($E63&gt;0),D63,D62)</f>
        <v>0</v>
      </c>
      <c r="E69" s="49">
        <f>MAX(C69:D69)</f>
        <v>0.09</v>
      </c>
      <c r="G69" s="1" t="str">
        <f>G63</f>
        <v>per 100 youth petitioned</v>
      </c>
      <c r="L69" s="58">
        <f>IF(($E63&gt;0),L63,L62)</f>
        <v>100</v>
      </c>
      <c r="M69" s="58">
        <f>IF((B69=G69),1,2)</f>
        <v>2</v>
      </c>
    </row>
    <row r="70" spans="2:13" ht="15" hidden="1" customHeight="1" x14ac:dyDescent="0.25">
      <c r="B70" s="49" t="str">
        <f>IF(($E64&gt;0),B64,B63)</f>
        <v>per 100 arrests</v>
      </c>
      <c r="C70" s="49">
        <f>IF(($E64&gt;0),C64,C63)</f>
        <v>0.09</v>
      </c>
      <c r="D70" s="49">
        <f>IF(($E64&gt;0),D64,D63)</f>
        <v>0</v>
      </c>
      <c r="E70" s="56">
        <f>MAX(C70:D70)</f>
        <v>0.09</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Shiawassee</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5302</v>
      </c>
      <c r="D6" s="34"/>
      <c r="E6" s="33">
        <f>'Data Entry'!E6</f>
        <v>277</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9</v>
      </c>
      <c r="D7" s="34">
        <f>IF((AND(C66&gt;0,C7&gt;0)),(C7/C66),0)</f>
        <v>1.6974726518294985</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277</v>
      </c>
      <c r="P7" s="42">
        <f t="shared" ref="P7:P15" si="4">C7</f>
        <v>9</v>
      </c>
      <c r="Q7" s="42">
        <f>C6-C7</f>
        <v>5293</v>
      </c>
      <c r="R7" s="42">
        <f t="shared" ref="R7:R15" si="5">SUM(N7:Q7)</f>
        <v>5579</v>
      </c>
      <c r="S7" s="30">
        <f t="shared" ref="S7:S15" si="6">R7*((((N7*Q7)-(O7*P7))^2))</f>
        <v>34673758371</v>
      </c>
      <c r="T7" s="30">
        <f t="shared" ref="T7:T15" si="7">(N7+O7)*(P7+Q7)*(N7+P7)*(O7+Q7)</f>
        <v>73623625020</v>
      </c>
      <c r="U7" s="31">
        <f t="shared" ref="U7:U15" si="8">IF((S7&gt;0),S7/T7,"- -")</f>
        <v>0.47095967308837083</v>
      </c>
    </row>
    <row r="8" spans="2:21" ht="18" customHeight="1" x14ac:dyDescent="0.25">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9</v>
      </c>
      <c r="R8" s="42">
        <f t="shared" si="5"/>
        <v>9.0500000000000007</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9</v>
      </c>
      <c r="R9" s="42">
        <f t="shared" si="5"/>
        <v>9</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9</v>
      </c>
      <c r="R10" s="42">
        <f t="shared" si="5"/>
        <v>9</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9</v>
      </c>
      <c r="R11" s="42">
        <f t="shared" si="5"/>
        <v>9</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9</v>
      </c>
      <c r="R12" s="42">
        <f t="shared" si="5"/>
        <v>9</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9</v>
      </c>
      <c r="R13" s="42">
        <f t="shared" si="5"/>
        <v>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9</v>
      </c>
      <c r="R14" s="42">
        <f t="shared" si="5"/>
        <v>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9</v>
      </c>
      <c r="R15" s="42">
        <f t="shared" si="5"/>
        <v>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5.3019999999999996</v>
      </c>
      <c r="D42" s="56">
        <f>E6/1000</f>
        <v>0.27700000000000002</v>
      </c>
      <c r="E42" s="56">
        <f>MAX(C42:D42)</f>
        <v>5.3019999999999996</v>
      </c>
      <c r="G42" s="1" t="str">
        <f>B42</f>
        <v>per 1000 youth</v>
      </c>
      <c r="L42" s="57">
        <v>1000</v>
      </c>
      <c r="M42" s="57"/>
      <c r="R42" s="49"/>
    </row>
    <row r="43" spans="2:18" ht="15" hidden="1" customHeight="1" x14ac:dyDescent="0.25">
      <c r="B43" s="49" t="s">
        <v>87</v>
      </c>
      <c r="C43" s="56">
        <f>C7/100</f>
        <v>0.09</v>
      </c>
      <c r="D43" s="56">
        <f>E7/100</f>
        <v>0</v>
      </c>
      <c r="E43" s="56">
        <f>MAX(C43:D43,0)</f>
        <v>0.09</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5.3019999999999996</v>
      </c>
      <c r="D48" s="56">
        <f>D42</f>
        <v>0.27700000000000002</v>
      </c>
      <c r="E48" s="56">
        <f>MAX(C48:D48)</f>
        <v>5.3019999999999996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0.09</v>
      </c>
      <c r="D49" s="49">
        <f t="shared" si="9"/>
        <v>0</v>
      </c>
      <c r="E49" s="49">
        <f>MAX(C49:D49)</f>
        <v>0.09</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0.09</v>
      </c>
      <c r="D50" s="49">
        <f t="shared" si="9"/>
        <v>0</v>
      </c>
      <c r="E50" s="49">
        <f>MAX(C50:D50)</f>
        <v>0.09</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5.3019999999999996</v>
      </c>
      <c r="D54" s="56">
        <f>D48</f>
        <v>0.27700000000000002</v>
      </c>
      <c r="E54" s="56">
        <f>MAX(C54:D54)</f>
        <v>5.3019999999999996</v>
      </c>
      <c r="G54" s="1" t="str">
        <f>G48</f>
        <v>per 1000 youth</v>
      </c>
      <c r="L54" s="58">
        <f>L48</f>
        <v>1000</v>
      </c>
      <c r="M54" s="58"/>
    </row>
    <row r="55" spans="2:18" ht="15" hidden="1" customHeight="1" x14ac:dyDescent="0.25">
      <c r="B55" s="49" t="str">
        <f t="shared" ref="B55:D56" si="10">IF(($E49&gt;0),B49,B48)</f>
        <v>per 100 arrests</v>
      </c>
      <c r="C55" s="49">
        <f t="shared" si="10"/>
        <v>0.09</v>
      </c>
      <c r="D55" s="49">
        <f t="shared" si="10"/>
        <v>0</v>
      </c>
      <c r="E55" s="49">
        <f>MAX(C55:D55)</f>
        <v>0.09</v>
      </c>
      <c r="G55" s="1" t="str">
        <f>G49</f>
        <v>per 100 arrests</v>
      </c>
      <c r="L55" s="58">
        <f>IF(($E49&gt;0),L49,L48)</f>
        <v>100</v>
      </c>
      <c r="M55" s="58"/>
    </row>
    <row r="56" spans="2:18" ht="15" hidden="1" customHeight="1" x14ac:dyDescent="0.25">
      <c r="B56" s="49" t="str">
        <f t="shared" si="10"/>
        <v>per 100 arrests</v>
      </c>
      <c r="C56" s="49">
        <f t="shared" si="10"/>
        <v>0.09</v>
      </c>
      <c r="D56" s="49">
        <f t="shared" si="10"/>
        <v>0</v>
      </c>
      <c r="E56" s="49">
        <f>MAX(C56:D56)</f>
        <v>0.09</v>
      </c>
      <c r="G56" s="1" t="str">
        <f>G50</f>
        <v>per 100 referrals</v>
      </c>
      <c r="L56" s="58">
        <f>IF(($E50&gt;0),L50,L49)</f>
        <v>100</v>
      </c>
      <c r="M56" s="58"/>
    </row>
    <row r="57" spans="2:18" ht="15" hidden="1" customHeight="1" x14ac:dyDescent="0.25">
      <c r="B57" s="49" t="str">
        <f>IF(($E51&gt;0),B51,B49)</f>
        <v>per 100 arrests</v>
      </c>
      <c r="C57" s="49">
        <f>IF(($E51&gt;0),C51,C50)</f>
        <v>0.09</v>
      </c>
      <c r="D57" s="49">
        <f>IF(($E51&gt;0),D51,D50)</f>
        <v>0</v>
      </c>
      <c r="E57" s="49">
        <f>MAX(C57:D57)</f>
        <v>0.09</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5.3019999999999996</v>
      </c>
      <c r="D60" s="56">
        <f>D54</f>
        <v>0.27700000000000002</v>
      </c>
      <c r="E60" s="56">
        <f>MAX(C60:D60)</f>
        <v>5.3019999999999996</v>
      </c>
      <c r="G60" s="1" t="str">
        <f>G54</f>
        <v>per 1000 youth</v>
      </c>
      <c r="L60" s="58">
        <f>L54</f>
        <v>1000</v>
      </c>
      <c r="M60" s="58"/>
    </row>
    <row r="61" spans="2:18" ht="15" hidden="1" customHeight="1" x14ac:dyDescent="0.25">
      <c r="B61" s="49" t="str">
        <f t="shared" ref="B61:D62" si="11">IF(($E55&gt;0),B55,B54)</f>
        <v>per 100 arrests</v>
      </c>
      <c r="C61" s="49">
        <f t="shared" si="11"/>
        <v>0.09</v>
      </c>
      <c r="D61" s="49">
        <f t="shared" si="11"/>
        <v>0</v>
      </c>
      <c r="E61" s="49">
        <f>MAX(C61:D61)</f>
        <v>0.09</v>
      </c>
      <c r="G61" s="1" t="str">
        <f>G55</f>
        <v>per 100 arrests</v>
      </c>
      <c r="L61" s="58">
        <f>IF(($E55&gt;0),L55,L54)</f>
        <v>100</v>
      </c>
      <c r="M61" s="58"/>
    </row>
    <row r="62" spans="2:18" ht="15" hidden="1" customHeight="1" x14ac:dyDescent="0.25">
      <c r="B62" s="49" t="str">
        <f t="shared" si="11"/>
        <v>per 100 arrests</v>
      </c>
      <c r="C62" s="49">
        <f t="shared" si="11"/>
        <v>0.09</v>
      </c>
      <c r="D62" s="49">
        <f t="shared" si="11"/>
        <v>0</v>
      </c>
      <c r="E62" s="49">
        <f>MAX(C62:D62)</f>
        <v>0.09</v>
      </c>
      <c r="G62" s="1" t="str">
        <f>G56</f>
        <v>per 100 referrals</v>
      </c>
      <c r="L62" s="58">
        <f>IF(($E56&gt;0),L56,L55)</f>
        <v>100</v>
      </c>
      <c r="M62" s="58"/>
    </row>
    <row r="63" spans="2:18" ht="15" hidden="1" customHeight="1" x14ac:dyDescent="0.25">
      <c r="B63" s="49" t="str">
        <f>IF(($E57&gt;0),B57,B55)</f>
        <v>per 100 arrests</v>
      </c>
      <c r="C63" s="49">
        <f>IF(($E57&gt;0),C57,C56)</f>
        <v>0.09</v>
      </c>
      <c r="D63" s="49">
        <f>IF(($E57&gt;0),D57,D56)</f>
        <v>0</v>
      </c>
      <c r="E63" s="49">
        <f>MAX(C63:D63)</f>
        <v>0.09</v>
      </c>
      <c r="G63" s="1" t="str">
        <f>G57</f>
        <v>per 100 youth petitioned</v>
      </c>
      <c r="L63" s="58">
        <f>IF(($E57&gt;0),L57,L56)</f>
        <v>100</v>
      </c>
      <c r="M63" s="58"/>
    </row>
    <row r="64" spans="2:18" ht="15" hidden="1" customHeight="1" x14ac:dyDescent="0.25">
      <c r="B64" s="49" t="str">
        <f>IF(($E58&gt;0),B58,B57)</f>
        <v>per 100 arrests</v>
      </c>
      <c r="C64" s="49">
        <f>IF(($E58&gt;0),C58,C57)</f>
        <v>0.09</v>
      </c>
      <c r="D64" s="49">
        <f>IF(($E58&gt;0),D58,D57)</f>
        <v>0</v>
      </c>
      <c r="E64" s="56">
        <f>MAX(C64:D64)</f>
        <v>0.09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5.3019999999999996</v>
      </c>
      <c r="D66" s="56">
        <f>D60</f>
        <v>0.27700000000000002</v>
      </c>
      <c r="E66" s="56">
        <f>MAX(C66:D66)</f>
        <v>5.3019999999999996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0.09</v>
      </c>
      <c r="D67" s="49">
        <f t="shared" si="12"/>
        <v>0</v>
      </c>
      <c r="E67" s="49">
        <f>MAX(C67:D67)</f>
        <v>0.09</v>
      </c>
      <c r="G67" s="1" t="str">
        <f>G61</f>
        <v>per 100 arrests</v>
      </c>
      <c r="L67" s="58">
        <f>IF(($E61&gt;0),L61,L60)</f>
        <v>100</v>
      </c>
      <c r="M67" s="58">
        <f>IF((B67=G67),1,2)</f>
        <v>1</v>
      </c>
    </row>
    <row r="68" spans="2:13" ht="15" hidden="1" customHeight="1" x14ac:dyDescent="0.25">
      <c r="B68" s="49" t="str">
        <f t="shared" si="12"/>
        <v>per 100 arrests</v>
      </c>
      <c r="C68" s="49">
        <f t="shared" si="12"/>
        <v>0.09</v>
      </c>
      <c r="D68" s="49">
        <f t="shared" si="12"/>
        <v>0</v>
      </c>
      <c r="E68" s="49">
        <f>MAX(C68:D68)</f>
        <v>0.09</v>
      </c>
      <c r="G68" s="1" t="str">
        <f>G62</f>
        <v>per 100 referrals</v>
      </c>
      <c r="L68" s="58">
        <f>IF(($E62&gt;0),L62,L61)</f>
        <v>100</v>
      </c>
      <c r="M68" s="58">
        <f>IF((B68=G68),1,2)</f>
        <v>2</v>
      </c>
    </row>
    <row r="69" spans="2:13" ht="15" hidden="1" customHeight="1" x14ac:dyDescent="0.25">
      <c r="B69" s="49" t="str">
        <f>IF(($E63&gt;0),B63,B61)</f>
        <v>per 100 arrests</v>
      </c>
      <c r="C69" s="49">
        <f>IF(($E63&gt;0),C63,C62)</f>
        <v>0.09</v>
      </c>
      <c r="D69" s="49">
        <f>IF(($E63&gt;0),D63,D62)</f>
        <v>0</v>
      </c>
      <c r="E69" s="49">
        <f>MAX(C69:D69)</f>
        <v>0.09</v>
      </c>
      <c r="G69" s="1" t="str">
        <f>G63</f>
        <v>per 100 youth petitioned</v>
      </c>
      <c r="L69" s="58">
        <f>IF(($E63&gt;0),L63,L62)</f>
        <v>100</v>
      </c>
      <c r="M69" s="58">
        <f>IF((B69=G69),1,2)</f>
        <v>2</v>
      </c>
    </row>
    <row r="70" spans="2:13" ht="15" hidden="1" customHeight="1" x14ac:dyDescent="0.25">
      <c r="B70" s="49" t="str">
        <f>IF(($E64&gt;0),B64,B63)</f>
        <v>per 100 arrests</v>
      </c>
      <c r="C70" s="49">
        <f>IF(($E64&gt;0),C64,C63)</f>
        <v>0.09</v>
      </c>
      <c r="D70" s="49">
        <f>IF(($E64&gt;0),D64,D63)</f>
        <v>0</v>
      </c>
      <c r="E70" s="56">
        <f>MAX(C70:D70)</f>
        <v>0.09</v>
      </c>
      <c r="G70" s="1" t="str">
        <f>G64</f>
        <v>per 100 youth found delinquent</v>
      </c>
      <c r="L70" s="58">
        <f>IF(($E64&gt;0),L64,L63)</f>
        <v>100</v>
      </c>
      <c r="M70" s="58">
        <f>IF((B70=G70),1,2)</f>
        <v>2</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Shiawassee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5302</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9</v>
      </c>
      <c r="D7" s="34">
        <f>IF((AND(C66&gt;0,C7&gt;0)),(C7/C66),0)</f>
        <v>1.6974726518294985</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9</v>
      </c>
      <c r="Q7" s="42">
        <f>C6-C7</f>
        <v>5293</v>
      </c>
      <c r="R7" s="42">
        <f t="shared" ref="R7:R15" si="5">SUM(N7:Q7)</f>
        <v>5302</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9</v>
      </c>
      <c r="R8" s="42">
        <f t="shared" si="5"/>
        <v>9.0500000000000007</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9</v>
      </c>
      <c r="R9" s="42">
        <f t="shared" si="5"/>
        <v>9</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9</v>
      </c>
      <c r="R10" s="42">
        <f t="shared" si="5"/>
        <v>9</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9</v>
      </c>
      <c r="R11" s="42">
        <f t="shared" si="5"/>
        <v>9</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9</v>
      </c>
      <c r="R12" s="42">
        <f t="shared" si="5"/>
        <v>9</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9</v>
      </c>
      <c r="R13" s="42">
        <f t="shared" si="5"/>
        <v>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9</v>
      </c>
      <c r="R14" s="42">
        <f t="shared" si="5"/>
        <v>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9</v>
      </c>
      <c r="R15" s="42">
        <f t="shared" si="5"/>
        <v>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5.3019999999999996</v>
      </c>
      <c r="D42" s="56">
        <f>E6/1000</f>
        <v>0</v>
      </c>
      <c r="E42" s="56">
        <f>MAX(C42:D42)</f>
        <v>5.3019999999999996</v>
      </c>
      <c r="G42" s="1" t="str">
        <f>B42</f>
        <v>per 1000 youth</v>
      </c>
      <c r="L42" s="57">
        <v>1000</v>
      </c>
      <c r="M42" s="57"/>
      <c r="R42" s="49"/>
    </row>
    <row r="43" spans="2:18" ht="15" hidden="1" customHeight="1" x14ac:dyDescent="0.25">
      <c r="B43" s="49" t="s">
        <v>87</v>
      </c>
      <c r="C43" s="56">
        <f>C7/100</f>
        <v>0.09</v>
      </c>
      <c r="D43" s="56">
        <f>E7/100</f>
        <v>0</v>
      </c>
      <c r="E43" s="56">
        <f>MAX(C43:D43,0)</f>
        <v>0.09</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5.3019999999999996</v>
      </c>
      <c r="D48" s="56">
        <f>D42</f>
        <v>0</v>
      </c>
      <c r="E48" s="56">
        <f>MAX(C48:D48)</f>
        <v>5.3019999999999996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0.09</v>
      </c>
      <c r="D49" s="49">
        <f t="shared" si="9"/>
        <v>0</v>
      </c>
      <c r="E49" s="49">
        <f>MAX(C49:D49)</f>
        <v>0.09</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0.09</v>
      </c>
      <c r="D50" s="49">
        <f t="shared" si="9"/>
        <v>0</v>
      </c>
      <c r="E50" s="49">
        <f>MAX(C50:D50)</f>
        <v>0.09</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5.3019999999999996</v>
      </c>
      <c r="D54" s="56">
        <f>D48</f>
        <v>0</v>
      </c>
      <c r="E54" s="56">
        <f>MAX(C54:D54)</f>
        <v>5.3019999999999996</v>
      </c>
      <c r="G54" s="1" t="str">
        <f>G48</f>
        <v>per 1000 youth</v>
      </c>
      <c r="L54" s="58">
        <f>L48</f>
        <v>1000</v>
      </c>
      <c r="M54" s="58"/>
    </row>
    <row r="55" spans="2:18" ht="15" hidden="1" customHeight="1" x14ac:dyDescent="0.25">
      <c r="B55" s="49" t="str">
        <f t="shared" ref="B55:D56" si="10">IF(($E49&gt;0),B49,B48)</f>
        <v>per 100 arrests</v>
      </c>
      <c r="C55" s="49">
        <f t="shared" si="10"/>
        <v>0.09</v>
      </c>
      <c r="D55" s="49">
        <f t="shared" si="10"/>
        <v>0</v>
      </c>
      <c r="E55" s="49">
        <f>MAX(C55:D55)</f>
        <v>0.09</v>
      </c>
      <c r="G55" s="1" t="str">
        <f>G49</f>
        <v>per 100 arrests</v>
      </c>
      <c r="L55" s="58">
        <f>IF(($E49&gt;0),L49,L48)</f>
        <v>100</v>
      </c>
      <c r="M55" s="58"/>
    </row>
    <row r="56" spans="2:18" ht="15" hidden="1" customHeight="1" x14ac:dyDescent="0.25">
      <c r="B56" s="49" t="str">
        <f t="shared" si="10"/>
        <v>per 100 arrests</v>
      </c>
      <c r="C56" s="49">
        <f t="shared" si="10"/>
        <v>0.09</v>
      </c>
      <c r="D56" s="49">
        <f t="shared" si="10"/>
        <v>0</v>
      </c>
      <c r="E56" s="49">
        <f>MAX(C56:D56)</f>
        <v>0.09</v>
      </c>
      <c r="G56" s="1" t="str">
        <f>G50</f>
        <v>per 100 referrals</v>
      </c>
      <c r="L56" s="58">
        <f>IF(($E50&gt;0),L50,L49)</f>
        <v>100</v>
      </c>
      <c r="M56" s="58"/>
    </row>
    <row r="57" spans="2:18" ht="15" hidden="1" customHeight="1" x14ac:dyDescent="0.25">
      <c r="B57" s="49" t="str">
        <f>IF(($E51&gt;0),B51,B49)</f>
        <v>per 100 arrests</v>
      </c>
      <c r="C57" s="49">
        <f>IF(($E51&gt;0),C51,C50)</f>
        <v>0.09</v>
      </c>
      <c r="D57" s="49">
        <f>IF(($E51&gt;0),D51,D50)</f>
        <v>0</v>
      </c>
      <c r="E57" s="49">
        <f>MAX(C57:D57)</f>
        <v>0.09</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5.3019999999999996</v>
      </c>
      <c r="D60" s="56">
        <f>D54</f>
        <v>0</v>
      </c>
      <c r="E60" s="56">
        <f>MAX(C60:D60)</f>
        <v>5.3019999999999996</v>
      </c>
      <c r="G60" s="1" t="str">
        <f>G54</f>
        <v>per 1000 youth</v>
      </c>
      <c r="L60" s="58">
        <f>L54</f>
        <v>1000</v>
      </c>
      <c r="M60" s="58"/>
    </row>
    <row r="61" spans="2:18" ht="15" hidden="1" customHeight="1" x14ac:dyDescent="0.25">
      <c r="B61" s="49" t="str">
        <f t="shared" ref="B61:D62" si="11">IF(($E55&gt;0),B55,B54)</f>
        <v>per 100 arrests</v>
      </c>
      <c r="C61" s="49">
        <f t="shared" si="11"/>
        <v>0.09</v>
      </c>
      <c r="D61" s="49">
        <f t="shared" si="11"/>
        <v>0</v>
      </c>
      <c r="E61" s="49">
        <f>MAX(C61:D61)</f>
        <v>0.09</v>
      </c>
      <c r="G61" s="1" t="str">
        <f>G55</f>
        <v>per 100 arrests</v>
      </c>
      <c r="L61" s="58">
        <f>IF(($E55&gt;0),L55,L54)</f>
        <v>100</v>
      </c>
      <c r="M61" s="58"/>
    </row>
    <row r="62" spans="2:18" ht="15" hidden="1" customHeight="1" x14ac:dyDescent="0.25">
      <c r="B62" s="49" t="str">
        <f t="shared" si="11"/>
        <v>per 100 arrests</v>
      </c>
      <c r="C62" s="49">
        <f t="shared" si="11"/>
        <v>0.09</v>
      </c>
      <c r="D62" s="49">
        <f t="shared" si="11"/>
        <v>0</v>
      </c>
      <c r="E62" s="49">
        <f>MAX(C62:D62)</f>
        <v>0.09</v>
      </c>
      <c r="G62" s="1" t="str">
        <f>G56</f>
        <v>per 100 referrals</v>
      </c>
      <c r="L62" s="58">
        <f>IF(($E56&gt;0),L56,L55)</f>
        <v>100</v>
      </c>
      <c r="M62" s="58"/>
    </row>
    <row r="63" spans="2:18" ht="15" hidden="1" customHeight="1" x14ac:dyDescent="0.25">
      <c r="B63" s="49" t="str">
        <f>IF(($E57&gt;0),B57,B55)</f>
        <v>per 100 arrests</v>
      </c>
      <c r="C63" s="49">
        <f>IF(($E57&gt;0),C57,C56)</f>
        <v>0.09</v>
      </c>
      <c r="D63" s="49">
        <f>IF(($E57&gt;0),D57,D56)</f>
        <v>0</v>
      </c>
      <c r="E63" s="49">
        <f>MAX(C63:D63)</f>
        <v>0.09</v>
      </c>
      <c r="G63" s="1" t="str">
        <f>G57</f>
        <v>per 100 youth petitioned</v>
      </c>
      <c r="L63" s="58">
        <f>IF(($E57&gt;0),L57,L56)</f>
        <v>100</v>
      </c>
      <c r="M63" s="58"/>
    </row>
    <row r="64" spans="2:18" ht="15" hidden="1" customHeight="1" x14ac:dyDescent="0.25">
      <c r="B64" s="49" t="str">
        <f>IF(($E58&gt;0),B58,B57)</f>
        <v>per 100 arrests</v>
      </c>
      <c r="C64" s="49">
        <f>IF(($E58&gt;0),C58,C57)</f>
        <v>0.09</v>
      </c>
      <c r="D64" s="49">
        <f>IF(($E58&gt;0),D58,D57)</f>
        <v>0</v>
      </c>
      <c r="E64" s="56">
        <f>MAX(C64:D64)</f>
        <v>0.09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5.3019999999999996</v>
      </c>
      <c r="D66" s="56">
        <f>D60</f>
        <v>0</v>
      </c>
      <c r="E66" s="56">
        <f>MAX(C66:D66)</f>
        <v>5.3019999999999996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0.09</v>
      </c>
      <c r="D67" s="49">
        <f t="shared" si="12"/>
        <v>0</v>
      </c>
      <c r="E67" s="49">
        <f>MAX(C67:D67)</f>
        <v>0.09</v>
      </c>
      <c r="G67" s="1" t="str">
        <f>G61</f>
        <v>per 100 arrests</v>
      </c>
      <c r="L67" s="58">
        <f>IF(($E61&gt;0),L61,L60)</f>
        <v>100</v>
      </c>
      <c r="M67" s="58">
        <f>IF((B67=G67),1,2)</f>
        <v>1</v>
      </c>
    </row>
    <row r="68" spans="2:13" ht="15" hidden="1" customHeight="1" x14ac:dyDescent="0.25">
      <c r="B68" s="49" t="str">
        <f t="shared" si="12"/>
        <v>per 100 arrests</v>
      </c>
      <c r="C68" s="49">
        <f t="shared" si="12"/>
        <v>0.09</v>
      </c>
      <c r="D68" s="49">
        <f t="shared" si="12"/>
        <v>0</v>
      </c>
      <c r="E68" s="49">
        <f>MAX(C68:D68)</f>
        <v>0.09</v>
      </c>
      <c r="G68" s="1" t="str">
        <f>G62</f>
        <v>per 100 referrals</v>
      </c>
      <c r="L68" s="58">
        <f>IF(($E62&gt;0),L62,L61)</f>
        <v>100</v>
      </c>
      <c r="M68" s="58">
        <f>IF((B68=G68),1,2)</f>
        <v>2</v>
      </c>
    </row>
    <row r="69" spans="2:13" ht="15" hidden="1" customHeight="1" x14ac:dyDescent="0.25">
      <c r="B69" s="49" t="str">
        <f>IF(($E63&gt;0),B63,B61)</f>
        <v>per 100 arrests</v>
      </c>
      <c r="C69" s="49">
        <f>IF(($E63&gt;0),C63,C62)</f>
        <v>0.09</v>
      </c>
      <c r="D69" s="49">
        <f>IF(($E63&gt;0),D63,D62)</f>
        <v>0</v>
      </c>
      <c r="E69" s="49">
        <f>MAX(C69:D69)</f>
        <v>0.09</v>
      </c>
      <c r="G69" s="1" t="str">
        <f>G63</f>
        <v>per 100 youth petitioned</v>
      </c>
      <c r="L69" s="58">
        <f>IF(($E63&gt;0),L63,L62)</f>
        <v>100</v>
      </c>
      <c r="M69" s="58">
        <f>IF((B69=G69),1,2)</f>
        <v>2</v>
      </c>
    </row>
    <row r="70" spans="2:13" ht="15" hidden="1" customHeight="1" x14ac:dyDescent="0.25">
      <c r="B70" s="49" t="str">
        <f>IF(($E64&gt;0),B64,B63)</f>
        <v>per 100 arrests</v>
      </c>
      <c r="C70" s="49">
        <f>IF(($E64&gt;0),C64,C63)</f>
        <v>0.09</v>
      </c>
      <c r="D70" s="49">
        <f>IF(($E64&gt;0),D64,D63)</f>
        <v>0</v>
      </c>
      <c r="E70" s="56">
        <f>MAX(C70:D70)</f>
        <v>0.09</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Shiawassee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5302</v>
      </c>
      <c r="D6" s="34"/>
      <c r="E6" s="33">
        <f>'Data Entry'!H6</f>
        <v>28</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9</v>
      </c>
      <c r="D7" s="34">
        <f>IF((AND(C66&gt;0,C7&gt;0)),(C7/C66),0)</f>
        <v>1.6974726518294985</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28</v>
      </c>
      <c r="P7" s="42">
        <f t="shared" ref="P7:P15" si="4">C7</f>
        <v>9</v>
      </c>
      <c r="Q7" s="42">
        <f>C6-C7</f>
        <v>5293</v>
      </c>
      <c r="R7" s="42">
        <f t="shared" ref="R7:R15" si="5">SUM(N7:Q7)</f>
        <v>5330</v>
      </c>
      <c r="S7" s="30">
        <f t="shared" ref="S7:S15" si="6">R7*((((N7*Q7)-(O7*P7))^2))</f>
        <v>338476320</v>
      </c>
      <c r="T7" s="30">
        <f t="shared" ref="T7:T15" si="7">(N7+O7)*(P7+Q7)*(N7+P7)*(O7+Q7)</f>
        <v>7109409384</v>
      </c>
      <c r="U7" s="31">
        <f t="shared" ref="U7:U15" si="8">IF((S7&gt;0),S7/T7,"- -")</f>
        <v>4.760962573934116E-2</v>
      </c>
    </row>
    <row r="8" spans="2:21" ht="18" customHeight="1" x14ac:dyDescent="0.25">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9</v>
      </c>
      <c r="R8" s="42">
        <f t="shared" si="5"/>
        <v>9.0500000000000007</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9</v>
      </c>
      <c r="R9" s="42">
        <f t="shared" si="5"/>
        <v>9</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9</v>
      </c>
      <c r="R10" s="42">
        <f t="shared" si="5"/>
        <v>9</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9</v>
      </c>
      <c r="R11" s="42">
        <f t="shared" si="5"/>
        <v>9</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9</v>
      </c>
      <c r="R12" s="42">
        <f t="shared" si="5"/>
        <v>9</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9</v>
      </c>
      <c r="R13" s="42">
        <f t="shared" si="5"/>
        <v>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9</v>
      </c>
      <c r="R14" s="42">
        <f t="shared" si="5"/>
        <v>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9</v>
      </c>
      <c r="R15" s="42">
        <f t="shared" si="5"/>
        <v>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5.3019999999999996</v>
      </c>
      <c r="D42" s="56">
        <f>E6/1000</f>
        <v>2.8000000000000001E-2</v>
      </c>
      <c r="E42" s="56">
        <f>MAX(C42:D42)</f>
        <v>5.3019999999999996</v>
      </c>
      <c r="G42" s="1" t="str">
        <f>B42</f>
        <v>per 1000 youth</v>
      </c>
      <c r="L42" s="57">
        <v>1000</v>
      </c>
      <c r="M42" s="57"/>
      <c r="R42" s="49"/>
    </row>
    <row r="43" spans="2:18" ht="15" hidden="1" customHeight="1" x14ac:dyDescent="0.25">
      <c r="B43" s="49" t="s">
        <v>87</v>
      </c>
      <c r="C43" s="56">
        <f>C7/100</f>
        <v>0.09</v>
      </c>
      <c r="D43" s="56">
        <f>E7/100</f>
        <v>0</v>
      </c>
      <c r="E43" s="56">
        <f>MAX(C43:D43,0)</f>
        <v>0.09</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5.3019999999999996</v>
      </c>
      <c r="D48" s="56">
        <f>D42</f>
        <v>2.8000000000000001E-2</v>
      </c>
      <c r="E48" s="56">
        <f>MAX(C48:D48)</f>
        <v>5.3019999999999996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0.09</v>
      </c>
      <c r="D49" s="49">
        <f t="shared" si="9"/>
        <v>0</v>
      </c>
      <c r="E49" s="49">
        <f>MAX(C49:D49)</f>
        <v>0.09</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0.09</v>
      </c>
      <c r="D50" s="49">
        <f t="shared" si="9"/>
        <v>0</v>
      </c>
      <c r="E50" s="49">
        <f>MAX(C50:D50)</f>
        <v>0.09</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5.3019999999999996</v>
      </c>
      <c r="D54" s="56">
        <f>D48</f>
        <v>2.8000000000000001E-2</v>
      </c>
      <c r="E54" s="56">
        <f>MAX(C54:D54)</f>
        <v>5.3019999999999996</v>
      </c>
      <c r="G54" s="1" t="str">
        <f>G48</f>
        <v>per 1000 youth</v>
      </c>
      <c r="L54" s="58">
        <f>L48</f>
        <v>1000</v>
      </c>
      <c r="M54" s="58"/>
    </row>
    <row r="55" spans="2:18" ht="15" hidden="1" customHeight="1" x14ac:dyDescent="0.25">
      <c r="B55" s="49" t="str">
        <f t="shared" ref="B55:D56" si="10">IF(($E49&gt;0),B49,B48)</f>
        <v>per 100 arrests</v>
      </c>
      <c r="C55" s="49">
        <f t="shared" si="10"/>
        <v>0.09</v>
      </c>
      <c r="D55" s="49">
        <f t="shared" si="10"/>
        <v>0</v>
      </c>
      <c r="E55" s="49">
        <f>MAX(C55:D55)</f>
        <v>0.09</v>
      </c>
      <c r="G55" s="1" t="str">
        <f>G49</f>
        <v>per 100 arrests</v>
      </c>
      <c r="L55" s="58">
        <f>IF(($E49&gt;0),L49,L48)</f>
        <v>100</v>
      </c>
      <c r="M55" s="58"/>
    </row>
    <row r="56" spans="2:18" ht="15" hidden="1" customHeight="1" x14ac:dyDescent="0.25">
      <c r="B56" s="49" t="str">
        <f t="shared" si="10"/>
        <v>per 100 arrests</v>
      </c>
      <c r="C56" s="49">
        <f t="shared" si="10"/>
        <v>0.09</v>
      </c>
      <c r="D56" s="49">
        <f t="shared" si="10"/>
        <v>0</v>
      </c>
      <c r="E56" s="49">
        <f>MAX(C56:D56)</f>
        <v>0.09</v>
      </c>
      <c r="G56" s="1" t="str">
        <f>G50</f>
        <v>per 100 referrals</v>
      </c>
      <c r="L56" s="58">
        <f>IF(($E50&gt;0),L50,L49)</f>
        <v>100</v>
      </c>
      <c r="M56" s="58"/>
    </row>
    <row r="57" spans="2:18" ht="15" hidden="1" customHeight="1" x14ac:dyDescent="0.25">
      <c r="B57" s="49" t="str">
        <f>IF(($E51&gt;0),B51,B49)</f>
        <v>per 100 arrests</v>
      </c>
      <c r="C57" s="49">
        <f>IF(($E51&gt;0),C51,C50)</f>
        <v>0.09</v>
      </c>
      <c r="D57" s="49">
        <f>IF(($E51&gt;0),D51,D50)</f>
        <v>0</v>
      </c>
      <c r="E57" s="49">
        <f>MAX(C57:D57)</f>
        <v>0.09</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5.3019999999999996</v>
      </c>
      <c r="D60" s="56">
        <f>D54</f>
        <v>2.8000000000000001E-2</v>
      </c>
      <c r="E60" s="56">
        <f>MAX(C60:D60)</f>
        <v>5.3019999999999996</v>
      </c>
      <c r="G60" s="1" t="str">
        <f>G54</f>
        <v>per 1000 youth</v>
      </c>
      <c r="L60" s="58">
        <f>L54</f>
        <v>1000</v>
      </c>
      <c r="M60" s="58"/>
    </row>
    <row r="61" spans="2:18" ht="15" hidden="1" customHeight="1" x14ac:dyDescent="0.25">
      <c r="B61" s="49" t="str">
        <f t="shared" ref="B61:D62" si="11">IF(($E55&gt;0),B55,B54)</f>
        <v>per 100 arrests</v>
      </c>
      <c r="C61" s="49">
        <f t="shared" si="11"/>
        <v>0.09</v>
      </c>
      <c r="D61" s="49">
        <f t="shared" si="11"/>
        <v>0</v>
      </c>
      <c r="E61" s="49">
        <f>MAX(C61:D61)</f>
        <v>0.09</v>
      </c>
      <c r="G61" s="1" t="str">
        <f>G55</f>
        <v>per 100 arrests</v>
      </c>
      <c r="L61" s="58">
        <f>IF(($E55&gt;0),L55,L54)</f>
        <v>100</v>
      </c>
      <c r="M61" s="58"/>
    </row>
    <row r="62" spans="2:18" ht="15" hidden="1" customHeight="1" x14ac:dyDescent="0.25">
      <c r="B62" s="49" t="str">
        <f t="shared" si="11"/>
        <v>per 100 arrests</v>
      </c>
      <c r="C62" s="49">
        <f t="shared" si="11"/>
        <v>0.09</v>
      </c>
      <c r="D62" s="49">
        <f t="shared" si="11"/>
        <v>0</v>
      </c>
      <c r="E62" s="49">
        <f>MAX(C62:D62)</f>
        <v>0.09</v>
      </c>
      <c r="G62" s="1" t="str">
        <f>G56</f>
        <v>per 100 referrals</v>
      </c>
      <c r="L62" s="58">
        <f>IF(($E56&gt;0),L56,L55)</f>
        <v>100</v>
      </c>
      <c r="M62" s="58"/>
    </row>
    <row r="63" spans="2:18" ht="15" hidden="1" customHeight="1" x14ac:dyDescent="0.25">
      <c r="B63" s="49" t="str">
        <f>IF(($E57&gt;0),B57,B55)</f>
        <v>per 100 arrests</v>
      </c>
      <c r="C63" s="49">
        <f>IF(($E57&gt;0),C57,C56)</f>
        <v>0.09</v>
      </c>
      <c r="D63" s="49">
        <f>IF(($E57&gt;0),D57,D56)</f>
        <v>0</v>
      </c>
      <c r="E63" s="49">
        <f>MAX(C63:D63)</f>
        <v>0.09</v>
      </c>
      <c r="G63" s="1" t="str">
        <f>G57</f>
        <v>per 100 youth petitioned</v>
      </c>
      <c r="L63" s="58">
        <f>IF(($E57&gt;0),L57,L56)</f>
        <v>100</v>
      </c>
      <c r="M63" s="58"/>
    </row>
    <row r="64" spans="2:18" ht="15" hidden="1" customHeight="1" x14ac:dyDescent="0.25">
      <c r="B64" s="49" t="str">
        <f>IF(($E58&gt;0),B58,B57)</f>
        <v>per 100 arrests</v>
      </c>
      <c r="C64" s="49">
        <f>IF(($E58&gt;0),C58,C57)</f>
        <v>0.09</v>
      </c>
      <c r="D64" s="49">
        <f>IF(($E58&gt;0),D58,D57)</f>
        <v>0</v>
      </c>
      <c r="E64" s="56">
        <f>MAX(C64:D64)</f>
        <v>0.09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5.3019999999999996</v>
      </c>
      <c r="D66" s="56">
        <f>D60</f>
        <v>2.8000000000000001E-2</v>
      </c>
      <c r="E66" s="56">
        <f>MAX(C66:D66)</f>
        <v>5.3019999999999996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0.09</v>
      </c>
      <c r="D67" s="49">
        <f t="shared" si="12"/>
        <v>0</v>
      </c>
      <c r="E67" s="49">
        <f>MAX(C67:D67)</f>
        <v>0.09</v>
      </c>
      <c r="G67" s="1" t="str">
        <f>G61</f>
        <v>per 100 arrests</v>
      </c>
      <c r="L67" s="58">
        <f>IF(($E61&gt;0),L61,L60)</f>
        <v>100</v>
      </c>
      <c r="M67" s="58">
        <f>IF((B67=G67),1,2)</f>
        <v>1</v>
      </c>
    </row>
    <row r="68" spans="2:13" ht="15" hidden="1" customHeight="1" x14ac:dyDescent="0.25">
      <c r="B68" s="49" t="str">
        <f t="shared" si="12"/>
        <v>per 100 arrests</v>
      </c>
      <c r="C68" s="49">
        <f t="shared" si="12"/>
        <v>0.09</v>
      </c>
      <c r="D68" s="49">
        <f t="shared" si="12"/>
        <v>0</v>
      </c>
      <c r="E68" s="49">
        <f>MAX(C68:D68)</f>
        <v>0.09</v>
      </c>
      <c r="G68" s="1" t="str">
        <f>G62</f>
        <v>per 100 referrals</v>
      </c>
      <c r="L68" s="58">
        <f>IF(($E62&gt;0),L62,L61)</f>
        <v>100</v>
      </c>
      <c r="M68" s="58">
        <f>IF((B68=G68),1,2)</f>
        <v>2</v>
      </c>
    </row>
    <row r="69" spans="2:13" ht="15" hidden="1" customHeight="1" x14ac:dyDescent="0.25">
      <c r="B69" s="49" t="str">
        <f>IF(($E63&gt;0),B63,B61)</f>
        <v>per 100 arrests</v>
      </c>
      <c r="C69" s="49">
        <f>IF(($E63&gt;0),C63,C62)</f>
        <v>0.09</v>
      </c>
      <c r="D69" s="49">
        <f>IF(($E63&gt;0),D63,D62)</f>
        <v>0</v>
      </c>
      <c r="E69" s="49">
        <f>MAX(C69:D69)</f>
        <v>0.09</v>
      </c>
      <c r="G69" s="1" t="str">
        <f>G63</f>
        <v>per 100 youth petitioned</v>
      </c>
      <c r="L69" s="58">
        <f>IF(($E63&gt;0),L63,L62)</f>
        <v>100</v>
      </c>
      <c r="M69" s="58">
        <f>IF((B69=G69),1,2)</f>
        <v>2</v>
      </c>
    </row>
    <row r="70" spans="2:13" ht="15" hidden="1" customHeight="1" x14ac:dyDescent="0.25">
      <c r="B70" s="49" t="str">
        <f>IF(($E64&gt;0),B64,B63)</f>
        <v>per 100 arrests</v>
      </c>
      <c r="C70" s="49">
        <f>IF(($E64&gt;0),C64,C63)</f>
        <v>0.09</v>
      </c>
      <c r="D70" s="49">
        <f>IF(($E64&gt;0),D64,D63)</f>
        <v>0</v>
      </c>
      <c r="E70" s="56">
        <f>MAX(C70:D70)</f>
        <v>0.09</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U47JMPN4QEAR-1806752177-30223</_dlc_DocId>
    <_dlc_DocIdUrl xmlns="ac3811b5-0f3e-49e2-ba69-f2ffa0c782af">
      <Url>https://michiganphi.sharepoint.com/sites/CMDMC/_layouts/15/DocIdRedir.aspx?ID=U47JMPN4QEAR-1806752177-30223</Url>
      <Description>U47JMPN4QEAR-1806752177-30223</Description>
    </_dlc_DocIdUrl>
  </documentManagement>
</p:properties>
</file>

<file path=customXml/itemProps1.xml><?xml version="1.0" encoding="utf-8"?>
<ds:datastoreItem xmlns:ds="http://schemas.openxmlformats.org/officeDocument/2006/customXml" ds:itemID="{3E3E2426-5CF5-4423-9327-24E3AE1DEE25}"/>
</file>

<file path=customXml/itemProps2.xml><?xml version="1.0" encoding="utf-8"?>
<ds:datastoreItem xmlns:ds="http://schemas.openxmlformats.org/officeDocument/2006/customXml" ds:itemID="{C00511B8-4C8B-47AE-A6F5-F8745F932EF7}"/>
</file>

<file path=customXml/itemProps3.xml><?xml version="1.0" encoding="utf-8"?>
<ds:datastoreItem xmlns:ds="http://schemas.openxmlformats.org/officeDocument/2006/customXml" ds:itemID="{FE171CA7-99C4-4693-A764-2773B1A432FA}"/>
</file>

<file path=customXml/itemProps4.xml><?xml version="1.0" encoding="utf-8"?>
<ds:datastoreItem xmlns:ds="http://schemas.openxmlformats.org/officeDocument/2006/customXml" ds:itemID="{EC9C733B-54E6-4093-A47A-EEFF361AA2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17f3bae7-6544-496c-bb5a-8486ae8e6774</vt:lpwstr>
  </property>
</Properties>
</file>