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51249A50-6499-4DFF-AE3F-BD492CF1C790}" xr6:coauthVersionLast="47" xr6:coauthVersionMax="47" xr10:uidLastSave="{6AE02142-D9B5-4877-ADE4-1C59CF511A6E}"/>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1" i="2"/>
  <c r="G57" i="2" s="1"/>
  <c r="G63" i="2" s="1"/>
  <c r="G69" i="2" s="1"/>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52" i="3" s="1"/>
  <c r="G58" i="3" s="1"/>
  <c r="G64" i="3" s="1"/>
  <c r="G70" i="3" s="1"/>
  <c r="G48" i="3"/>
  <c r="G54" i="3" s="1"/>
  <c r="G60" i="3" s="1"/>
  <c r="G66" i="3" s="1"/>
  <c r="L48" i="3"/>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58" i="8" s="1"/>
  <c r="G64" i="8" s="1"/>
  <c r="G70" i="8" s="1"/>
  <c r="G48" i="8"/>
  <c r="G54" i="8"/>
  <c r="G60" i="8"/>
  <c r="G66" i="8" s="1"/>
  <c r="L48" i="8"/>
  <c r="G49" i="8"/>
  <c r="G55" i="8" s="1"/>
  <c r="G61" i="8" s="1"/>
  <c r="G67" i="8" s="1"/>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M66" i="7"/>
  <c r="F27" i="7"/>
  <c r="M66" i="8"/>
  <c r="F27" i="8"/>
  <c r="F27" i="6"/>
  <c r="M66" i="6"/>
  <c r="F27" i="2"/>
  <c r="M66" i="2"/>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3" i="7"/>
  <c r="C49" i="7" s="1"/>
  <c r="E44" i="6"/>
  <c r="L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49" i="7" l="1"/>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E51" i="2" s="1"/>
  <c r="L51" i="2"/>
  <c r="E49" i="5"/>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D64" i="5"/>
  <c r="L56" i="8"/>
  <c r="L64" i="5"/>
  <c r="B56" i="8"/>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G7" i="9" l="1"/>
  <c r="M8" i="13"/>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L70" i="5" l="1"/>
  <c r="C70" i="5"/>
  <c r="Q13" i="5" s="1"/>
  <c r="D70" i="5"/>
  <c r="F14" i="5" s="1"/>
  <c r="B70" i="3"/>
  <c r="M70" i="3" s="1"/>
  <c r="C69" i="7"/>
  <c r="D12" i="7" s="1"/>
  <c r="D63" i="8"/>
  <c r="D70" i="8" s="1"/>
  <c r="F13" i="8" s="1"/>
  <c r="L69" i="7"/>
  <c r="C63" i="8"/>
  <c r="C70" i="8" s="1"/>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3" i="5" l="1"/>
  <c r="Q12" i="7"/>
  <c r="L69" i="3"/>
  <c r="Q12" i="3" s="1"/>
  <c r="D15" i="7"/>
  <c r="Q15" i="7"/>
  <c r="E63" i="8"/>
  <c r="D69" i="8" s="1"/>
  <c r="F15" i="8" s="1"/>
  <c r="D12" i="3"/>
  <c r="B69" i="6"/>
  <c r="M69" i="6" s="1"/>
  <c r="C69" i="6"/>
  <c r="D12" i="6" s="1"/>
  <c r="D69" i="3"/>
  <c r="E69" i="3" s="1"/>
  <c r="Q13" i="8"/>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B69" i="8" l="1"/>
  <c r="M69" i="8" s="1"/>
  <c r="F12" i="8"/>
  <c r="T12" i="7"/>
  <c r="C69" i="8"/>
  <c r="R15" i="7"/>
  <c r="S15" i="7" s="1"/>
  <c r="U15" i="7" s="1"/>
  <c r="J15" i="7" s="1"/>
  <c r="M15" i="7" s="1"/>
  <c r="Q15" i="6"/>
  <c r="O12" i="3"/>
  <c r="R12" i="3" s="1"/>
  <c r="S12" i="3" s="1"/>
  <c r="U12" i="3" s="1"/>
  <c r="J12" i="3" s="1"/>
  <c r="K12" i="7"/>
  <c r="L69" i="8"/>
  <c r="O15" i="8" s="1"/>
  <c r="F15" i="3"/>
  <c r="D15" i="6"/>
  <c r="Q12" i="6"/>
  <c r="F32" i="6"/>
  <c r="R12" i="7"/>
  <c r="S12" i="7" s="1"/>
  <c r="U12" i="7" s="1"/>
  <c r="J12" i="7" s="1"/>
  <c r="O15" i="3"/>
  <c r="R15" i="3" s="1"/>
  <c r="S15" i="3" s="1"/>
  <c r="U15" i="3" s="1"/>
  <c r="J15" i="3" s="1"/>
  <c r="M15" i="3" s="1"/>
  <c r="G15" i="3" s="1"/>
  <c r="I16" i="16" s="1"/>
  <c r="F12" i="3"/>
  <c r="F35" i="6"/>
  <c r="K14" i="6"/>
  <c r="R13" i="8"/>
  <c r="S13" i="8" s="1"/>
  <c r="U13" i="8" s="1"/>
  <c r="J13" i="8" s="1"/>
  <c r="M13" i="8" s="1"/>
  <c r="G13" i="8" s="1"/>
  <c r="K14" i="16" s="1"/>
  <c r="R14" i="6"/>
  <c r="S14" i="6" s="1"/>
  <c r="O15" i="6"/>
  <c r="T14" i="6"/>
  <c r="K15" i="7"/>
  <c r="R13" i="6"/>
  <c r="S13" i="6" s="1"/>
  <c r="U13" i="6" s="1"/>
  <c r="J13" i="6" s="1"/>
  <c r="M13" i="6" s="1"/>
  <c r="G13" i="6" s="1"/>
  <c r="G13" i="9" s="1"/>
  <c r="R14" i="3"/>
  <c r="S14" i="3" s="1"/>
  <c r="U14" i="3" s="1"/>
  <c r="J14" i="3" s="1"/>
  <c r="M14" i="3" s="1"/>
  <c r="G14" i="3" s="1"/>
  <c r="I15" i="16" s="1"/>
  <c r="K13" i="3"/>
  <c r="R14" i="8"/>
  <c r="S14" i="8" s="1"/>
  <c r="K13" i="6"/>
  <c r="F32" i="3"/>
  <c r="F35" i="3"/>
  <c r="T13" i="6"/>
  <c r="T13" i="8"/>
  <c r="O12" i="6"/>
  <c r="E69" i="6"/>
  <c r="T13" i="3"/>
  <c r="K14" i="3"/>
  <c r="T14" i="3"/>
  <c r="R13" i="3"/>
  <c r="S13" i="3" s="1"/>
  <c r="U13" i="3" s="1"/>
  <c r="J13" i="3" s="1"/>
  <c r="T15" i="7"/>
  <c r="F15" i="6"/>
  <c r="L13" i="4"/>
  <c r="O14" i="16" s="1"/>
  <c r="L11" i="4"/>
  <c r="O12" i="16" s="1"/>
  <c r="K8" i="7"/>
  <c r="O13" i="2"/>
  <c r="F35" i="8"/>
  <c r="T8" i="7"/>
  <c r="U8" i="7" s="1"/>
  <c r="J8" i="7" s="1"/>
  <c r="M8" i="7" s="1"/>
  <c r="T13" i="7"/>
  <c r="F32" i="8"/>
  <c r="Q10" i="7"/>
  <c r="F13" i="2"/>
  <c r="Q11" i="7"/>
  <c r="R8" i="6"/>
  <c r="S8" i="6" s="1"/>
  <c r="F14" i="2"/>
  <c r="E69" i="8"/>
  <c r="F10" i="7"/>
  <c r="L10" i="3"/>
  <c r="P11" i="16" s="1"/>
  <c r="F30" i="7"/>
  <c r="D12" i="8"/>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Q12" i="8" l="1"/>
  <c r="T15" i="6"/>
  <c r="T12" i="3"/>
  <c r="O12" i="8"/>
  <c r="R12" i="8" s="1"/>
  <c r="S12" i="8" s="1"/>
  <c r="K12" i="3"/>
  <c r="L15" i="7"/>
  <c r="S16" i="16" s="1"/>
  <c r="L12" i="7"/>
  <c r="S13" i="16" s="1"/>
  <c r="Q15" i="8"/>
  <c r="R15" i="8" s="1"/>
  <c r="S15" i="8" s="1"/>
  <c r="U15" i="8" s="1"/>
  <c r="J15" i="8" s="1"/>
  <c r="L13" i="3"/>
  <c r="P14" i="16" s="1"/>
  <c r="M12" i="7"/>
  <c r="K12" i="6"/>
  <c r="T15" i="3"/>
  <c r="K15" i="3"/>
  <c r="L15" i="3" s="1"/>
  <c r="P16" i="16" s="1"/>
  <c r="U14" i="6"/>
  <c r="J14" i="6" s="1"/>
  <c r="M14" i="6" s="1"/>
  <c r="G14" i="6" s="1"/>
  <c r="M15" i="13" s="1"/>
  <c r="L13" i="6"/>
  <c r="R14" i="16" s="1"/>
  <c r="Q14" i="13"/>
  <c r="U14" i="8"/>
  <c r="J14" i="8" s="1"/>
  <c r="N30" i="8" s="1"/>
  <c r="I13" i="9"/>
  <c r="M14" i="13"/>
  <c r="L13" i="8"/>
  <c r="T14" i="16" s="1"/>
  <c r="K15" i="6"/>
  <c r="R15" i="6"/>
  <c r="S15" i="6" s="1"/>
  <c r="U15" i="6" s="1"/>
  <c r="J15" i="6" s="1"/>
  <c r="N30" i="3"/>
  <c r="R12" i="6"/>
  <c r="S12" i="6" s="1"/>
  <c r="L14" i="3"/>
  <c r="P15" i="16" s="1"/>
  <c r="E14" i="9"/>
  <c r="M13" i="3"/>
  <c r="G13" i="3" s="1"/>
  <c r="I14" i="13" s="1"/>
  <c r="I15" i="13"/>
  <c r="T12" i="6"/>
  <c r="M13" i="9"/>
  <c r="U14" i="13"/>
  <c r="U12" i="13"/>
  <c r="M11" i="9"/>
  <c r="T13" i="2"/>
  <c r="U8" i="6"/>
  <c r="J8" i="6" s="1"/>
  <c r="M8" i="6" s="1"/>
  <c r="G8" i="6" s="1"/>
  <c r="M9" i="13" s="1"/>
  <c r="R13" i="2"/>
  <c r="S13" i="2" s="1"/>
  <c r="U13" i="2" s="1"/>
  <c r="J13" i="2" s="1"/>
  <c r="M13" i="2" s="1"/>
  <c r="G13" i="2" s="1"/>
  <c r="E14" i="16" s="1"/>
  <c r="V11" i="13"/>
  <c r="T12" i="8"/>
  <c r="K12" i="8"/>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Y16" i="13" l="1"/>
  <c r="Q15" i="9"/>
  <c r="Q12" i="9"/>
  <c r="Y13" i="13"/>
  <c r="K15" i="8"/>
  <c r="T15" i="8"/>
  <c r="U10" i="7"/>
  <c r="J10" i="7" s="1"/>
  <c r="L10" i="7" s="1"/>
  <c r="S11" i="16" s="1"/>
  <c r="V14" i="13"/>
  <c r="L14" i="6"/>
  <c r="R15" i="16" s="1"/>
  <c r="X14" i="13"/>
  <c r="N30" i="6"/>
  <c r="E13" i="9"/>
  <c r="I14" i="16"/>
  <c r="P13" i="9"/>
  <c r="G14" i="9"/>
  <c r="V15" i="13"/>
  <c r="L15" i="6"/>
  <c r="R16" i="16" s="1"/>
  <c r="N14" i="9"/>
  <c r="U11" i="7"/>
  <c r="J11" i="7" s="1"/>
  <c r="M11" i="7" s="1"/>
  <c r="R13" i="9"/>
  <c r="Z14" i="13"/>
  <c r="L14" i="8"/>
  <c r="T15" i="16" s="1"/>
  <c r="U12" i="8"/>
  <c r="J12" i="8" s="1"/>
  <c r="L12" i="8" s="1"/>
  <c r="T13" i="16" s="1"/>
  <c r="U12" i="6"/>
  <c r="J12" i="6" s="1"/>
  <c r="M14" i="8"/>
  <c r="G14" i="8" s="1"/>
  <c r="K15" i="16" s="1"/>
  <c r="M15" i="6"/>
  <c r="G15" i="6" s="1"/>
  <c r="M16" i="13" s="1"/>
  <c r="L8" i="6"/>
  <c r="R9" i="16" s="1"/>
  <c r="L15" i="5"/>
  <c r="Q16" i="16" s="1"/>
  <c r="T9" i="13"/>
  <c r="L8" i="9"/>
  <c r="G8" i="9"/>
  <c r="Q14" i="9"/>
  <c r="Y15" i="13"/>
  <c r="Y14" i="13"/>
  <c r="E9" i="13"/>
  <c r="Q13" i="9"/>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0" i="7" l="1"/>
  <c r="X16" i="13"/>
  <c r="X15" i="13"/>
  <c r="P14" i="9"/>
  <c r="Z15" i="13"/>
  <c r="G15" i="9"/>
  <c r="P15" i="9"/>
  <c r="R14" i="9"/>
  <c r="L11" i="7"/>
  <c r="S12" i="16" s="1"/>
  <c r="M12" i="8"/>
  <c r="G12" i="8" s="1"/>
  <c r="K13" i="16" s="1"/>
  <c r="I14" i="9"/>
  <c r="Q15" i="13"/>
  <c r="L12" i="6"/>
  <c r="M12" i="6"/>
  <c r="G12" i="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I12" i="9" l="1"/>
  <c r="Y12" i="13"/>
  <c r="Q13" i="13"/>
  <c r="Q11" i="9"/>
  <c r="G12" i="9"/>
  <c r="M13" i="13"/>
  <c r="R13" i="16"/>
  <c r="P12" i="9"/>
  <c r="X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<sst xmlns="http://schemas.openxmlformats.org/spreadsheetml/2006/main" count="654" uniqueCount="141">
  <si>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</si>
  <si>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</si>
  <si>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</si>
  <si>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</si>
  <si>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</si>
  <si>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</si>
  <si>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</si>
  <si>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</si>
  <si>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</si>
  <si>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</si>
  <si>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</si>
  <si>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</si>
  <si>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</si>
  <si>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</si>
  <si>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</si>
  <si>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</si>
  <si>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</si>
  <si>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</si>
  <si>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</si>
  <si>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</si>
  <si>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</si>
  <si>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</si>
  <si>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</si>
  <si>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</si>
  <si>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</si>
  <si>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</si>
  <si>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</si>
  <si>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</si>
  <si>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</si>
  <si>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</si>
  <si>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</si>
  <si>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</si>
  <si>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</si>
  <si>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</si>
  <si>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</si>
  <si>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</si>
  <si>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</si>
  <si>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</si>
  <si>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</si>
  <si>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</si>
  <si>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</si>
  <si>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</si>
  <si>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</si>
  <si>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</si>
  <si>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</si>
  <si>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</si>
  <si>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</si>
  <si>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</si>
  <si>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</si>
  <si>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</si>
  <si>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</si>
  <si>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</si>
  <si>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</si>
  <si>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</si>
  <si>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</si>
  <si>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</si>
  <si>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</si>
  <si>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</si>
  <si>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</si>
  <si>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</si>
  <si>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</si>
  <si>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</si>
  <si>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</si>
  <si>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</si>
  <si>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</si>
  <si>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</si>
  <si>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</si>
  <si>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</si>
  <si>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</si>
  <si>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</si>
  <si>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</si>
  <si>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</si>
  <si>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</si>
  <si>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</si>
  <si>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</si>
  <si>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</si>
  <si>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</si>
  <si>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</si>
  <si>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</si>
  <si>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</si>
  <si>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</si>
  <si>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</si>
  <si>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</si>
  <si>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</si>
  <si>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</si>
  <si>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</si>
  <si>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</si>
  <si>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</si>
  <si>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</si>
  <si>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</si>
  <si>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</si>
  <si>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</si>
  <si>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</si>
  <si>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</si>
  <si>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</si>
  <si>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</si>
  <si>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</si>
  <si>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</si>
  <si>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</si>
  <si>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</si>
  <si>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</si>
  <si>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</si>
  <si>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</si>
  <si>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</si>
  <si>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</si>
  <si>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</si>
  <si>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</si>
  <si>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</si>
  <si>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</si>
  <si>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</si>
  <si>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</si>
  <si>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</si>
  <si>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</si>
  <si>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</si>
  <si>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</si>
  <si>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</si>
  <si>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</si>
  <si>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</si>
  <si>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</si>
  <si>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</si>
  <si>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</si>
  <si>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</si>
  <si>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</si>
  <si>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</si>
  <si>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</si>
  <si>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</si>
  <si>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</si>
  <si>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</si>
  <si>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</si>
  <si>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</si>
  <si>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</si>
  <si>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</si>
  <si>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</si>
  <si>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</si>
  <si>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</si>
  <si>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</si>
  <si>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Schoolcraft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</si>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</sst>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Schoolcraft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N=12</c:v>
                </c:pt>
                <c:pt idx="3">
                  <c:v>Petitions, total N=22</c:v>
                </c:pt>
                <c:pt idx="4">
                  <c:v>Detentions, total N=8</c:v>
                </c:pt>
                <c:pt idx="5">
                  <c:v>Referrals, total N=32</c:v>
                </c:pt>
                <c:pt idx="6">
                  <c:v>Arrests, total N=34</c:v>
                </c:pt>
                <c:pt idx="7">
                  <c:v>Population, total N=713</c:v>
                </c:pt>
              </c:strCache>
            </c:strRef>
          </c:cat>
          <c:val>
            <c:numRef>
              <c:f>'Stacked 100%'!$B$7:$B$14</c:f>
              <c:numCache>
                <c:formatCode>0%</c:formatCode>
                <c:ptCount val="8"/>
                <c:pt idx="0">
                  <c:v>0</c:v>
                </c:pt>
                <c:pt idx="1">
                  <c:v>0</c:v>
                </c:pt>
                <c:pt idx="2">
                  <c:v>0</c:v>
                </c:pt>
                <c:pt idx="3">
                  <c:v>0</c:v>
                </c:pt>
                <c:pt idx="4">
                  <c:v>0</c:v>
                </c:pt>
                <c:pt idx="5">
                  <c:v>0</c:v>
                </c:pt>
                <c:pt idx="6">
                  <c:v>5.8823529411764705E-2</c:v>
                </c:pt>
                <c:pt idx="7">
                  <c:v>4.2075736325385693E-2</c:v>
                </c:pt>
              </c:numCache>
            </c:numRef>
          </c:val>
          <c:extLst>
            <c:ext xmlns:c16="http://schemas.microsoft.com/office/drawing/2014/chart" uri="{C3380CC4-5D6E-409C-BE32-E72D297353CC}">
              <c16:uniqueId val="{00000000-B0F2-4A5B-9822-06DE072E413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N=12</c:v>
                </c:pt>
                <c:pt idx="3">
                  <c:v>Petitions, total N=22</c:v>
                </c:pt>
                <c:pt idx="4">
                  <c:v>Detentions, total N=8</c:v>
                </c:pt>
                <c:pt idx="5">
                  <c:v>Referrals, total N=32</c:v>
                </c:pt>
                <c:pt idx="6">
                  <c:v>Arrests, total N=34</c:v>
                </c:pt>
                <c:pt idx="7">
                  <c:v>Population, total N=713</c:v>
                </c:pt>
              </c:strCache>
            </c:strRef>
          </c:cat>
          <c:val>
            <c:numRef>
              <c:f>'Stacked 100%'!$C$7:$C$14</c:f>
              <c:numCache>
                <c:formatCode>0%</c:formatCode>
                <c:ptCount val="8"/>
                <c:pt idx="0">
                  <c:v>0</c:v>
                </c:pt>
                <c:pt idx="1">
                  <c:v>0</c:v>
                </c:pt>
                <c:pt idx="2">
                  <c:v>0</c:v>
                </c:pt>
                <c:pt idx="3">
                  <c:v>0</c:v>
                </c:pt>
                <c:pt idx="4">
                  <c:v>0</c:v>
                </c:pt>
                <c:pt idx="5">
                  <c:v>0</c:v>
                </c:pt>
                <c:pt idx="6">
                  <c:v>0</c:v>
                </c:pt>
                <c:pt idx="7">
                  <c:v>3.5063113604488078E-2</c:v>
                </c:pt>
              </c:numCache>
            </c:numRef>
          </c:val>
          <c:extLst>
            <c:ext xmlns:c16="http://schemas.microsoft.com/office/drawing/2014/chart" uri="{C3380CC4-5D6E-409C-BE32-E72D297353CC}">
              <c16:uniqueId val="{00000001-B0F2-4A5B-9822-06DE072E413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N=10</c:v>
                </c:pt>
                <c:pt idx="2">
                  <c:v>Delinquent Findings, total N=12</c:v>
                </c:pt>
                <c:pt idx="3">
                  <c:v>Petitions, total N=22</c:v>
                </c:pt>
                <c:pt idx="4">
                  <c:v>Detentions, total N=8</c:v>
                </c:pt>
                <c:pt idx="5">
                  <c:v>Referrals, total N=32</c:v>
                </c:pt>
                <c:pt idx="6">
                  <c:v>Arrests, total N=34</c:v>
                </c:pt>
                <c:pt idx="7">
                  <c:v>Population, total N=713</c:v>
                </c:pt>
              </c:strCache>
            </c:strRef>
          </c:cat>
          <c:val>
            <c:numRef>
              <c:f>'Stacked 100%'!$H$7:$H$14</c:f>
              <c:numCache>
                <c:formatCode>0%</c:formatCode>
                <c:ptCount val="8"/>
                <c:pt idx="0">
                  <c:v>0</c:v>
                </c:pt>
                <c:pt idx="1">
                  <c:v>6.9999999999999993E-2</c:v>
                </c:pt>
                <c:pt idx="2">
                  <c:v>3.4722222222222224E-2</c:v>
                </c:pt>
                <c:pt idx="3">
                  <c:v>1.859504132231405E-2</c:v>
                </c:pt>
                <c:pt idx="4">
                  <c:v>7.8125E-2</c:v>
                </c:pt>
                <c:pt idx="5">
                  <c:v>1.3671875E-2</c:v>
                </c:pt>
                <c:pt idx="6">
                  <c:v>1.2975778546712802E-2</c:v>
                </c:pt>
                <c:pt idx="7">
                  <c:v>2.2031241086690966E-4</c:v>
                </c:pt>
              </c:numCache>
            </c:numRef>
          </c:val>
          <c:extLst>
            <c:ext xmlns:c16="http://schemas.microsoft.com/office/drawing/2014/chart" uri="{C3380CC4-5D6E-409C-BE32-E72D297353CC}">
              <c16:uniqueId val="{00000002-B0F2-4A5B-9822-06DE072E413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N=12</c:v>
                </c:pt>
                <c:pt idx="3">
                  <c:v>Petitions, total N=22</c:v>
                </c:pt>
                <c:pt idx="4">
                  <c:v>Detentions, total N=8</c:v>
                </c:pt>
                <c:pt idx="5">
                  <c:v>Referrals, total N=32</c:v>
                </c:pt>
                <c:pt idx="6">
                  <c:v>Arrests, total N=34</c:v>
                </c:pt>
                <c:pt idx="7">
                  <c:v>Population, total N=713</c:v>
                </c:pt>
              </c:strCache>
            </c:strRef>
          </c:cat>
          <c:val>
            <c:numRef>
              <c:f>'Stacked 100%'!$I$7:$I$14</c:f>
              <c:numCache>
                <c:formatCode>0%</c:formatCode>
                <c:ptCount val="8"/>
                <c:pt idx="0">
                  <c:v>0</c:v>
                </c:pt>
                <c:pt idx="1">
                  <c:v>0.3</c:v>
                </c:pt>
                <c:pt idx="2">
                  <c:v>0.58333333333333337</c:v>
                </c:pt>
                <c:pt idx="3">
                  <c:v>0.59090909090909094</c:v>
                </c:pt>
                <c:pt idx="4">
                  <c:v>0.375</c:v>
                </c:pt>
                <c:pt idx="5">
                  <c:v>0.5625</c:v>
                </c:pt>
                <c:pt idx="6">
                  <c:v>0.5</c:v>
                </c:pt>
                <c:pt idx="7">
                  <c:v>0.76577840112201967</c:v>
                </c:pt>
              </c:numCache>
            </c:numRef>
          </c:val>
          <c:extLst>
            <c:ext xmlns:c16="http://schemas.microsoft.com/office/drawing/2014/chart" uri="{C3380CC4-5D6E-409C-BE32-E72D297353CC}">
              <c16:uniqueId val="{00000003-B0F2-4A5B-9822-06DE072E413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N=10</c:v>
                </c:pt>
                <c:pt idx="2">
                  <c:v>Delinquent Findings, total N=12</c:v>
                </c:pt>
                <c:pt idx="3">
                  <c:v>Petitions, total N=22</c:v>
                </c:pt>
                <c:pt idx="4">
                  <c:v>Detentions, total N=8</c:v>
                </c:pt>
                <c:pt idx="5">
                  <c:v>Referrals, total N=32</c:v>
                </c:pt>
                <c:pt idx="6">
                  <c:v>Arrests, total N=34</c:v>
                </c:pt>
                <c:pt idx="7">
                  <c:v>Population, total N=713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0F2-4A5B-9822-06DE072E413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713</v>
      </c>
      <c r="C6" s="11">
        <v>546</v>
      </c>
      <c r="D6" s="11">
        <v>30</v>
      </c>
      <c r="E6" s="11">
        <v>25</v>
      </c>
      <c r="F6" s="11">
        <v>5</v>
      </c>
      <c r="G6" s="11"/>
      <c r="H6" s="11">
        <v>107</v>
      </c>
      <c r="I6" s="11"/>
      <c r="J6" s="91">
        <f>SUM(D6:I6)</f>
        <v>167</v>
      </c>
      <c r="K6" s="92"/>
    </row>
    <row r="7" spans="1:11" ht="15.75" customHeight="1" thickBot="1">
      <c r="A7" s="10" t="s">
        <v>8</v>
      </c>
      <c r="B7" s="11">
        <f t="shared" ref="B7:B15" si="0">SUM(C7:I7)+K7</f>
        <v>34</v>
      </c>
      <c r="C7" s="11">
        <v>17</v>
      </c>
      <c r="D7" s="11">
        <v>2</v>
      </c>
      <c r="E7" s="11">
        <v>0</v>
      </c>
      <c r="F7" s="11">
        <v>0</v>
      </c>
      <c r="G7" s="11">
        <v>0</v>
      </c>
      <c r="H7" s="11">
        <v>15</v>
      </c>
      <c r="I7" s="11"/>
      <c r="J7" s="91">
        <f t="shared" ref="J7:J15" si="1">SUM(D7:I7)</f>
        <v>17</v>
      </c>
      <c r="K7" s="92">
        <v>0</v>
      </c>
    </row>
    <row r="8" spans="1:11" ht="15.75" customHeight="1" thickBot="1">
      <c r="A8" s="10" t="s">
        <v>9</v>
      </c>
      <c r="B8" s="11">
        <f t="shared" si="0"/>
        <v>32</v>
      </c>
      <c r="C8" s="11">
        <v>18</v>
      </c>
      <c r="D8" s="11"/>
      <c r="E8" s="11"/>
      <c r="F8" s="11"/>
      <c r="G8" s="11"/>
      <c r="H8" s="11">
        <v>14</v>
      </c>
      <c r="I8" s="11"/>
      <c r="J8" s="91">
        <f t="shared" si="1"/>
        <v>14</v>
      </c>
      <c r="K8" s="92"/>
    </row>
    <row r="9" spans="1:11" ht="15.75" customHeight="1" thickBot="1">
      <c r="A9" s="10" t="s">
        <v>10</v>
      </c>
      <c r="B9" s="11">
        <f t="shared" si="0"/>
        <v>6</v>
      </c>
      <c r="C9" s="11">
        <v>3</v>
      </c>
      <c r="D9" s="11"/>
      <c r="E9" s="11"/>
      <c r="F9" s="11"/>
      <c r="G9" s="11"/>
      <c r="H9" s="11">
        <v>3</v>
      </c>
      <c r="I9" s="11"/>
      <c r="J9" s="91">
        <f t="shared" si="1"/>
        <v>3</v>
      </c>
      <c r="K9" s="92"/>
    </row>
    <row r="10" spans="1:11" ht="15.75" customHeight="1" thickBot="1">
      <c r="A10" s="10" t="s">
        <v>11</v>
      </c>
      <c r="B10" s="11">
        <f t="shared" si="0"/>
        <v>8</v>
      </c>
      <c r="C10" s="11">
        <v>3</v>
      </c>
      <c r="D10" s="11"/>
      <c r="E10" s="11"/>
      <c r="F10" s="11"/>
      <c r="G10" s="11"/>
      <c r="H10" s="11">
        <v>5</v>
      </c>
      <c r="I10" s="11"/>
      <c r="J10" s="91">
        <f t="shared" si="1"/>
        <v>5</v>
      </c>
      <c r="K10" s="92"/>
    </row>
    <row r="11" spans="1:11" ht="15.75" customHeight="1" thickBot="1">
      <c r="A11" s="10" t="s">
        <v>12</v>
      </c>
      <c r="B11" s="11">
        <f t="shared" si="0"/>
        <v>22</v>
      </c>
      <c r="C11" s="11">
        <v>13</v>
      </c>
      <c r="D11" s="11"/>
      <c r="E11" s="11"/>
      <c r="F11" s="11"/>
      <c r="G11" s="11"/>
      <c r="H11" s="11">
        <v>9</v>
      </c>
      <c r="I11" s="11"/>
      <c r="J11" s="91">
        <f t="shared" si="1"/>
        <v>9</v>
      </c>
      <c r="K11" s="92"/>
    </row>
    <row r="12" spans="1:11" ht="15.75" customHeight="1" thickBot="1">
      <c r="A12" s="10" t="s">
        <v>13</v>
      </c>
      <c r="B12" s="11">
        <f t="shared" si="0"/>
        <v>12</v>
      </c>
      <c r="C12" s="11">
        <v>7</v>
      </c>
      <c r="D12" s="11"/>
      <c r="E12" s="11"/>
      <c r="F12" s="11"/>
      <c r="G12" s="11"/>
      <c r="H12" s="11">
        <v>5</v>
      </c>
      <c r="I12" s="11"/>
      <c r="J12" s="91">
        <f t="shared" si="1"/>
        <v>5</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10</v>
      </c>
      <c r="C14" s="11">
        <v>3</v>
      </c>
      <c r="D14" s="11"/>
      <c r="E14" s="11"/>
      <c r="F14" s="11"/>
      <c r="G14" s="11"/>
      <c r="H14" s="11">
        <v>7</v>
      </c>
      <c r="I14" s="11"/>
      <c r="J14" s="91">
        <f t="shared" si="1"/>
        <v>7</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529</v>
      </c>
      <c r="R7" s="42">
        <f t="shared" ref="R7:R15" si="5">SUM(N7:Q7)</f>
        <v>546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18</v>
      </c>
      <c r="D8" s="34">
        <f>IF((AND(C67&gt;0,C8&gt;0)),(C8/C67),0)</f>
        <v>105.88235294117646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v>
      </c>
      <c r="Q8" s="42">
        <f>(C$67*L67)-C8</f>
        <v>-1</v>
      </c>
      <c r="R8" s="42">
        <f t="shared" si="5"/>
        <v>17.05</v>
      </c>
      <c r="S8" s="30">
        <f t="shared" si="6"/>
        <v>13.810500000000001</v>
      </c>
      <c r="T8" s="30">
        <f t="shared" si="7"/>
        <v>-14.535</v>
      </c>
      <c r="U8" s="31">
        <f t="shared" si="8"/>
        <v>-0.95015479876161002</v>
      </c>
    </row>
    <row r="9" spans="2:21" ht="18" customHeight="1">
      <c r="B9" s="32" t="str">
        <f>'Data Entry'!A9</f>
        <v xml:space="preserve">4. Cases Diverted </v>
      </c>
      <c r="C9" s="33">
        <f>'Data Entry'!C9</f>
        <v>3</v>
      </c>
      <c r="D9" s="34">
        <f>IF((AND(C68&gt;0,C9&gt;0)),((C9/C68)),0)</f>
        <v>16.666666666666668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16.666666666666668</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72.222222222222229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5</v>
      </c>
      <c r="R11" s="42">
        <f t="shared" si="5"/>
        <v>18</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53.846153846153847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6</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0</v>
      </c>
      <c r="E42" s="56">
        <f>MAX(C42:D42)</f>
        <v>0.54600000000000004</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0.18</v>
      </c>
      <c r="D44" s="56">
        <f>E8/100</f>
        <v>0</v>
      </c>
      <c r="E44" s="56">
        <f>MAX(C44:D44,0)</f>
        <v>0.18</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0</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0</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0</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0</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Entry'!J6</f>
        <v>167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Entry'!J7</f>
        <v>17</v>
      </c>
      <c r="F7" s="34">
        <f>IF((AND($E$7&gt;0,$D$66&gt;0)),($E$7/$D$66),0)</f>
        <v>101.79640718562874</v>
      </c>
      <c r="G7" s="39">
        <f t="shared" ref="G7:G15" si="0">IF(L$6=100,"*",IF(M7=FALSE,"--",IF(K7=20,"**",($F7/$D7))))</f>
        <v>3.2694610778443116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17</v>
      </c>
      <c r="O7" s="42">
        <f>E6-E7</f>
        <v>150</v>
      </c>
      <c r="P7" s="42">
        <f t="shared" ref="P7:P15" si="4">C7</f>
        <v>17</v>
      </c>
      <c r="Q7" s="42">
        <f>C6-C7</f>
        <v>529</v>
      </c>
      <c r="R7" s="42">
        <f t="shared" ref="R7:R15" si="5">SUM(N7:Q7)</f>
        <v>713</v>
      </c>
      <c r="S7" s="30">
        <f t="shared" ref="S7:S15" si="6">R7*((((N7*Q7)-(O7*P7))^2))</f>
        <v>29598233537</v>
      </c>
      <c r="T7" s="30">
        <f t="shared" ref="T7:T15" si="7">(N7+O7)*(P7+Q7)*(N7+P7)*(O7+Q7)</f>
        <v>2105027652</v>
      </c>
      <c r="U7" s="31">
        <f t="shared" ref="U7:U15" si="8">IF((S7&gt;0),S7/T7,"- -")</f>
        <v>14.06073383828404</v>
      </c>
    </row>
    <row r="8" spans="2:21" ht="18" customHeight="1">
      <c r="B8" s="32" t="str">
        <f>'Data Entry'!A8</f>
        <v>3. Refer to Juvenile Court</v>
      </c>
      <c r="C8" s="33">
        <f>'Data Entry'!C8</f>
        <v>18</v>
      </c>
      <c r="D8" s="34">
        <f>IF((AND(C67&gt;0,C8&gt;0)),(C8/C67),0)</f>
        <v>105.88235294117646</v>
      </c>
      <c r="E8" s="33">
        <f>'Data Entry'!J8</f>
        <v>14</v>
      </c>
      <c r="F8" s="34">
        <f>IF((AND($E$8&gt;0,$D$67&gt;0)),($E8/$D67),0)</f>
        <v>82.35294117647058</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14</v>
      </c>
      <c r="O8" s="42">
        <f>((D67*L67)-E8)+0.05</f>
        <v>3.05</v>
      </c>
      <c r="P8" s="42">
        <f t="shared" si="4"/>
        <v>18</v>
      </c>
      <c r="Q8" s="42">
        <f>(C$67*L67)-C8</f>
        <v>-1</v>
      </c>
      <c r="R8" s="42">
        <f t="shared" si="5"/>
        <v>34.049999999999997</v>
      </c>
      <c r="S8" s="30">
        <f t="shared" si="6"/>
        <v>161642.50050000002</v>
      </c>
      <c r="T8" s="30">
        <f t="shared" si="7"/>
        <v>19014.16</v>
      </c>
      <c r="U8" s="31">
        <f t="shared" si="8"/>
        <v>8.5011644216731117</v>
      </c>
    </row>
    <row r="9" spans="2:21" ht="18" customHeight="1">
      <c r="B9" s="32" t="str">
        <f>'Data Entry'!A9</f>
        <v xml:space="preserve">4. Cases Diverted </v>
      </c>
      <c r="C9" s="33">
        <f>'Data Entry'!C9</f>
        <v>3</v>
      </c>
      <c r="D9" s="34">
        <f>IF((AND(C68&gt;0,C9&gt;0)),((C9/C68)),0)</f>
        <v>16.666666666666668</v>
      </c>
      <c r="E9" s="33">
        <f>'Data Entry'!J9</f>
        <v>3</v>
      </c>
      <c r="F9" s="34">
        <f>IF((AND($E$9&gt;0,$D$68&gt;0)),(($E$9/$D$68)),0)</f>
        <v>21.428571428571427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11.000000000000002</v>
      </c>
      <c r="P9" s="42">
        <f t="shared" si="4"/>
        <v>3</v>
      </c>
      <c r="Q9" s="42">
        <f>(C$68*L68)-C9</f>
        <v>15</v>
      </c>
      <c r="R9" s="42">
        <f t="shared" si="5"/>
        <v>32</v>
      </c>
      <c r="S9" s="30">
        <f t="shared" si="6"/>
        <v>4607.9999999999945</v>
      </c>
      <c r="T9" s="30">
        <f t="shared" si="7"/>
        <v>39312.000000000007</v>
      </c>
      <c r="U9" s="31">
        <f t="shared" si="8"/>
        <v>0.11721611721611705</v>
      </c>
    </row>
    <row r="10" spans="2:21" ht="18" customHeight="1">
      <c r="B10" s="32" t="str">
        <f>'Data Entry'!A10</f>
        <v>5. Cases Involving Secure Detention</v>
      </c>
      <c r="C10" s="33">
        <f>'Data Entry'!C10</f>
        <v>3</v>
      </c>
      <c r="D10" s="34">
        <f>IF(((AND(C68&gt;0,C10&gt;0))),(C10/(C68)),0)</f>
        <v>16.666666666666668</v>
      </c>
      <c r="E10" s="33">
        <f>'Data Entry'!J10</f>
        <v>5</v>
      </c>
      <c r="F10" s="34">
        <f>IF(((AND($E$10&gt;0,$D$68&gt;0))),($E$10/($D$68)),0)</f>
        <v>35.714285714285708</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5</v>
      </c>
      <c r="O10" s="42">
        <f>(D$68*L68)-E10</f>
        <v>9.0000000000000018</v>
      </c>
      <c r="P10" s="42">
        <f t="shared" si="4"/>
        <v>3</v>
      </c>
      <c r="Q10" s="42">
        <f>(C$68*L68)-C10</f>
        <v>15</v>
      </c>
      <c r="R10" s="42">
        <f t="shared" si="5"/>
        <v>32</v>
      </c>
      <c r="S10" s="30">
        <f t="shared" si="6"/>
        <v>73727.999999999971</v>
      </c>
      <c r="T10" s="30">
        <f t="shared" si="7"/>
        <v>48384.000000000007</v>
      </c>
      <c r="U10" s="31">
        <f t="shared" si="8"/>
        <v>1.5238095238095231</v>
      </c>
    </row>
    <row r="11" spans="2:21" ht="18" customHeight="1">
      <c r="B11" s="32" t="str">
        <f>'Data Entry'!A11</f>
        <v>6. Cases Petitioned (Charge Filed)</v>
      </c>
      <c r="C11" s="33">
        <f>'Data Entry'!C11</f>
        <v>13</v>
      </c>
      <c r="D11" s="34">
        <f>IF(((AND(C68&gt;0,C11&gt;0))),(C11/(C68)),0)</f>
        <v>72.222222222222229</v>
      </c>
      <c r="E11" s="33">
        <f>'Data Entry'!J11</f>
        <v>9</v>
      </c>
      <c r="F11" s="34">
        <f>IF(((AND($E$11&gt;0,$D$68&gt;0))),($E$11/($D$68)),0)</f>
        <v>64.285714285714278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9</v>
      </c>
      <c r="O11" s="42">
        <f>(D$68*L68)-E11</f>
        <v>5.0000000000000018</v>
      </c>
      <c r="P11" s="42">
        <f t="shared" si="4"/>
        <v>13</v>
      </c>
      <c r="Q11" s="42">
        <f>(C$68*L68)-C11</f>
        <v>5</v>
      </c>
      <c r="R11" s="42">
        <f t="shared" si="5"/>
        <v>32</v>
      </c>
      <c r="S11" s="30">
        <f t="shared" si="6"/>
        <v>12800.000000000036</v>
      </c>
      <c r="T11" s="30">
        <f t="shared" si="7"/>
        <v>55440.000000000022</v>
      </c>
      <c r="U11" s="31">
        <f t="shared" si="8"/>
        <v>0.23088023088023144</v>
      </c>
    </row>
    <row r="12" spans="2:21" ht="18" customHeight="1">
      <c r="B12" s="32" t="str">
        <f>'Data Entry'!A12</f>
        <v>7. Cases Resulting in Delinquent Findings</v>
      </c>
      <c r="C12" s="33">
        <f>'Data Entry'!C12</f>
        <v>7</v>
      </c>
      <c r="D12" s="34">
        <f>IF(((AND(C69&gt;0,C12&gt;0))),(C12/(C69)),0)</f>
        <v>53.846153846153847</v>
      </c>
      <c r="E12" s="33">
        <f>'Data Entry'!J12</f>
        <v>5</v>
      </c>
      <c r="F12" s="34">
        <f>IF(((AND($D$69&gt;0,$E$12&gt;0))),(E12/(D69)),0)</f>
        <v>55.555555555555557</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4</v>
      </c>
      <c r="P12" s="42">
        <f t="shared" si="4"/>
        <v>7</v>
      </c>
      <c r="Q12" s="42">
        <f>(C69*L69)-C12</f>
        <v>6</v>
      </c>
      <c r="R12" s="42">
        <f t="shared" si="5"/>
        <v>22</v>
      </c>
      <c r="S12" s="30">
        <f t="shared" si="6"/>
        <v>88</v>
      </c>
      <c r="T12" s="30">
        <f t="shared" si="7"/>
        <v>14040</v>
      </c>
      <c r="U12" s="31">
        <f t="shared" si="8"/>
        <v>6.2678062678062675E-3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7.0000000000000009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Entry'!J14</f>
        <v>7</v>
      </c>
      <c r="F14" s="34">
        <f>IF(((AND($D$70&gt;0,$E$14&gt;0))), (($E$14/($D$70))),0)</f>
        <v>140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7</v>
      </c>
      <c r="O14" s="42">
        <f>(D70*L70)-E14</f>
        <v>-2</v>
      </c>
      <c r="P14" s="42">
        <f t="shared" si="4"/>
        <v>3</v>
      </c>
      <c r="Q14" s="42">
        <f>(C70*L70)-C14</f>
        <v>4.0000000000000009</v>
      </c>
      <c r="R14" s="42">
        <f t="shared" si="5"/>
        <v>12</v>
      </c>
      <c r="S14" s="30">
        <f t="shared" si="6"/>
        <v>13872.000000000005</v>
      </c>
      <c r="T14" s="30">
        <f t="shared" si="7"/>
        <v>700.00000000000045</v>
      </c>
      <c r="U14" s="31">
        <f t="shared" si="8"/>
        <v>19.817142857142851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13</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0.16700000000000001</v>
      </c>
      <c r="E42" s="56">
        <f>MAX(C42:D42)</f>
        <v>0.54600000000000004</v>
      </c>
      <c r="G42" s="1" t="str">
        <f>B42</f>
        <v>per 1000 youth</v>
      </c>
      <c r="L42" s="57">
        <v>1000</v>
      </c>
      <c r="M42" s="57"/>
      <c r="R42" s="49"/>
    </row>
    <row r="43" spans="2:18" ht="15" hidden="1" customHeight="1">
      <c r="B43" s="49" t="s">
        <v>87</v>
      </c>
      <c r="C43" s="56">
        <f>C7/100</f>
        <v>0.17</v>
      </c>
      <c r="D43" s="56">
        <f>E7/100</f>
        <v>0.17</v>
      </c>
      <c r="E43" s="56">
        <f>MAX(C43:D43,0)</f>
        <v>0.17</v>
      </c>
      <c r="G43" s="1" t="str">
        <f>B43</f>
        <v>per 100 arrests</v>
      </c>
      <c r="L43" s="57">
        <v>100</v>
      </c>
      <c r="M43" s="57"/>
      <c r="R43" s="49"/>
    </row>
    <row r="44" spans="2:18" ht="15" hidden="1" customHeight="1">
      <c r="B44" s="49" t="s">
        <v>88</v>
      </c>
      <c r="C44" s="56">
        <f>C8/100</f>
        <v>0.18</v>
      </c>
      <c r="D44" s="56">
        <f>E8/100</f>
        <v>0.14000000000000001</v>
      </c>
      <c r="E44" s="56">
        <f>MAX(C44:D44,0)</f>
        <v>0.18</v>
      </c>
      <c r="G44" s="1" t="str">
        <f>B44</f>
        <v>per 100 referrals</v>
      </c>
      <c r="L44" s="57">
        <v>100</v>
      </c>
      <c r="M44" s="57"/>
      <c r="R44" s="49"/>
    </row>
    <row r="45" spans="2:18" ht="15" hidden="1" customHeight="1">
      <c r="B45" s="49" t="s">
        <v>89</v>
      </c>
      <c r="C45" s="49">
        <f>C11/100</f>
        <v>0.13</v>
      </c>
      <c r="D45" s="49">
        <f>E11/100</f>
        <v>0.09</v>
      </c>
      <c r="E45" s="56">
        <f>MAX(C45:D45,0)</f>
        <v>0.13</v>
      </c>
      <c r="G45" s="1" t="str">
        <f>B45</f>
        <v>per 100 youth petitioned</v>
      </c>
      <c r="L45" s="57">
        <v>100</v>
      </c>
      <c r="M45" s="57"/>
      <c r="R45" s="49"/>
    </row>
    <row r="46" spans="2:18" ht="15" hidden="1" customHeight="1">
      <c r="B46" s="49" t="s">
        <v>90</v>
      </c>
      <c r="C46" s="49">
        <f>C12/100</f>
        <v>7.0000000000000007E-2</v>
      </c>
      <c r="D46" s="49">
        <f>E12/100</f>
        <v>0.05</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0.16700000000000001</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0.17</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0.14000000000000001</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0.09</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0.05</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0.16700000000000001</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0.17</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0.14000000000000001</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0.09</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0.05</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0.16700000000000001</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0.17</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0.14000000000000001</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0.09</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0.05</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0.16700000000000001</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0.17</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0.14000000000000001</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0.09</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0.05</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Schoolcraft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4.5024738867509626</v>
      </c>
      <c r="H7" s="72" t="str">
        <f>'Other - Mixed'!G7</f>
        <v>*</v>
      </c>
      <c r="I7" s="73">
        <f>'All Minorities'!G7</f>
        <v>3.2694610778443116</v>
      </c>
      <c r="L7" s="1">
        <f>'Black or African-American'!L7</f>
        <v>40</v>
      </c>
      <c r="M7" s="1">
        <f>Hispanic!L7</f>
        <v>40</v>
      </c>
      <c r="N7" s="1">
        <f>Asian!L7</f>
        <v>139</v>
      </c>
      <c r="O7" s="1" t="e">
        <f>Hawaiian!L7</f>
        <v>#VALUE!</v>
      </c>
      <c r="P7" s="1">
        <f>'Am Indian'!L7</f>
        <v>1</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f>'Am Indian'!L10</f>
        <v>40</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f>'Am Indian'!L14</f>
        <v>20</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713</v>
      </c>
      <c r="D3" s="57">
        <f>'Data Entry'!C6</f>
        <v>546</v>
      </c>
      <c r="E3" s="57">
        <f>'Data Entry'!D6</f>
        <v>30</v>
      </c>
      <c r="F3" s="57">
        <f>'Data Entry'!E6</f>
        <v>25</v>
      </c>
      <c r="G3" s="57">
        <f>'Data Entry'!F6</f>
        <v>5</v>
      </c>
      <c r="H3" s="57">
        <f>'Data Entry'!G6</f>
        <v>0</v>
      </c>
      <c r="I3" s="57">
        <f>'Data Entry'!H6</f>
        <v>107</v>
      </c>
      <c r="J3" s="57">
        <f>'Data Entry'!I6</f>
        <v>0</v>
      </c>
      <c r="K3" s="57">
        <f>'Data Entry'!J6</f>
        <v>167</v>
      </c>
    </row>
    <row r="4" spans="2:11" ht="15" customHeight="1">
      <c r="B4" s="16" t="s">
        <v>8</v>
      </c>
      <c r="C4" s="1">
        <f>IF((C$3&gt;0),(1000*('Data Entry'!B7/'Data Entry'!B$6)), 0)</f>
        <v>47.685834502103788</v>
      </c>
      <c r="D4" s="1">
        <f>IF((D$3&gt;0),(1000*('Data Entry'!C7/'Data Entry'!C$6)), 0)</f>
        <v>31.135531135531135</v>
      </c>
      <c r="E4" s="1">
        <f>IF((E$3&gt;0),(1000*('Data Entry'!D7/'Data Entry'!D$6)), 0)</f>
        <v>66.666666666666671</v>
      </c>
      <c r="F4" s="1">
        <f>IF((F$3&gt;0),(1000*('Data Entry'!E7/'Data Entry'!E$6)), 0)</f>
        <v>0</v>
      </c>
      <c r="G4" s="1">
        <f>IF((G$3&gt;0),(1000*('Data Entry'!F7/'Data Entry'!F$6)), 0)</f>
        <v>0</v>
      </c>
      <c r="H4" s="1">
        <f>IF((H$3&gt;0),(1000*('Data Entry'!G7/'Data Entry'!G$6)), 0)</f>
        <v>0</v>
      </c>
      <c r="I4" s="1">
        <f>IF((I$3&gt;0),(1000*('Data Entry'!H7/'Data Entry'!H$6)), 0)</f>
        <v>140.18691588785046</v>
      </c>
      <c r="J4" s="1">
        <f>IF((J$3&gt;0),(1000*('Data Entry'!I7/'Data Entry'!I$6)), 0)</f>
        <v>0</v>
      </c>
      <c r="K4" s="1">
        <f>IF((K$3&gt;0),(1000*('Data Entry'!J7/'Data Entry'!J$6)), 0)</f>
        <v>101.79640718562874</v>
      </c>
    </row>
    <row r="5" spans="2:11" ht="15" customHeight="1">
      <c r="B5" s="16" t="s">
        <v>9</v>
      </c>
      <c r="C5" s="1">
        <f>IF((C$3&gt;0),(1000*('Data Entry'!B8/'Data Entry'!B$6)), 0)</f>
        <v>44.880785413744739</v>
      </c>
      <c r="D5" s="1">
        <f>IF((D$3&gt;0),(1000*('Data Entry'!C8/'Data Entry'!C$6)), 0)</f>
        <v>32.967032967032971</v>
      </c>
      <c r="E5" s="1">
        <f>IF((E$3&gt;0),(1000*('Data Entry'!D8/'Data Entry'!D$6)), 0)</f>
        <v>0</v>
      </c>
      <c r="F5" s="1">
        <f>IF((F$3&gt;0),(1000*('Data Entry'!E8/'Data Entry'!E$6)), 0)</f>
        <v>0</v>
      </c>
      <c r="G5" s="1">
        <f>IF((G$3&gt;0),(1000*('Data Entry'!F8/'Data Entry'!F$6)), 0)</f>
        <v>0</v>
      </c>
      <c r="H5" s="1">
        <f>IF((H$3&gt;0),(1000*('Data Entry'!G8/'Data Entry'!G$6)), 0)</f>
        <v>0</v>
      </c>
      <c r="I5" s="1">
        <f>IF((I$3&gt;0),(1000*('Data Entry'!H8/'Data Entry'!H$6)), 0)</f>
        <v>130.84112149532709</v>
      </c>
      <c r="J5" s="1">
        <f>IF((J$3&gt;0),(1000*('Data Entry'!I8/'Data Entry'!I$6)), 0)</f>
        <v>0</v>
      </c>
      <c r="K5" s="1">
        <f>IF((K$3&gt;0),(1000*('Data Entry'!J8/'Data Entry'!J$6)), 0)</f>
        <v>83.832335329341305</v>
      </c>
    </row>
    <row r="6" spans="2:11" ht="15" customHeight="1">
      <c r="B6" s="16" t="s">
        <v>10</v>
      </c>
      <c r="C6" s="1">
        <f>IF((C$3&gt;0),(1000*('Data Entry'!B9/'Data Entry'!B$6)), 0)</f>
        <v>8.4151472650771382</v>
      </c>
      <c r="D6" s="1">
        <f>IF((D$3&gt;0),(1000*('Data Entry'!C9/'Data Entry'!C$6)), 0)</f>
        <v>5.4945054945054945</v>
      </c>
      <c r="E6" s="1">
        <f>IF((E$3&gt;0),(1000*('Data Entry'!D9/'Data Entry'!D$6)), 0)</f>
        <v>0</v>
      </c>
      <c r="F6" s="1">
        <f>IF((F$3&gt;0),(1000*('Data Entry'!E9/'Data Entry'!E$6)), 0)</f>
        <v>0</v>
      </c>
      <c r="G6" s="1">
        <f>IF((G$3&gt;0),(1000*('Data Entry'!F9/'Data Entry'!F$6)), 0)</f>
        <v>0</v>
      </c>
      <c r="H6" s="1">
        <f>IF((H$3&gt;0),(1000*('Data Entry'!G9/'Data Entry'!G$6)), 0)</f>
        <v>0</v>
      </c>
      <c r="I6" s="1">
        <f>IF((I$3&gt;0),(1000*('Data Entry'!H9/'Data Entry'!H$6)), 0)</f>
        <v>28.037383177570092</v>
      </c>
      <c r="J6" s="1">
        <f>IF((J$3&gt;0),(1000*('Data Entry'!I9/'Data Entry'!I$6)), 0)</f>
        <v>0</v>
      </c>
      <c r="K6" s="1">
        <f>IF((K$3&gt;0),(1000*('Data Entry'!J9/'Data Entry'!J$6)), 0)</f>
        <v>17.964071856287426</v>
      </c>
    </row>
    <row r="7" spans="2:11" ht="15" customHeight="1">
      <c r="B7" s="16" t="s">
        <v>11</v>
      </c>
      <c r="C7" s="1">
        <f>IF((C$3&gt;0),(1000*('Data Entry'!B10/'Data Entry'!B$6)), 0)</f>
        <v>11.220196353436185</v>
      </c>
      <c r="D7" s="1">
        <f>IF((D$3&gt;0),(1000*('Data Entry'!C10/'Data Entry'!C$6)), 0)</f>
        <v>5.4945054945054945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46.728971962616818</v>
      </c>
      <c r="J7" s="1">
        <f>IF((J$3&gt;0),(1000*('Data Entry'!I10/'Data Entry'!I$6)), 0)</f>
        <v>0</v>
      </c>
      <c r="K7" s="1">
        <f>IF((K$3&gt;0),(1000*('Data Entry'!J10/'Data Entry'!J$6)), 0)</f>
        <v>29.940119760479043</v>
      </c>
    </row>
    <row r="8" spans="2:11" ht="15" customHeight="1">
      <c r="B8" s="16" t="s">
        <v>95</v>
      </c>
      <c r="C8" s="1">
        <f>IF((C$3&gt;0),(1000*('Data Entry'!B11/'Data Entry'!B$6)), 0)</f>
        <v>30.855539971949508</v>
      </c>
      <c r="D8" s="1">
        <f>IF((D$3&gt;0),(1000*('Data Entry'!C11/'Data Entry'!C$6)), 0)</f>
        <v>23.809523809523807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84.112149532710276</v>
      </c>
      <c r="J8" s="1">
        <f>IF((J$3&gt;0),(1000*('Data Entry'!I11/'Data Entry'!I$6)), 0)</f>
        <v>0</v>
      </c>
      <c r="K8" s="1">
        <f>IF((K$3&gt;0),(1000*('Data Entry'!J11/'Data Entry'!J$6)), 0)</f>
        <v>53.892215568862277</v>
      </c>
    </row>
    <row r="9" spans="2:11" ht="15" customHeight="1">
      <c r="B9" s="16" t="s">
        <v>13</v>
      </c>
      <c r="C9" s="1">
        <f>IF((C$3&gt;0),(1000*('Data Entry'!B12/'Data Entry'!B$6)), 0)</f>
        <v>16.830294530154276</v>
      </c>
      <c r="D9" s="1">
        <f>IF((D$3&gt;0),(1000*('Data Entry'!C12/'Data Entry'!C$6)), 0)</f>
        <v>12.820512820512819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46.728971962616818</v>
      </c>
      <c r="J9" s="1">
        <f>IF((J$3&gt;0),(1000*('Data Entry'!I12/'Data Entry'!I$6)), 0)</f>
        <v>0</v>
      </c>
      <c r="K9" s="1">
        <f>IF((K$3&gt;0),(1000*('Data Entry'!J12/'Data Entry'!J$6)), 0)</f>
        <v>29.940119760479043</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14.025245441795231</v>
      </c>
      <c r="D11" s="1">
        <f>IF((D$3&gt;0),(1000*('Data Entry'!C14/'Data Entry'!C$6)), 0)</f>
        <v>5.4945054945054945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65.420560747663544</v>
      </c>
      <c r="J11" s="1">
        <f>IF((J$3&gt;0),(1000*('Data Entry'!I14/'Data Entry'!I$6)), 0)</f>
        <v>0</v>
      </c>
      <c r="K11" s="1">
        <f>IF((K$3&gt;0),(1000*('Data Entry'!J14/'Data Entry'!J$6)), 0)</f>
        <v>41.916167664670652</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Schoolcraft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2.1411764705882357</v>
      </c>
      <c r="E19" s="72" t="str">
        <f t="shared" si="1"/>
        <v>--</v>
      </c>
      <c r="F19" s="72" t="str">
        <f t="shared" si="1"/>
        <v>--</v>
      </c>
      <c r="G19" s="72" t="str">
        <f t="shared" si="1"/>
        <v>--</v>
      </c>
      <c r="H19" s="72">
        <f t="shared" si="1"/>
        <v>4.5024738867509617</v>
      </c>
      <c r="I19" s="72" t="str">
        <f t="shared" si="1"/>
        <v>--</v>
      </c>
      <c r="J19" s="73">
        <f t="shared" si="1"/>
        <v>3.2694610778443112</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3.968847352024921</v>
      </c>
      <c r="I20" s="72" t="str">
        <f t="shared" si="2"/>
        <v>--</v>
      </c>
      <c r="J20" s="73">
        <f t="shared" si="2"/>
        <v>2.5429141716566859</v>
      </c>
    </row>
    <row r="21" spans="2:10" ht="15" customHeight="1">
      <c r="B21" s="71" t="s">
        <v>10</v>
      </c>
      <c r="C21" s="72">
        <f t="shared" si="2"/>
        <v>1</v>
      </c>
      <c r="D21" s="72" t="str">
        <f t="shared" si="2"/>
        <v>--</v>
      </c>
      <c r="E21" s="72" t="str">
        <f t="shared" si="2"/>
        <v>--</v>
      </c>
      <c r="F21" s="72" t="str">
        <f t="shared" si="2"/>
        <v>--</v>
      </c>
      <c r="G21" s="72" t="str">
        <f t="shared" si="2"/>
        <v>--</v>
      </c>
      <c r="H21" s="72">
        <f t="shared" si="2"/>
        <v>5.1028037383177569</v>
      </c>
      <c r="I21" s="72" t="str">
        <f t="shared" si="2"/>
        <v>--</v>
      </c>
      <c r="J21" s="73">
        <f t="shared" si="2"/>
        <v>3.2694610778443116</v>
      </c>
    </row>
    <row r="22" spans="2:10" ht="15" customHeight="1">
      <c r="B22" s="71" t="s">
        <v>11</v>
      </c>
      <c r="C22" s="72">
        <f t="shared" si="2"/>
        <v>1</v>
      </c>
      <c r="D22" s="72" t="str">
        <f t="shared" si="2"/>
        <v>--</v>
      </c>
      <c r="E22" s="72" t="str">
        <f t="shared" si="2"/>
        <v>--</v>
      </c>
      <c r="F22" s="72" t="str">
        <f t="shared" si="2"/>
        <v>--</v>
      </c>
      <c r="G22" s="72" t="str">
        <f t="shared" si="2"/>
        <v>--</v>
      </c>
      <c r="H22" s="72">
        <f t="shared" si="2"/>
        <v>8.5046728971962615</v>
      </c>
      <c r="I22" s="72" t="str">
        <f t="shared" si="2"/>
        <v>--</v>
      </c>
      <c r="J22" s="73">
        <f t="shared" si="2"/>
        <v>5.4491017964071853</v>
      </c>
    </row>
    <row r="23" spans="2:10" ht="15" customHeight="1">
      <c r="B23" s="71" t="s">
        <v>95</v>
      </c>
      <c r="C23" s="72">
        <f t="shared" si="2"/>
        <v>1</v>
      </c>
      <c r="D23" s="72" t="str">
        <f t="shared" si="2"/>
        <v>--</v>
      </c>
      <c r="E23" s="72" t="str">
        <f t="shared" si="2"/>
        <v>--</v>
      </c>
      <c r="F23" s="72" t="str">
        <f t="shared" si="2"/>
        <v>--</v>
      </c>
      <c r="G23" s="72" t="str">
        <f t="shared" si="2"/>
        <v>--</v>
      </c>
      <c r="H23" s="72">
        <f t="shared" si="2"/>
        <v>3.5327102803738319</v>
      </c>
      <c r="I23" s="72" t="str">
        <f t="shared" si="2"/>
        <v>--</v>
      </c>
      <c r="J23" s="73">
        <f t="shared" si="2"/>
        <v>2.2634730538922159</v>
      </c>
    </row>
    <row r="24" spans="2:10" ht="15" customHeight="1">
      <c r="B24" s="71" t="s">
        <v>13</v>
      </c>
      <c r="C24" s="72">
        <f t="shared" si="2"/>
        <v>1</v>
      </c>
      <c r="D24" s="72" t="str">
        <f t="shared" si="2"/>
        <v>--</v>
      </c>
      <c r="E24" s="72" t="str">
        <f t="shared" si="2"/>
        <v>--</v>
      </c>
      <c r="F24" s="72" t="str">
        <f t="shared" si="2"/>
        <v>--</v>
      </c>
      <c r="G24" s="72" t="str">
        <f t="shared" si="2"/>
        <v>--</v>
      </c>
      <c r="H24" s="72">
        <f t="shared" si="2"/>
        <v>3.6448598130841123</v>
      </c>
      <c r="I24" s="72" t="str">
        <f t="shared" si="2"/>
        <v>--</v>
      </c>
      <c r="J24" s="73">
        <f t="shared" si="2"/>
        <v>2.3353293413173657</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f t="shared" si="2"/>
        <v>11.906542056074764</v>
      </c>
      <c r="I26" s="72" t="str">
        <f t="shared" si="2"/>
        <v>--</v>
      </c>
      <c r="J26" s="73">
        <f t="shared" si="2"/>
        <v>7.6287425149700585</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Schoolcraft</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546</v>
      </c>
      <c r="D7" s="104">
        <f>'Data Entry'!D6</f>
        <v>30</v>
      </c>
      <c r="E7" s="105"/>
      <c r="F7" s="106">
        <f>'Data Entry'!E6</f>
        <v>25</v>
      </c>
      <c r="G7" s="105"/>
      <c r="H7" s="106">
        <f>'Data Entry'!F6</f>
        <v>5</v>
      </c>
      <c r="I7" s="105"/>
      <c r="J7" s="106">
        <f>'Data Entry'!G6</f>
        <v>0</v>
      </c>
      <c r="K7" s="105"/>
      <c r="L7" s="106">
        <f>'Data Entry'!H6</f>
        <v>107</v>
      </c>
      <c r="M7" s="105"/>
      <c r="N7" s="106">
        <f>'Data Entry'!I6</f>
        <v>0</v>
      </c>
      <c r="O7" s="105"/>
      <c r="P7" s="106">
        <f>'Data Entry'!J6</f>
        <v>167</v>
      </c>
      <c r="Q7" s="107"/>
    </row>
    <row r="8" spans="2:26" s="1" customFormat="1" ht="15" customHeight="1">
      <c r="B8" s="142" t="s">
        <v>8</v>
      </c>
      <c r="C8" s="103">
        <f>'Data Entry'!C7</f>
        <v>17</v>
      </c>
      <c r="D8" s="104">
        <f>'Data Entry'!D7</f>
        <v>2</v>
      </c>
      <c r="E8" s="105" t="str">
        <f>'Black or African-American'!$G7</f>
        <v>**</v>
      </c>
      <c r="F8" s="106">
        <f>'Data Entry'!E7</f>
        <v>0</v>
      </c>
      <c r="G8" s="105" t="str">
        <f>Hispanic!G7</f>
        <v>**</v>
      </c>
      <c r="H8" s="106">
        <f>'Data Entry'!F7</f>
        <v>0</v>
      </c>
      <c r="I8" s="105" t="str">
        <f>Asian!G7</f>
        <v>*</v>
      </c>
      <c r="J8" s="106">
        <f>'Data Entry'!G7</f>
        <v>0</v>
      </c>
      <c r="K8" s="105" t="str">
        <f>Hawaiian!G7</f>
        <v>*</v>
      </c>
      <c r="L8" s="106">
        <f>'Data Entry'!H7</f>
        <v>15</v>
      </c>
      <c r="M8" s="105">
        <f>'Am Indian'!G7</f>
        <v>4.5024738867509626</v>
      </c>
      <c r="N8" s="106">
        <f>'Data Entry'!I7</f>
        <v>0</v>
      </c>
      <c r="O8" s="105" t="str">
        <f>'Other - Mixed'!G7</f>
        <v>*</v>
      </c>
      <c r="P8" s="106">
        <f>'Data Entry'!J7</f>
        <v>17</v>
      </c>
      <c r="Q8" s="107">
        <f>'All Minorities'!G7</f>
        <v>3.2694610778443116</v>
      </c>
      <c r="R8"/>
      <c r="T8" s="1">
        <f>'Black or African-American'!L7</f>
        <v>40</v>
      </c>
      <c r="U8" s="1">
        <f>Hispanic!L7</f>
        <v>40</v>
      </c>
      <c r="V8" s="1">
        <f>Asian!L7</f>
        <v>139</v>
      </c>
      <c r="W8" s="1" t="e">
        <f>Hawaiian!L7</f>
        <v>#VALUE!</v>
      </c>
      <c r="X8" s="1">
        <f>'Am Indian'!L7</f>
        <v>1</v>
      </c>
      <c r="Y8" s="1" t="e">
        <f>'Other - Mixed'!L7</f>
        <v>#VALUE!</v>
      </c>
      <c r="Z8" s="1">
        <f>'All Minorities'!L7</f>
        <v>1</v>
      </c>
    </row>
    <row r="9" spans="2:26" s="1" customFormat="1" ht="15" customHeight="1">
      <c r="B9" s="142" t="s">
        <v>134</v>
      </c>
      <c r="C9" s="103">
        <f>'Data Entry'!C8</f>
        <v>18</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14</v>
      </c>
      <c r="M9" s="109" t="str">
        <f>'Am Indian'!G8</f>
        <v>**</v>
      </c>
      <c r="N9" s="110">
        <f>'Data Entry'!I8</f>
        <v>0</v>
      </c>
      <c r="O9" s="109" t="str">
        <f>'Other - Mixed'!G8</f>
        <v>*</v>
      </c>
      <c r="P9" s="110">
        <f>'Data Entry'!J8</f>
        <v>14</v>
      </c>
      <c r="Q9" s="111" t="str">
        <f>'All Minorities'!G8</f>
        <v>**</v>
      </c>
      <c r="R9"/>
      <c r="T9" s="1">
        <f>'Black or African-American'!L8</f>
        <v>20</v>
      </c>
      <c r="U9" s="1">
        <f>Hispanic!L8</f>
        <v>40</v>
      </c>
      <c r="V9" s="1">
        <f>Asian!L8</f>
        <v>139</v>
      </c>
      <c r="W9" s="1">
        <f>Hawaiian!L8</f>
        <v>139</v>
      </c>
      <c r="X9" s="1">
        <f>'Am Indian'!L8</f>
        <v>20</v>
      </c>
      <c r="Y9" s="1">
        <f>'Other - Mixed'!L8</f>
        <v>139</v>
      </c>
      <c r="Z9" s="1">
        <f>'All Minorities'!L8</f>
        <v>20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3</v>
      </c>
      <c r="M10" s="113" t="str">
        <f>'Am Indian'!G9</f>
        <v>**</v>
      </c>
      <c r="N10" s="114">
        <f>'Data Entry'!I9</f>
        <v>0</v>
      </c>
      <c r="O10" s="113" t="str">
        <f>'Other - Mixed'!G9</f>
        <v>*</v>
      </c>
      <c r="P10" s="114">
        <f>'Data Entry'!J9</f>
        <v>3</v>
      </c>
      <c r="Q10" s="115" t="str">
        <f>'All Minorities'!G9</f>
        <v>**</v>
      </c>
      <c r="R10"/>
      <c r="T10" s="1" t="e">
        <f>'Black or African-American'!L9</f>
        <v>#VALUE!</v>
      </c>
      <c r="U10" s="1" t="e">
        <f>Hispanic!L9</f>
        <v>#VALUE!</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5</v>
      </c>
      <c r="M11" s="109" t="str">
        <f>'Am Indian'!G10</f>
        <v>**</v>
      </c>
      <c r="N11" s="110">
        <f>'Data Entry'!I10</f>
        <v>0</v>
      </c>
      <c r="O11" s="109" t="str">
        <f>'Other - Mixed'!G10</f>
        <v>*</v>
      </c>
      <c r="P11" s="110">
        <f>'Data Entry'!J10</f>
        <v>5</v>
      </c>
      <c r="Q11" s="111" t="str">
        <f>'All Minorities'!G10</f>
        <v>**</v>
      </c>
      <c r="R11"/>
      <c r="T11" s="1" t="e">
        <f>'Black or African-American'!L10</f>
        <v>#VALUE!</v>
      </c>
      <c r="U11" s="1" t="e">
        <f>Hispanic!L10</f>
        <v>#VALUE!</v>
      </c>
      <c r="V11" s="1" t="e">
        <f>Asian!L10</f>
        <v>#VALUE!</v>
      </c>
      <c r="W11" s="1" t="e">
        <f>Hawaiian!L10</f>
        <v>#VALUE!</v>
      </c>
      <c r="X11" s="1">
        <f>'Am Indian'!L10</f>
        <v>40</v>
      </c>
      <c r="Y11" s="1" t="e">
        <f>'Other - Mixed'!L10</f>
        <v>#VALUE!</v>
      </c>
      <c r="Z11" s="1">
        <f>'All Minorities'!L10</f>
        <v>40</v>
      </c>
    </row>
    <row r="12" spans="2:26" s="1" customFormat="1" ht="15" customHeight="1">
      <c r="B12" s="142" t="s">
        <v>95</v>
      </c>
      <c r="C12" s="103">
        <f>'Data Entry'!C11</f>
        <v>13</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9</v>
      </c>
      <c r="M12" s="113" t="str">
        <f>'Am Indian'!G11</f>
        <v>**</v>
      </c>
      <c r="N12" s="114">
        <f>'Data Entry'!I11</f>
        <v>0</v>
      </c>
      <c r="O12" s="113" t="str">
        <f>'Other - Mixed'!G11</f>
        <v>*</v>
      </c>
      <c r="P12" s="114">
        <f>'Data Entry'!J11</f>
        <v>9</v>
      </c>
      <c r="Q12" s="115" t="str">
        <f>'All Minorities'!G11</f>
        <v>**</v>
      </c>
      <c r="R12"/>
      <c r="T12" s="1" t="e">
        <f>'Black or African-American'!L11</f>
        <v>#VALUE!</v>
      </c>
      <c r="U12" s="1" t="e">
        <f>Hispanic!L11</f>
        <v>#VALUE!</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7</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5</v>
      </c>
      <c r="M13" s="109" t="str">
        <f>'Am Indian'!G12</f>
        <v>**</v>
      </c>
      <c r="N13" s="110">
        <f>'Data Entry'!I12</f>
        <v>0</v>
      </c>
      <c r="O13" s="109" t="str">
        <f>'Other - Mixed'!G12</f>
        <v>*</v>
      </c>
      <c r="P13" s="110">
        <f>'Data Entry'!J12</f>
        <v>5</v>
      </c>
      <c r="Q13" s="111" t="str">
        <f>'All Minorities'!G12</f>
        <v>**</v>
      </c>
      <c r="R13"/>
      <c r="T13" s="1" t="e">
        <f>'Black or African-American'!L12</f>
        <v>#VALUE!</v>
      </c>
      <c r="U13" s="1" t="e">
        <f>Hispanic!L12</f>
        <v>#VALUE!</v>
      </c>
      <c r="V13" s="1" t="e">
        <f>Asian!L12</f>
        <v>#VALUE!</v>
      </c>
      <c r="W13" s="1" t="e">
        <f>Hawaiian!L12</f>
        <v>#VALUE!</v>
      </c>
      <c r="X13" s="1">
        <f>'Am Indian'!L12</f>
        <v>40</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7</v>
      </c>
      <c r="M15" s="109" t="str">
        <f>'Am Indian'!G14</f>
        <v>**</v>
      </c>
      <c r="N15" s="110">
        <f>'Data Entry'!I14</f>
        <v>0</v>
      </c>
      <c r="O15" s="109" t="str">
        <f>'Other - Mixed'!G14</f>
        <v>*</v>
      </c>
      <c r="P15" s="110">
        <f>'Data Entry'!J14</f>
        <v>7</v>
      </c>
      <c r="Q15" s="111" t="str">
        <f>'All Minorities'!G14</f>
        <v>**</v>
      </c>
      <c r="R15"/>
      <c r="T15" s="1" t="e">
        <f>'Black or African-American'!L14</f>
        <v>#VALUE!</v>
      </c>
      <c r="U15" s="1" t="e">
        <f>Hispanic!L14</f>
        <v>#VALUE!</v>
      </c>
      <c r="V15" s="1" t="e">
        <f>Asian!L14</f>
        <v>#VALUE!</v>
      </c>
      <c r="W15" s="1" t="e">
        <f>Hawaiian!L14</f>
        <v>#VALUE!</v>
      </c>
      <c r="X15" s="1">
        <f>'Am Indian'!L14</f>
        <v>20</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Schoolcraft</v>
      </c>
    </row>
    <row r="6" spans="1:12">
      <c r="A6" s="135" t="str">
        <f>CONCATENATE("Percentage of Minorities at Stages of the Juvenile Justice System, ", A5, " 2024")</f>
        <v>Percentage of Minorities at Stages of the Juvenile Justice System, County: Schoolcraft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3.2694610778443116</v>
      </c>
    </row>
    <row r="8" spans="1:12" ht="25.5" customHeight="1">
      <c r="A8" s="151" t="str">
        <f>CONCATENATE("Confinement, total N=", 'Data Entry'!B14)</f>
        <v>Confinement, total N=10</v>
      </c>
      <c r="B8" s="150">
        <f>'Data Entry'!D14/'Data Entry'!B14</f>
        <v>0</v>
      </c>
      <c r="C8" s="150">
        <f>'Data Entry'!E14/'Data Entry'!B14</f>
        <v>0</v>
      </c>
      <c r="D8" s="150">
        <f>'Data Entry'!F14/'Data Entry'!B14</f>
        <v>0</v>
      </c>
      <c r="E8" s="150">
        <f>'Data Entry'!G14/'Data Entry'!B14</f>
        <v>0</v>
      </c>
      <c r="F8" s="150">
        <f>'Data Entry'!H14/'Data Entry'!B14</f>
        <v>0.7</v>
      </c>
      <c r="G8" s="150">
        <f>'Data Entry'!I14/'Data Entry'!B14</f>
        <v>0</v>
      </c>
      <c r="H8" s="150">
        <f>SUM(D8:G8)/'Data Entry'!B14</f>
        <v>6.9999999999999993E-2</v>
      </c>
      <c r="I8" s="150">
        <f>'Data Entry'!C14/'Data Entry'!B14</f>
        <v>0.3</v>
      </c>
      <c r="K8" s="96" t="str">
        <f>A8</f>
        <v>Confinement, total N=10</v>
      </c>
      <c r="L8">
        <f>I14/(SUM(B14:G14))</f>
        <v>3.2694610778443116</v>
      </c>
    </row>
    <row r="9" spans="1:12">
      <c r="A9" s="128" t="str">
        <f>CONCATENATE("Delinquent Findings, total N=", 'Data Entry'!B12)</f>
        <v>Delinquent Findings, total N=12</v>
      </c>
      <c r="B9" s="150">
        <f>'Data Entry'!D12/'Data Entry'!B12</f>
        <v>0</v>
      </c>
      <c r="C9" s="150">
        <f>'Data Entry'!E12/'Data Entry'!B12</f>
        <v>0</v>
      </c>
      <c r="D9" s="150">
        <f>'Data Entry'!F12/'Data Entry'!B12</f>
        <v>0</v>
      </c>
      <c r="E9" s="150">
        <f>'Data Entry'!G12/'Data Entry'!B12</f>
        <v>0</v>
      </c>
      <c r="F9" s="150">
        <f>'Data Entry'!H12/'Data Entry'!B12</f>
        <v>0.41666666666666669</v>
      </c>
      <c r="G9" s="150">
        <f>'Data Entry'!I12/'Data Entry'!B12</f>
        <v>0</v>
      </c>
      <c r="H9" s="150">
        <f>SUM(D9:G9)/'Data Entry'!B12</f>
        <v>3.4722222222222224E-2</v>
      </c>
      <c r="I9" s="150">
        <f>'Data Entry'!C12/'Data Entry'!B12</f>
        <v>0.58333333333333337</v>
      </c>
      <c r="K9" s="96" t="str">
        <f t="shared" si="0"/>
        <v>Delinquent Findings, total N=12</v>
      </c>
      <c r="L9">
        <f>I14/(SUM(B14:G14))</f>
        <v>3.2694610778443116</v>
      </c>
    </row>
    <row r="10" spans="1:12">
      <c r="A10" s="128" t="str">
        <f>CONCATENATE("Petitions, total N=", 'Data Entry'!B11)</f>
        <v>Petitions, total N=22</v>
      </c>
      <c r="B10" s="150">
        <f>'Data Entry'!D11/'Data Entry'!B11</f>
        <v>0</v>
      </c>
      <c r="C10" s="150">
        <f>'Data Entry'!E11/'Data Entry'!B11</f>
        <v>0</v>
      </c>
      <c r="D10" s="150">
        <f>'Data Entry'!F11/'Data Entry'!B11</f>
        <v>0</v>
      </c>
      <c r="E10" s="150">
        <f>'Data Entry'!G11/'Data Entry'!B11</f>
        <v>0</v>
      </c>
      <c r="F10" s="150">
        <f>'Data Entry'!H11/'Data Entry'!B11</f>
        <v>0.40909090909090912</v>
      </c>
      <c r="G10" s="150">
        <f>'Data Entry'!I11/'Data Entry'!B11</f>
        <v>0</v>
      </c>
      <c r="H10" s="150">
        <f>SUM(D10:G10)/'Data Entry'!B11</f>
        <v>1.859504132231405E-2</v>
      </c>
      <c r="I10" s="150">
        <f>'Data Entry'!C11/'Data Entry'!B11</f>
        <v>0.59090909090909094</v>
      </c>
      <c r="K10" s="96" t="str">
        <f t="shared" si="0"/>
        <v>Petitions, total N=22</v>
      </c>
      <c r="L10">
        <f>I14/(SUM(B14:G14))</f>
        <v>3.2694610778443116</v>
      </c>
    </row>
    <row r="11" spans="1:12">
      <c r="A11" s="128" t="str">
        <f>CONCATENATE("Detentions, total N=", 'Data Entry'!B10)</f>
        <v>Detentions, total N=8</v>
      </c>
      <c r="B11" s="150">
        <f>'Data Entry'!D10/'Data Entry'!B10</f>
        <v>0</v>
      </c>
      <c r="C11" s="150">
        <f>'Data Entry'!E10/'Data Entry'!B10</f>
        <v>0</v>
      </c>
      <c r="D11" s="150">
        <f>'Data Entry'!F10/'Data Entry'!B10</f>
        <v>0</v>
      </c>
      <c r="E11" s="150">
        <f>'Data Entry'!G10/'Data Entry'!B10</f>
        <v>0</v>
      </c>
      <c r="F11" s="150">
        <f>'Data Entry'!H10/'Data Entry'!B10</f>
        <v>0.625</v>
      </c>
      <c r="G11" s="150">
        <f>'Data Entry'!I10/'Data Entry'!B10</f>
        <v>0</v>
      </c>
      <c r="H11" s="150">
        <f>SUM(D11:G11)/'Data Entry'!B10</f>
        <v>7.8125E-2</v>
      </c>
      <c r="I11" s="150">
        <f>'Data Entry'!C10/'Data Entry'!B10</f>
        <v>0.375</v>
      </c>
      <c r="K11" s="96" t="str">
        <f t="shared" si="0"/>
        <v>Detentions, total N=8</v>
      </c>
      <c r="L11">
        <f>I14/(SUM(B14:G14))</f>
        <v>3.2694610778443116</v>
      </c>
    </row>
    <row r="12" spans="1:12">
      <c r="A12" s="128" t="str">
        <f>CONCATENATE("Referrals, total N=", 'Data Entry'!B8)</f>
        <v>Referrals, total N=32</v>
      </c>
      <c r="B12" s="150">
        <f>'Data Entry'!D8/'Data Entry'!B8</f>
        <v>0</v>
      </c>
      <c r="C12" s="150">
        <f>'Data Entry'!E8/'Data Entry'!B8</f>
        <v>0</v>
      </c>
      <c r="D12" s="150">
        <f>'Data Entry'!F8/'Data Entry'!B8</f>
        <v>0</v>
      </c>
      <c r="E12" s="150">
        <f>'Data Entry'!G8/'Data Entry'!B8</f>
        <v>0</v>
      </c>
      <c r="F12" s="150">
        <f>'Data Entry'!H8/'Data Entry'!B8</f>
        <v>0.4375</v>
      </c>
      <c r="G12" s="150">
        <f>'Data Entry'!I8/'Data Entry'!B8</f>
        <v>0</v>
      </c>
      <c r="H12" s="150">
        <f>SUM(D12:G12)/'Data Entry'!B8</f>
        <v>1.3671875E-2</v>
      </c>
      <c r="I12" s="150">
        <f>'Data Entry'!C8/'Data Entry'!B8</f>
        <v>0.5625</v>
      </c>
      <c r="K12" s="96" t="str">
        <f t="shared" si="0"/>
        <v>Referrals, total N=32</v>
      </c>
      <c r="L12">
        <f>I14/(SUM(B14:G14))</f>
        <v>3.2694610778443116</v>
      </c>
    </row>
    <row r="13" spans="1:12">
      <c r="A13" s="128" t="str">
        <f>CONCATENATE("Arrests, total N=", 'Data Entry'!B7)</f>
        <v>Arrests, total N=34</v>
      </c>
      <c r="B13" s="150">
        <f>'Data Entry'!D7/'Data Entry'!B7</f>
        <v>5.8823529411764705E-2</v>
      </c>
      <c r="C13" s="150">
        <f>'Data Entry'!E7/'Data Entry'!B7</f>
        <v>0</v>
      </c>
      <c r="D13" s="150">
        <f>'Data Entry'!F7/'Data Entry'!B7</f>
        <v>0</v>
      </c>
      <c r="E13" s="150">
        <f>'Data Entry'!G7/'Data Entry'!B7</f>
        <v>0</v>
      </c>
      <c r="F13" s="150">
        <f>'Data Entry'!H7/'Data Entry'!B7</f>
        <v>0.44117647058823528</v>
      </c>
      <c r="G13" s="150">
        <f>'Data Entry'!I7/'Data Entry'!B7</f>
        <v>0</v>
      </c>
      <c r="H13" s="150">
        <f>SUM(D13:G13)/'Data Entry'!B7</f>
        <v>1.2975778546712802E-2</v>
      </c>
      <c r="I13" s="150">
        <f>'Data Entry'!C7/'Data Entry'!B7</f>
        <v>0.5</v>
      </c>
      <c r="K13" s="96" t="str">
        <f t="shared" si="0"/>
        <v>Arrests, total N=34</v>
      </c>
      <c r="L13">
        <f>I14/(SUM(B14:G14))</f>
        <v>3.2694610778443116</v>
      </c>
    </row>
    <row r="14" spans="1:12">
      <c r="A14" s="128" t="str">
        <f>CONCATENATE("Population, total N=", 'Data Entry'!B6)</f>
        <v>Population, total N=713</v>
      </c>
      <c r="B14" s="150">
        <f>'Data Entry'!D6/'Data Entry'!B6</f>
        <v>4.2075736325385693E-2</v>
      </c>
      <c r="C14" s="150">
        <f>'Data Entry'!E6/'Data Entry'!B6</f>
        <v>3.5063113604488078E-2</v>
      </c>
      <c r="D14" s="150">
        <f>'Data Entry'!F6/'Data Entry'!B6</f>
        <v>7.0126227208976155E-3</v>
      </c>
      <c r="E14" s="150">
        <f>'Data Entry'!G6/'Data Entry'!B6</f>
        <v>0</v>
      </c>
      <c r="F14" s="150">
        <f>'Data Entry'!H6/'Data Entry'!B6</f>
        <v>0.15007012622720897</v>
      </c>
      <c r="G14" s="150">
        <f>'Data Entry'!I6/'Data Entry'!B6</f>
        <v>0</v>
      </c>
      <c r="H14" s="150">
        <f>SUM(D14:G14)/'Data Entry'!B6</f>
        <v>2.2031241086690966E-4</v>
      </c>
      <c r="I14" s="150">
        <f>'Data Entry'!C6/'Data Entry'!B6</f>
        <v>0.76577840112201967</v>
      </c>
      <c r="K14" s="96" t="str">
        <f t="shared" si="0"/>
        <v>Population, total N=713</v>
      </c>
      <c r="L14">
        <f>I14/(SUM(B14:G14))</f>
        <v>3.2694610778443116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Schoolcraft</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546</v>
      </c>
      <c r="D7" s="104">
        <f>'Data Entry'!D6</f>
        <v>30</v>
      </c>
      <c r="E7" s="105"/>
      <c r="F7" s="106">
        <f>'Data Entry'!E6</f>
        <v>25</v>
      </c>
      <c r="G7" s="105"/>
      <c r="H7" s="106">
        <f>'Data Entry'!F6</f>
        <v>5</v>
      </c>
      <c r="I7" s="105"/>
      <c r="J7" s="106">
        <f>'Data Entry'!J6</f>
        <v>167</v>
      </c>
      <c r="K7" s="107"/>
    </row>
    <row r="8" spans="2:30" s="1" customFormat="1" ht="15" customHeight="1">
      <c r="B8" s="121" t="s">
        <v>8</v>
      </c>
      <c r="C8" s="103">
        <f>'Data Entry'!C7</f>
        <v>17</v>
      </c>
      <c r="D8" s="104">
        <f>'Data Entry'!D7</f>
        <v>2</v>
      </c>
      <c r="E8" s="105" t="str">
        <f>'Black or African-American'!$G7</f>
        <v>**</v>
      </c>
      <c r="F8" s="106">
        <f>'Data Entry'!E7</f>
        <v>0</v>
      </c>
      <c r="G8" s="105" t="str">
        <f>Hispanic!G7</f>
        <v>**</v>
      </c>
      <c r="H8" s="106">
        <f>'Data Entry'!F7</f>
        <v>0</v>
      </c>
      <c r="I8" s="105" t="str">
        <f>Asian!G7</f>
        <v>*</v>
      </c>
      <c r="J8" s="106">
        <f>'Data Entry'!J7</f>
        <v>17</v>
      </c>
      <c r="K8" s="107">
        <f>'All Minorities'!G7</f>
        <v>3.2694610778443116</v>
      </c>
      <c r="L8"/>
      <c r="N8" s="1">
        <f>'Black or African-American'!L7</f>
        <v>40</v>
      </c>
      <c r="O8" s="1">
        <f>Hispanic!L7</f>
        <v>40</v>
      </c>
      <c r="P8" s="1">
        <f>Asian!L7</f>
        <v>139</v>
      </c>
      <c r="Q8" s="1" t="e">
        <f>Hawaiian!L7</f>
        <v>#VALUE!</v>
      </c>
      <c r="R8" s="1">
        <f>'Am Indian'!L7</f>
        <v>1</v>
      </c>
      <c r="S8" s="1" t="e">
        <f>'Other - Mixed'!L7</f>
        <v>#VALUE!</v>
      </c>
      <c r="T8" s="1">
        <f>'All Minorities'!L7</f>
        <v>1</v>
      </c>
    </row>
    <row r="9" spans="2:30" s="1" customFormat="1" ht="15" customHeight="1">
      <c r="B9" s="121" t="s">
        <v>134</v>
      </c>
      <c r="C9" s="103">
        <f>'Data Entry'!C8</f>
        <v>18</v>
      </c>
      <c r="D9" s="108">
        <f>'Data Entry'!D8</f>
        <v>0</v>
      </c>
      <c r="E9" s="109" t="str">
        <f>'Black or African-American'!$G8</f>
        <v>**</v>
      </c>
      <c r="F9" s="110">
        <f>'Data Entry'!E8</f>
        <v>0</v>
      </c>
      <c r="G9" s="109" t="str">
        <f>Hispanic!G8</f>
        <v>**</v>
      </c>
      <c r="H9" s="110">
        <f>'Data Entry'!F8</f>
        <v>0</v>
      </c>
      <c r="I9" s="109" t="str">
        <f>Asian!G8</f>
        <v>*</v>
      </c>
      <c r="J9" s="110">
        <f>'Data Entry'!J8</f>
        <v>14</v>
      </c>
      <c r="K9" s="111" t="str">
        <f>'All Minorities'!G8</f>
        <v>**</v>
      </c>
      <c r="L9"/>
      <c r="N9" s="1">
        <f>'Black or African-American'!L8</f>
        <v>20</v>
      </c>
      <c r="O9" s="1">
        <f>Hispanic!L8</f>
        <v>40</v>
      </c>
      <c r="P9" s="1">
        <f>Asian!L8</f>
        <v>139</v>
      </c>
      <c r="Q9" s="1">
        <f>Hawaiian!L8</f>
        <v>139</v>
      </c>
      <c r="R9" s="1">
        <f>'Am Indian'!L8</f>
        <v>20</v>
      </c>
      <c r="S9" s="1">
        <f>'Other - Mixed'!L8</f>
        <v>139</v>
      </c>
      <c r="T9" s="1">
        <f>'All Minorities'!L8</f>
        <v>20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3</v>
      </c>
      <c r="K10" s="115" t="str">
        <f>'All Minorities'!G9</f>
        <v>**</v>
      </c>
      <c r="L10"/>
      <c r="N10" s="1" t="e">
        <f>'Black or African-American'!L9</f>
        <v>#VALUE!</v>
      </c>
      <c r="O10" s="1" t="e">
        <f>Hispanic!L9</f>
        <v>#VALUE!</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5</v>
      </c>
      <c r="K11" s="111" t="str">
        <f>'All Minorities'!G10</f>
        <v>**</v>
      </c>
      <c r="L11"/>
      <c r="N11" s="1" t="e">
        <f>'Black or African-American'!L10</f>
        <v>#VALUE!</v>
      </c>
      <c r="O11" s="1" t="e">
        <f>Hispanic!L10</f>
        <v>#VALUE!</v>
      </c>
      <c r="P11" s="1" t="e">
        <f>Asian!L10</f>
        <v>#VALUE!</v>
      </c>
      <c r="Q11" s="1" t="e">
        <f>Hawaiian!L10</f>
        <v>#VALUE!</v>
      </c>
      <c r="R11" s="1">
        <f>'Am Indian'!L10</f>
        <v>40</v>
      </c>
      <c r="S11" s="1" t="e">
        <f>'Other - Mixed'!L10</f>
        <v>#VALUE!</v>
      </c>
      <c r="T11" s="1">
        <f>'All Minorities'!L10</f>
        <v>40</v>
      </c>
    </row>
    <row r="12" spans="2:30" s="1" customFormat="1" ht="15" customHeight="1">
      <c r="B12" s="121" t="s">
        <v>95</v>
      </c>
      <c r="C12" s="103">
        <f>'Data Entry'!C11</f>
        <v>13</v>
      </c>
      <c r="D12" s="112">
        <f>'Data Entry'!D11</f>
        <v>0</v>
      </c>
      <c r="E12" s="113" t="str">
        <f>'Black or African-American'!$G11</f>
        <v>--</v>
      </c>
      <c r="F12" s="114">
        <f>'Data Entry'!E11</f>
        <v>0</v>
      </c>
      <c r="G12" s="113" t="str">
        <f>Hispanic!G11</f>
        <v>--</v>
      </c>
      <c r="H12" s="114">
        <f>'Data Entry'!F11</f>
        <v>0</v>
      </c>
      <c r="I12" s="113" t="str">
        <f>Asian!G11</f>
        <v>*</v>
      </c>
      <c r="J12" s="114">
        <f>'Data Entry'!J11</f>
        <v>9</v>
      </c>
      <c r="K12" s="115" t="str">
        <f>'All Minorities'!G11</f>
        <v>**</v>
      </c>
      <c r="L12"/>
      <c r="N12" s="1" t="e">
        <f>'Black or African-American'!L11</f>
        <v>#VALUE!</v>
      </c>
      <c r="O12" s="1" t="e">
        <f>Hispanic!L11</f>
        <v>#VALUE!</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7</v>
      </c>
      <c r="D13" s="108">
        <f>'Data Entry'!D12</f>
        <v>0</v>
      </c>
      <c r="E13" s="109" t="str">
        <f>'Black or African-American'!$G12</f>
        <v>--</v>
      </c>
      <c r="F13" s="110">
        <f>'Data Entry'!E12</f>
        <v>0</v>
      </c>
      <c r="G13" s="109" t="str">
        <f>Hispanic!G12</f>
        <v>--</v>
      </c>
      <c r="H13" s="110">
        <f>'Data Entry'!F12</f>
        <v>0</v>
      </c>
      <c r="I13" s="109" t="str">
        <f>Asian!G12</f>
        <v>*</v>
      </c>
      <c r="J13" s="110">
        <f>'Data Entry'!J12</f>
        <v>5</v>
      </c>
      <c r="K13" s="111" t="str">
        <f>'All Minorities'!G12</f>
        <v>**</v>
      </c>
      <c r="L13"/>
      <c r="N13" s="1" t="e">
        <f>'Black or African-American'!L12</f>
        <v>#VALUE!</v>
      </c>
      <c r="O13" s="1" t="e">
        <f>Hispanic!L12</f>
        <v>#VALUE!</v>
      </c>
      <c r="P13" s="1" t="e">
        <f>Asian!L12</f>
        <v>#VALUE!</v>
      </c>
      <c r="Q13" s="1" t="e">
        <f>Hawaiian!L12</f>
        <v>#VALUE!</v>
      </c>
      <c r="R13" s="1">
        <f>'Am Indian'!L12</f>
        <v>40</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Entry'!J14</f>
        <v>7</v>
      </c>
      <c r="K15" s="111" t="str">
        <f>'All Minorities'!G14</f>
        <v>**</v>
      </c>
      <c r="L15"/>
      <c r="N15" s="1" t="e">
        <f>'Black or African-American'!L14</f>
        <v>#VALUE!</v>
      </c>
      <c r="O15" s="1" t="e">
        <f>Hispanic!L14</f>
        <v>#VALUE!</v>
      </c>
      <c r="P15" s="1" t="e">
        <f>Asian!L14</f>
        <v>#VALUE!</v>
      </c>
      <c r="Q15" s="1" t="e">
        <f>Hawaiian!L14</f>
        <v>#VALUE!</v>
      </c>
      <c r="R15" s="1">
        <f>'Am Indian'!L14</f>
        <v>20</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Entry'!D7</f>
        <v>2</v>
      </c>
      <c r="F7" s="34">
        <f>IF((AND($E$7&gt;0,$D$66&gt;0)),($E$7/$D$66),0)</f>
        <v>66.666666666666671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28</v>
      </c>
      <c r="P7" s="42">
        <f t="shared" ref="P7:P15" si="2">C7</f>
        <v>17</v>
      </c>
      <c r="Q7" s="42">
        <f>C6-C7</f>
        <v>529</v>
      </c>
      <c r="R7" s="42">
        <f t="shared" ref="R7:R15" si="3">SUM(N7:Q7)</f>
        <v>576</v>
      </c>
      <c r="S7" s="30">
        <f t="shared" ref="S7:S15" si="4">R7*((((N7*Q7)-(O7*P7))^2))</f>
        <v>195105024</v>
      </c>
      <c r="T7" s="30">
        <f t="shared" ref="T7:T15" si="5">(N7+O7)*(P7+Q7)*(N7+P7)*(O7+Q7)</f>
        <v>173349540</v>
      </c>
      <c r="U7" s="31">
        <f t="shared" ref="U7:U15" si="6">IF((S7&gt;0),S7/T7,"- -")</f>
        <v>1.1255006733793467</v>
      </c>
    </row>
    <row r="8" spans="2:21" ht="18" customHeight="1">
      <c r="B8" s="32" t="str">
        <f>'Data Entry'!A8</f>
        <v>3. Refer to Juvenile Court</v>
      </c>
      <c r="C8" s="33">
        <f>'Data Entry'!C8</f>
        <v>18</v>
      </c>
      <c r="D8" s="34">
        <f>IF((AND(C67&gt;0,C8&gt;0)),(C8/C67),0)</f>
        <v>105.88235294117646</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2.0499999999999998</v>
      </c>
      <c r="P8" s="42">
        <f t="shared" si="2"/>
        <v>18</v>
      </c>
      <c r="Q8" s="42">
        <f>(C$67*L67)-C8</f>
        <v>-1</v>
      </c>
      <c r="R8" s="42">
        <f t="shared" si="3"/>
        <v>19.05</v>
      </c>
      <c r="S8" s="30">
        <f t="shared" si="4"/>
        <v>25938.6705</v>
      </c>
      <c r="T8" s="30">
        <f t="shared" si="5"/>
        <v>658.66499999999985</v>
      </c>
      <c r="U8" s="31">
        <f t="shared" si="6"/>
        <v>39.380672268907574</v>
      </c>
    </row>
    <row r="9" spans="2:21" ht="18" customHeight="1">
      <c r="B9" s="32" t="str">
        <f>'Data Entry'!A9</f>
        <v xml:space="preserve">4. Cases Diverted </v>
      </c>
      <c r="C9" s="33">
        <f>'Data Entry'!C9</f>
        <v>3</v>
      </c>
      <c r="D9" s="34">
        <f>IF((AND(C68&gt;0,C9&gt;0)),((C9/C68)),0)</f>
        <v>16.666666666666668</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15</v>
      </c>
      <c r="R9" s="42">
        <f t="shared" si="3"/>
        <v>18</v>
      </c>
      <c r="S9" s="30">
        <f t="shared" si="4"/>
        <v>0</v>
      </c>
      <c r="T9" s="30">
        <f t="shared" si="5"/>
        <v>0</v>
      </c>
      <c r="U9" s="31" t="str">
        <f t="shared" si="6"/>
        <v>- -</v>
      </c>
    </row>
    <row r="10" spans="2:21" ht="18" customHeight="1">
      <c r="B10" s="32" t="str">
        <f>'Data Entry'!A10</f>
        <v>5. Cases Involving Secure Detention</v>
      </c>
      <c r="C10" s="33">
        <f>'Data Entry'!C10</f>
        <v>3</v>
      </c>
      <c r="D10" s="34">
        <f>IF(((AND(C68&gt;0,C10&gt;0))),(C10/(C68)),0)</f>
        <v>16.666666666666668</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3</v>
      </c>
      <c r="Q10" s="42">
        <f>(C$68*L68)-C10</f>
        <v>15</v>
      </c>
      <c r="R10" s="42">
        <f t="shared" si="3"/>
        <v>18</v>
      </c>
      <c r="S10" s="30">
        <f t="shared" si="4"/>
        <v>0</v>
      </c>
      <c r="T10" s="30">
        <f t="shared" si="5"/>
        <v>0</v>
      </c>
      <c r="U10" s="31" t="str">
        <f t="shared" si="6"/>
        <v>- -</v>
      </c>
    </row>
    <row r="11" spans="2:21" ht="18" customHeight="1">
      <c r="B11" s="32" t="str">
        <f>'Data Entry'!A11</f>
        <v>6. Cases Petitioned (Charge Filed)</v>
      </c>
      <c r="C11" s="33">
        <f>'Data Entry'!C11</f>
        <v>13</v>
      </c>
      <c r="D11" s="34">
        <f>IF(((AND(C68&gt;0,C11&gt;0))),(C11/(C68)),0)</f>
        <v>72.222222222222229</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13</v>
      </c>
      <c r="Q11" s="42">
        <f>(C$68*L68)-C11</f>
        <v>5</v>
      </c>
      <c r="R11" s="42">
        <f t="shared" si="3"/>
        <v>18</v>
      </c>
      <c r="S11" s="30">
        <f t="shared" si="4"/>
        <v>0</v>
      </c>
      <c r="T11" s="30">
        <f t="shared" si="5"/>
        <v>0</v>
      </c>
      <c r="U11" s="31" t="str">
        <f t="shared" si="6"/>
        <v>- -</v>
      </c>
    </row>
    <row r="12" spans="2:21" ht="18" customHeight="1">
      <c r="B12" s="32" t="str">
        <f>'Data Entry'!A12</f>
        <v>7. Cases Resulting in Delinquent Findings</v>
      </c>
      <c r="C12" s="33">
        <f>'Data Entry'!C12</f>
        <v>7</v>
      </c>
      <c r="D12" s="34">
        <f>IF(((AND(C69&gt;0,C12&gt;0))),(C12/(C69)),0)</f>
        <v>53.846153846153847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7</v>
      </c>
      <c r="Q12" s="42">
        <f>(C69*L69)-C12</f>
        <v>6</v>
      </c>
      <c r="R12" s="42">
        <f t="shared" si="3"/>
        <v>13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7.0000000000000009</v>
      </c>
      <c r="R13" s="42">
        <f t="shared" si="3"/>
        <v>7.0000000000000009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4.0000000000000009</v>
      </c>
      <c r="R14" s="42">
        <f t="shared" si="3"/>
        <v>7.0000000000000009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13</v>
      </c>
      <c r="R15" s="42">
        <f t="shared" si="3"/>
        <v>13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0.03</v>
      </c>
      <c r="E42" s="56">
        <f>MAX(C42:D42)</f>
        <v>0.54600000000000004</v>
      </c>
      <c r="G42" s="1" t="str">
        <f>B42</f>
        <v>per 1000 youth</v>
      </c>
      <c r="L42" s="57">
        <v>1000</v>
      </c>
      <c r="M42" s="57"/>
      <c r="R42" s="49"/>
    </row>
    <row r="43" spans="2:18" ht="15" hidden="1" customHeight="1">
      <c r="B43" s="49" t="s">
        <v>87</v>
      </c>
      <c r="C43" s="56">
        <f>C7/100</f>
        <v>0.17</v>
      </c>
      <c r="D43" s="56">
        <f>E7/100</f>
        <v>0.02</v>
      </c>
      <c r="E43" s="56">
        <f>MAX(C43:D43,0)</f>
        <v>0.17</v>
      </c>
      <c r="G43" s="1" t="str">
        <f>B43</f>
        <v>per 100 arrests</v>
      </c>
      <c r="L43" s="57">
        <v>100</v>
      </c>
      <c r="M43" s="57"/>
      <c r="R43" s="49"/>
    </row>
    <row r="44" spans="2:18" ht="15" hidden="1" customHeight="1">
      <c r="B44" s="49" t="s">
        <v>88</v>
      </c>
      <c r="C44" s="56">
        <f>C8/100</f>
        <v>0.18</v>
      </c>
      <c r="D44" s="56">
        <f>E8/100</f>
        <v>0</v>
      </c>
      <c r="E44" s="56">
        <f>MAX(C44:D44,0)</f>
        <v>0.18</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0.03</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0.17</v>
      </c>
      <c r="D49" s="49">
        <f t="shared" si="9"/>
        <v>0.02</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0.03</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0.02</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0.03</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0.02</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0.03</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0.02</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17</v>
      </c>
      <c r="Q7" s="42">
        <f>C6-C7</f>
        <v>529</v>
      </c>
      <c r="R7" s="42">
        <f t="shared" ref="R7:R15" si="5">SUM(N7:Q7)</f>
        <v>551</v>
      </c>
      <c r="S7" s="30">
        <f t="shared" ref="S7:S15" si="6">R7*((((N7*Q7)-(O7*P7))^2))</f>
        <v>3980975</v>
      </c>
      <c r="T7" s="30">
        <f t="shared" ref="T7:T15" si="7">(N7+O7)*(P7+Q7)*(N7+P7)*(O7+Q7)</f>
        <v>24782940</v>
      </c>
      <c r="U7" s="31">
        <f t="shared" ref="U7:U15" si="8">IF((S7&gt;0),S7/T7,"- -")</f>
        <v>0.1606336859145848</v>
      </c>
    </row>
    <row r="8" spans="2:21" ht="18" customHeight="1">
      <c r="B8" s="32" t="str">
        <f>'Data Entry'!A8</f>
        <v>3. Refer to Juvenile Court</v>
      </c>
      <c r="C8" s="33">
        <f>'Data Entry'!C8</f>
        <v>18</v>
      </c>
      <c r="D8" s="34">
        <f>IF((AND(C67&gt;0,C8&gt;0)),(C8/C67),0)</f>
        <v>105.88235294117646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v>
      </c>
      <c r="Q8" s="42">
        <f>(C$67*L67)-C8</f>
        <v>-1</v>
      </c>
      <c r="R8" s="42">
        <f t="shared" si="5"/>
        <v>17.05</v>
      </c>
      <c r="S8" s="30">
        <f t="shared" si="6"/>
        <v>13.810500000000001</v>
      </c>
      <c r="T8" s="30">
        <f t="shared" si="7"/>
        <v>-14.535</v>
      </c>
      <c r="U8" s="31">
        <f t="shared" si="8"/>
        <v>-0.95015479876161002</v>
      </c>
    </row>
    <row r="9" spans="2:21" ht="18" customHeight="1">
      <c r="B9" s="32" t="str">
        <f>'Data Entry'!A9</f>
        <v xml:space="preserve">4. Cases Diverted </v>
      </c>
      <c r="C9" s="33">
        <f>'Data Entry'!C9</f>
        <v>3</v>
      </c>
      <c r="D9" s="34">
        <f>IF((AND(C68&gt;0,C9&gt;0)),((C9/C68)),0)</f>
        <v>16.666666666666668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16.666666666666668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72.222222222222229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5</v>
      </c>
      <c r="R11" s="42">
        <f t="shared" si="5"/>
        <v>18</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53.846153846153847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6</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5.0000000000000001E-3</v>
      </c>
      <c r="E42" s="56">
        <f>MAX(C42:D42)</f>
        <v>0.54600000000000004</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0.18</v>
      </c>
      <c r="D44" s="56">
        <f>E8/100</f>
        <v>0</v>
      </c>
      <c r="E44" s="56">
        <f>MAX(C44:D44,0)</f>
        <v>0.18</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5.0000000000000001E-3</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5.0000000000000001E-3</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5.0000000000000001E-3</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5.0000000000000001E-3</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Entry'!E6</f>
        <v>25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v>
      </c>
      <c r="P7" s="42">
        <f t="shared" ref="P7:P15" si="4">C7</f>
        <v>17</v>
      </c>
      <c r="Q7" s="42">
        <f>C6-C7</f>
        <v>529</v>
      </c>
      <c r="R7" s="42">
        <f t="shared" ref="R7:R15" si="5">SUM(N7:Q7)</f>
        <v>571</v>
      </c>
      <c r="S7" s="30">
        <f t="shared" ref="S7:S15" si="6">R7*((((N7*Q7)-(O7*P7))^2))</f>
        <v>103136875</v>
      </c>
      <c r="T7" s="30">
        <f t="shared" ref="T7:T15" si="7">(N7+O7)*(P7+Q7)*(N7+P7)*(O7+Q7)</f>
        <v>128555700</v>
      </c>
      <c r="U7" s="31">
        <f t="shared" ref="U7:U15" si="8">IF((S7&gt;0),S7/T7,"- -")</f>
        <v>0.80227383927744944</v>
      </c>
    </row>
    <row r="8" spans="2:21" ht="18" customHeight="1">
      <c r="B8" s="32" t="str">
        <f>'Data Entry'!A8</f>
        <v>3. Refer to Juvenile Court</v>
      </c>
      <c r="C8" s="33">
        <f>'Data Entry'!C8</f>
        <v>18</v>
      </c>
      <c r="D8" s="34">
        <f>IF((AND(C67&gt;0,C8&gt;0)),(C8/C67),0)</f>
        <v>105.88235294117646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18</v>
      </c>
      <c r="Q8" s="42">
        <f>(C$67*L67)-C8</f>
        <v>-1</v>
      </c>
      <c r="R8" s="42">
        <f t="shared" si="5"/>
        <v>17.05</v>
      </c>
      <c r="S8" s="30">
        <f t="shared" si="6"/>
        <v>13.810500000000001</v>
      </c>
      <c r="T8" s="30">
        <f t="shared" si="7"/>
        <v>-14.535</v>
      </c>
      <c r="U8" s="31">
        <f t="shared" si="8"/>
        <v>-0.95015479876161002</v>
      </c>
    </row>
    <row r="9" spans="2:21" ht="18" customHeight="1">
      <c r="B9" s="32" t="str">
        <f>'Data Entry'!A9</f>
        <v xml:space="preserve">4. Cases Diverted </v>
      </c>
      <c r="C9" s="33">
        <f>'Data Entry'!C9</f>
        <v>3</v>
      </c>
      <c r="D9" s="34">
        <f>IF((AND(C68&gt;0,C9&gt;0)),((C9/C68)),0)</f>
        <v>16.666666666666668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16.666666666666668</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72.222222222222229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5</v>
      </c>
      <c r="R11" s="42">
        <f t="shared" si="5"/>
        <v>18</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53.846153846153847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6</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2.5000000000000001E-2</v>
      </c>
      <c r="E42" s="56">
        <f>MAX(C42:D42)</f>
        <v>0.54600000000000004</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0.18</v>
      </c>
      <c r="D44" s="56">
        <f>E8/100</f>
        <v>0</v>
      </c>
      <c r="E44" s="56">
        <f>MAX(C44:D44,0)</f>
        <v>0.18</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2.5000000000000001E-2</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2.5000000000000001E-2</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2.5000000000000001E-2</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2.5000000000000001E-2</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529</v>
      </c>
      <c r="R7" s="42">
        <f t="shared" ref="R7:R15" si="5">SUM(N7:Q7)</f>
        <v>546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18</v>
      </c>
      <c r="D8" s="34">
        <f>IF((AND(C67&gt;0,C8&gt;0)),(C8/C67),0)</f>
        <v>105.88235294117646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v>
      </c>
      <c r="Q8" s="42">
        <f>(C$67*L67)-C8</f>
        <v>-1</v>
      </c>
      <c r="R8" s="42">
        <f t="shared" si="5"/>
        <v>17.05</v>
      </c>
      <c r="S8" s="30">
        <f t="shared" si="6"/>
        <v>13.810500000000001</v>
      </c>
      <c r="T8" s="30">
        <f t="shared" si="7"/>
        <v>-14.535</v>
      </c>
      <c r="U8" s="31">
        <f t="shared" si="8"/>
        <v>-0.95015479876161002</v>
      </c>
    </row>
    <row r="9" spans="2:21" ht="18" customHeight="1">
      <c r="B9" s="32" t="str">
        <f>'Data Entry'!A9</f>
        <v xml:space="preserve">4. Cases Diverted </v>
      </c>
      <c r="C9" s="33">
        <f>'Data Entry'!C9</f>
        <v>3</v>
      </c>
      <c r="D9" s="34">
        <f>IF((AND(C68&gt;0,C9&gt;0)),((C9/C68)),0)</f>
        <v>16.666666666666668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16.666666666666668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72.222222222222229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5</v>
      </c>
      <c r="R11" s="42">
        <f t="shared" si="5"/>
        <v>18</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53.846153846153847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6</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0</v>
      </c>
      <c r="E42" s="56">
        <f>MAX(C42:D42)</f>
        <v>0.54600000000000004</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0.18</v>
      </c>
      <c r="D44" s="56">
        <f>E8/100</f>
        <v>0</v>
      </c>
      <c r="E44" s="56">
        <f>MAX(C44:D44,0)</f>
        <v>0.18</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0</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0</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0</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0</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546</v>
      </c>
      <c r="D6" s="34"/>
      <c r="E6" s="33">
        <f>'Data Entry'!H6</f>
        <v>107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31.135531135531131</v>
      </c>
      <c r="E7" s="33">
        <f>'Data Entry'!H7</f>
        <v>15</v>
      </c>
      <c r="F7" s="34">
        <f>IF((AND($E$7&gt;0,$D$66&gt;0)),($E$7/$D$66),0)</f>
        <v>140.18691588785046</v>
      </c>
      <c r="G7" s="39">
        <f t="shared" ref="G7:G15" si="0">IF(L$6=100,"*",IF(M7=FALSE,"--",IF(K7=20,"**",($F7/$D7))))</f>
        <v>4.5024738867509626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15</v>
      </c>
      <c r="O7" s="42">
        <f>E6-E7</f>
        <v>92</v>
      </c>
      <c r="P7" s="42">
        <f t="shared" ref="P7:P15" si="4">C7</f>
        <v>17</v>
      </c>
      <c r="Q7" s="42">
        <f>C6-C7</f>
        <v>529</v>
      </c>
      <c r="R7" s="42">
        <f t="shared" ref="R7:R15" si="5">SUM(N7:Q7)</f>
        <v>653</v>
      </c>
      <c r="S7" s="30">
        <f t="shared" ref="S7:S15" si="6">R7*((((N7*Q7)-(O7*P7))^2))</f>
        <v>26505035573</v>
      </c>
      <c r="T7" s="30">
        <f t="shared" ref="T7:T15" si="7">(N7+O7)*(P7+Q7)*(N7+P7)*(O7+Q7)</f>
        <v>1160961984</v>
      </c>
      <c r="U7" s="31">
        <f t="shared" ref="U7:U15" si="8">IF((S7&gt;0),S7/T7,"- -")</f>
        <v>22.830235561787354</v>
      </c>
    </row>
    <row r="8" spans="2:21" ht="18" customHeight="1">
      <c r="B8" s="32" t="str">
        <f>'Data Entry'!A8</f>
        <v>3. Refer to Juvenile Court</v>
      </c>
      <c r="C8" s="33">
        <f>'Data Entry'!C8</f>
        <v>18</v>
      </c>
      <c r="D8" s="34">
        <f>IF((AND(C67&gt;0,C8&gt;0)),(C8/C67),0)</f>
        <v>105.88235294117646</v>
      </c>
      <c r="E8" s="33">
        <f>'Data Entry'!H8</f>
        <v>14</v>
      </c>
      <c r="F8" s="34">
        <f>IF((AND($E$8&gt;0,$D$67&gt;0)),($E8/$D67),0)</f>
        <v>93.333333333333343</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14</v>
      </c>
      <c r="O8" s="42">
        <f>((D67*L67)-E8)+0.05</f>
        <v>1.05</v>
      </c>
      <c r="P8" s="42">
        <f t="shared" si="4"/>
        <v>18</v>
      </c>
      <c r="Q8" s="42">
        <f>(C$67*L67)-C8</f>
        <v>-1</v>
      </c>
      <c r="R8" s="42">
        <f t="shared" si="5"/>
        <v>32.049999999999997</v>
      </c>
      <c r="S8" s="30">
        <f t="shared" si="6"/>
        <v>34691.240500000007</v>
      </c>
      <c r="T8" s="30">
        <f t="shared" si="7"/>
        <v>409.36000000000041</v>
      </c>
      <c r="U8" s="31">
        <f t="shared" si="8"/>
        <v>84.745066689466412</v>
      </c>
    </row>
    <row r="9" spans="2:21" ht="18" customHeight="1">
      <c r="B9" s="32" t="str">
        <f>'Data Entry'!A9</f>
        <v xml:space="preserve">4. Cases Diverted </v>
      </c>
      <c r="C9" s="33">
        <f>'Data Entry'!C9</f>
        <v>3</v>
      </c>
      <c r="D9" s="34">
        <f>IF((AND(C68&gt;0,C9&gt;0)),((C9/C68)),0)</f>
        <v>16.666666666666668</v>
      </c>
      <c r="E9" s="33">
        <f>'Data Entry'!H9</f>
        <v>3</v>
      </c>
      <c r="F9" s="34">
        <f>IF((AND($E$9&gt;0,$D$68&gt;0)),(($E$9/$D$68)),0)</f>
        <v>21.428571428571427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11.000000000000002</v>
      </c>
      <c r="P9" s="42">
        <f t="shared" si="4"/>
        <v>3</v>
      </c>
      <c r="Q9" s="42">
        <f>(C$68*L68)-C9</f>
        <v>15</v>
      </c>
      <c r="R9" s="42">
        <f t="shared" si="5"/>
        <v>32</v>
      </c>
      <c r="S9" s="30">
        <f t="shared" si="6"/>
        <v>4607.9999999999945</v>
      </c>
      <c r="T9" s="30">
        <f t="shared" si="7"/>
        <v>39312.000000000007</v>
      </c>
      <c r="U9" s="31">
        <f t="shared" si="8"/>
        <v>0.11721611721611705</v>
      </c>
    </row>
    <row r="10" spans="2:21" ht="18" customHeight="1">
      <c r="B10" s="32" t="str">
        <f>'Data Entry'!A10</f>
        <v>5. Cases Involving Secure Detention</v>
      </c>
      <c r="C10" s="33">
        <f>'Data Entry'!C10</f>
        <v>3</v>
      </c>
      <c r="D10" s="34">
        <f>IF(((AND(C68&gt;0,C10&gt;0))),(C10/(C68)),0)</f>
        <v>16.666666666666668</v>
      </c>
      <c r="E10" s="33">
        <f>'Data Entry'!H10</f>
        <v>5</v>
      </c>
      <c r="F10" s="34">
        <f>IF(((AND($E$10&gt;0,$D$68&gt;0))),($E$10/($D$68)),0)</f>
        <v>35.714285714285708</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5</v>
      </c>
      <c r="O10" s="42">
        <f>(D$68*L68)-E10</f>
        <v>9.0000000000000018</v>
      </c>
      <c r="P10" s="42">
        <f t="shared" si="4"/>
        <v>3</v>
      </c>
      <c r="Q10" s="42">
        <f>(C$68*L68)-C10</f>
        <v>15</v>
      </c>
      <c r="R10" s="42">
        <f t="shared" si="5"/>
        <v>32</v>
      </c>
      <c r="S10" s="30">
        <f t="shared" si="6"/>
        <v>73727.999999999971</v>
      </c>
      <c r="T10" s="30">
        <f t="shared" si="7"/>
        <v>48384.000000000007</v>
      </c>
      <c r="U10" s="31">
        <f t="shared" si="8"/>
        <v>1.5238095238095231</v>
      </c>
    </row>
    <row r="11" spans="2:21" ht="18" customHeight="1">
      <c r="B11" s="32" t="str">
        <f>'Data Entry'!A11</f>
        <v>6. Cases Petitioned (Charge Filed)</v>
      </c>
      <c r="C11" s="33">
        <f>'Data Entry'!C11</f>
        <v>13</v>
      </c>
      <c r="D11" s="34">
        <f>IF(((AND(C68&gt;0,C11&gt;0))),(C11/(C68)),0)</f>
        <v>72.222222222222229</v>
      </c>
      <c r="E11" s="33">
        <f>'Data Entry'!H11</f>
        <v>9</v>
      </c>
      <c r="F11" s="34">
        <f>IF(((AND($E$11&gt;0,$D$68&gt;0))),($E$11/($D$68)),0)</f>
        <v>64.285714285714278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9</v>
      </c>
      <c r="O11" s="42">
        <f>(D$68*L68)-E11</f>
        <v>5.0000000000000018</v>
      </c>
      <c r="P11" s="42">
        <f t="shared" si="4"/>
        <v>13</v>
      </c>
      <c r="Q11" s="42">
        <f>(C$68*L68)-C11</f>
        <v>5</v>
      </c>
      <c r="R11" s="42">
        <f t="shared" si="5"/>
        <v>32</v>
      </c>
      <c r="S11" s="30">
        <f t="shared" si="6"/>
        <v>12800.000000000036</v>
      </c>
      <c r="T11" s="30">
        <f t="shared" si="7"/>
        <v>55440.000000000022</v>
      </c>
      <c r="U11" s="31">
        <f t="shared" si="8"/>
        <v>0.23088023088023144</v>
      </c>
    </row>
    <row r="12" spans="2:21" ht="18" customHeight="1">
      <c r="B12" s="32" t="str">
        <f>'Data Entry'!A12</f>
        <v>7. Cases Resulting in Delinquent Findings</v>
      </c>
      <c r="C12" s="33">
        <f>'Data Entry'!C12</f>
        <v>7</v>
      </c>
      <c r="D12" s="34">
        <f>IF(((AND(C69&gt;0,C12&gt;0))),(C12/(C69)),0)</f>
        <v>53.846153846153847</v>
      </c>
      <c r="E12" s="33">
        <f>'Data Entry'!H12</f>
        <v>5</v>
      </c>
      <c r="F12" s="34">
        <f>IF(((AND($D$69&gt;0,$E$12&gt;0))),(E12/(D69)),0)</f>
        <v>55.555555555555557</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4</v>
      </c>
      <c r="P12" s="42">
        <f t="shared" si="4"/>
        <v>7</v>
      </c>
      <c r="Q12" s="42">
        <f>(C69*L69)-C12</f>
        <v>6</v>
      </c>
      <c r="R12" s="42">
        <f t="shared" si="5"/>
        <v>22</v>
      </c>
      <c r="S12" s="30">
        <f t="shared" si="6"/>
        <v>88</v>
      </c>
      <c r="T12" s="30">
        <f t="shared" si="7"/>
        <v>14040</v>
      </c>
      <c r="U12" s="31">
        <f t="shared" si="8"/>
        <v>6.2678062678062675E-3</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7.0000000000000009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42.857142857142854</v>
      </c>
      <c r="E14" s="33">
        <f>'Data Entry'!H14</f>
        <v>7</v>
      </c>
      <c r="F14" s="34">
        <f>IF(((AND($D$70&gt;0,$E$14&gt;0))), (($E$14/($D$70))),0)</f>
        <v>140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7</v>
      </c>
      <c r="O14" s="42">
        <f>(D70*L70)-E14</f>
        <v>-2</v>
      </c>
      <c r="P14" s="42">
        <f t="shared" si="4"/>
        <v>3</v>
      </c>
      <c r="Q14" s="42">
        <f>(C70*L70)-C14</f>
        <v>4.0000000000000009</v>
      </c>
      <c r="R14" s="42">
        <f t="shared" si="5"/>
        <v>12</v>
      </c>
      <c r="S14" s="30">
        <f t="shared" si="6"/>
        <v>13872.000000000005</v>
      </c>
      <c r="T14" s="30">
        <f t="shared" si="7"/>
        <v>700.00000000000045</v>
      </c>
      <c r="U14" s="31">
        <f t="shared" si="8"/>
        <v>19.817142857142851</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13</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0.54600000000000004</v>
      </c>
      <c r="D42" s="56">
        <f>E6/1000</f>
        <v>0.107</v>
      </c>
      <c r="E42" s="56">
        <f>MAX(C42:D42)</f>
        <v>0.54600000000000004</v>
      </c>
      <c r="G42" s="1" t="str">
        <f>B42</f>
        <v>per 1000 youth</v>
      </c>
      <c r="L42" s="57">
        <v>1000</v>
      </c>
      <c r="M42" s="57"/>
      <c r="R42" s="49"/>
    </row>
    <row r="43" spans="2:18" ht="15" hidden="1" customHeight="1">
      <c r="B43" s="49" t="s">
        <v>87</v>
      </c>
      <c r="C43" s="56">
        <f>C7/100</f>
        <v>0.17</v>
      </c>
      <c r="D43" s="56">
        <f>E7/100</f>
        <v>0.15</v>
      </c>
      <c r="E43" s="56">
        <f>MAX(C43:D43,0)</f>
        <v>0.17</v>
      </c>
      <c r="G43" s="1" t="str">
        <f>B43</f>
        <v>per 100 arrests</v>
      </c>
      <c r="L43" s="57">
        <v>100</v>
      </c>
      <c r="M43" s="57"/>
      <c r="R43" s="49"/>
    </row>
    <row r="44" spans="2:18" ht="15" hidden="1" customHeight="1">
      <c r="B44" s="49" t="s">
        <v>88</v>
      </c>
      <c r="C44" s="56">
        <f>C8/100</f>
        <v>0.18</v>
      </c>
      <c r="D44" s="56">
        <f>E8/100</f>
        <v>0.14000000000000001</v>
      </c>
      <c r="E44" s="56">
        <f>MAX(C44:D44,0)</f>
        <v>0.18</v>
      </c>
      <c r="G44" s="1" t="str">
        <f>B44</f>
        <v>per 100 referrals</v>
      </c>
      <c r="L44" s="57">
        <v>100</v>
      </c>
      <c r="M44" s="57"/>
      <c r="R44" s="49"/>
    </row>
    <row r="45" spans="2:18" ht="15" hidden="1" customHeight="1">
      <c r="B45" s="49" t="s">
        <v>89</v>
      </c>
      <c r="C45" s="49">
        <f>C11/100</f>
        <v>0.13</v>
      </c>
      <c r="D45" s="49">
        <f>E11/100</f>
        <v>0.09</v>
      </c>
      <c r="E45" s="56">
        <f>MAX(C45:D45,0)</f>
        <v>0.13</v>
      </c>
      <c r="G45" s="1" t="str">
        <f>B45</f>
        <v>per 100 youth petitioned</v>
      </c>
      <c r="L45" s="57">
        <v>100</v>
      </c>
      <c r="M45" s="57"/>
      <c r="R45" s="49"/>
    </row>
    <row r="46" spans="2:18" ht="15" hidden="1" customHeight="1">
      <c r="B46" s="49" t="s">
        <v>90</v>
      </c>
      <c r="C46" s="49">
        <f>C12/100</f>
        <v>7.0000000000000007E-2</v>
      </c>
      <c r="D46" s="49">
        <f>E12/100</f>
        <v>0.05</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0.54600000000000004</v>
      </c>
      <c r="D48" s="56">
        <f>D42</f>
        <v>0.107</v>
      </c>
      <c r="E48" s="56">
        <f>MAX(C48:D48)</f>
        <v>0.54600000000000004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0.15</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0.18</v>
      </c>
      <c r="D50" s="49">
        <f t="shared" si="9"/>
        <v>0.14000000000000001</v>
      </c>
      <c r="E50" s="49">
        <f>MAX(C50:D50)</f>
        <v>0.18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0.09</v>
      </c>
      <c r="E51" s="49">
        <f>MAX(C51:D51)</f>
        <v>0.13</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0.05</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0.54600000000000004</v>
      </c>
      <c r="D54" s="56">
        <f>D48</f>
        <v>0.107</v>
      </c>
      <c r="E54" s="56">
        <f>MAX(C54:D54)</f>
        <v>0.54600000000000004</v>
      </c>
      <c r="G54" s="1" t="str">
        <f>G48</f>
        <v>per 1000 youth</v>
      </c>
      <c r="L54" s="58">
        <f>L48</f>
        <v>1000</v>
      </c>
      <c r="M54" s="58"/>
    </row>
    <row r="55" spans="2:18" ht="15" hidden="1" customHeight="1">
      <c r="B55" s="49" t="str">
        <f t="shared" ref="B55:D56" si="10">IF(($E49&gt;0),B49,B48)</f>
        <v>per 100 arrests</v>
      </c>
      <c r="C55" s="49">
        <f t="shared" si="10"/>
        <v>0.17</v>
      </c>
      <c r="D55" s="49">
        <f t="shared" si="10"/>
        <v>0.15</v>
      </c>
      <c r="E55" s="49">
        <f>MAX(C55:D55)</f>
        <v>0.17</v>
      </c>
      <c r="G55" s="1" t="str">
        <f>G49</f>
        <v>per 100 arrests</v>
      </c>
      <c r="L55" s="58">
        <f>IF(($E49&gt;0),L49,L48)</f>
        <v>100</v>
      </c>
      <c r="M55" s="58"/>
    </row>
    <row r="56" spans="2:18" ht="15" hidden="1" customHeight="1">
      <c r="B56" s="49" t="str">
        <f t="shared" si="10"/>
        <v>per 100 referrals</v>
      </c>
      <c r="C56" s="49">
        <f t="shared" si="10"/>
        <v>0.18</v>
      </c>
      <c r="D56" s="49">
        <f t="shared" si="10"/>
        <v>0.14000000000000001</v>
      </c>
      <c r="E56" s="49">
        <f>MAX(C56:D56)</f>
        <v>0.18</v>
      </c>
      <c r="G56" s="1" t="str">
        <f>G50</f>
        <v>per 100 referrals</v>
      </c>
      <c r="L56" s="58">
        <f>IF(($E50&gt;0),L50,L49)</f>
        <v>100</v>
      </c>
      <c r="M56" s="58"/>
    </row>
    <row r="57" spans="2:18" ht="15" hidden="1" customHeight="1">
      <c r="B57" s="49" t="str">
        <f>IF(($E51&gt;0),B51,B49)</f>
        <v>per 100 youth petitioned</v>
      </c>
      <c r="C57" s="49">
        <f>IF(($E51&gt;0),C51,C50)</f>
        <v>0.13</v>
      </c>
      <c r="D57" s="49">
        <f>IF(($E51&gt;0),D51,D50)</f>
        <v>0.09</v>
      </c>
      <c r="E57" s="49">
        <f>MAX(C57:D57)</f>
        <v>0.13</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0.05</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0.54600000000000004</v>
      </c>
      <c r="D60" s="56">
        <f>D54</f>
        <v>0.107</v>
      </c>
      <c r="E60" s="56">
        <f>MAX(C60:D60)</f>
        <v>0.54600000000000004</v>
      </c>
      <c r="G60" s="1" t="str">
        <f>G54</f>
        <v>per 1000 youth</v>
      </c>
      <c r="L60" s="58">
        <f>L54</f>
        <v>1000</v>
      </c>
      <c r="M60" s="58"/>
    </row>
    <row r="61" spans="2:18" ht="15" hidden="1" customHeight="1">
      <c r="B61" s="49" t="str">
        <f t="shared" ref="B61:D62" si="11">IF(($E55&gt;0),B55,B54)</f>
        <v>per 100 arrests</v>
      </c>
      <c r="C61" s="49">
        <f t="shared" si="11"/>
        <v>0.17</v>
      </c>
      <c r="D61" s="49">
        <f t="shared" si="11"/>
        <v>0.15</v>
      </c>
      <c r="E61" s="49">
        <f>MAX(C61:D61)</f>
        <v>0.17</v>
      </c>
      <c r="G61" s="1" t="str">
        <f>G55</f>
        <v>per 100 arrests</v>
      </c>
      <c r="L61" s="58">
        <f>IF(($E55&gt;0),L55,L54)</f>
        <v>100</v>
      </c>
      <c r="M61" s="58"/>
    </row>
    <row r="62" spans="2:18" ht="15" hidden="1" customHeight="1">
      <c r="B62" s="49" t="str">
        <f t="shared" si="11"/>
        <v>per 100 referrals</v>
      </c>
      <c r="C62" s="49">
        <f t="shared" si="11"/>
        <v>0.18</v>
      </c>
      <c r="D62" s="49">
        <f t="shared" si="11"/>
        <v>0.14000000000000001</v>
      </c>
      <c r="E62" s="49">
        <f>MAX(C62:D62)</f>
        <v>0.18</v>
      </c>
      <c r="G62" s="1" t="str">
        <f>G56</f>
        <v>per 100 referrals</v>
      </c>
      <c r="L62" s="58">
        <f>IF(($E56&gt;0),L56,L55)</f>
        <v>100</v>
      </c>
      <c r="M62" s="58"/>
    </row>
    <row r="63" spans="2:18" ht="15" hidden="1" customHeight="1">
      <c r="B63" s="49" t="str">
        <f>IF(($E57&gt;0),B57,B55)</f>
        <v>per 100 youth petitioned</v>
      </c>
      <c r="C63" s="49">
        <f>IF(($E57&gt;0),C57,C56)</f>
        <v>0.13</v>
      </c>
      <c r="D63" s="49">
        <f>IF(($E57&gt;0),D57,D56)</f>
        <v>0.09</v>
      </c>
      <c r="E63" s="49">
        <f>MAX(C63:D63)</f>
        <v>0.13</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0.05</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0.54600000000000004</v>
      </c>
      <c r="D66" s="56">
        <f>D60</f>
        <v>0.107</v>
      </c>
      <c r="E66" s="56">
        <f>MAX(C66:D66)</f>
        <v>0.54600000000000004</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0.15</v>
      </c>
      <c r="E67" s="49">
        <f>MAX(C67:D67)</f>
        <v>0.17</v>
      </c>
      <c r="G67" s="1" t="str">
        <f>G61</f>
        <v>per 100 arrests</v>
      </c>
      <c r="L67" s="58">
        <f>IF(($E61&gt;0),L61,L60)</f>
        <v>100</v>
      </c>
      <c r="M67" s="58">
        <f>IF((B67=G67),1,2)</f>
        <v>1</v>
      </c>
    </row>
    <row r="68" spans="2:13" ht="15" hidden="1" customHeight="1">
      <c r="B68" s="49" t="str">
        <f t="shared" si="12"/>
        <v>per 100 referrals</v>
      </c>
      <c r="C68" s="49">
        <f t="shared" si="12"/>
        <v>0.18</v>
      </c>
      <c r="D68" s="49">
        <f t="shared" si="12"/>
        <v>0.14000000000000001</v>
      </c>
      <c r="E68" s="49">
        <f>MAX(C68:D68)</f>
        <v>0.18</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0.09</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0.05</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U47JMPN4QEAR-1806752177-35396</_dlc_DocId>
    <_dlc_DocIdUrl xmlns="ac3811b5-0f3e-49e2-ba69-f2ffa0c782af">
      <Url>https://michiganphi.sharepoint.com/sites/CMDMC/_layouts/15/DocIdRedir.aspx?ID=U47JMPN4QEAR-1806752177-35396</Url>
      <Description>U47JMPN4QEAR-1806752177-35396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6DC2C5-EE2A-46E8-B935-EEB4ABDC76E1}">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7F8FB676-5E58-46AD-AE09-D605F78CF126}"/>
</file>

<file path=customXml/itemProps3.xml><?xml version="1.0" encoding="utf-8"?>
<ds:datastoreItem xmlns:ds="http://schemas.openxmlformats.org/officeDocument/2006/customXml" ds:itemID="{AD5283FD-B759-46AB-BA9B-CAF84AD3CB5F}">
  <ds:schemaRefs>
    <ds:schemaRef ds:uri="http://schemas.microsoft.com/sharepoint/v3/contenttype/forms"/>
  </ds:schemaRefs>
</ds:datastoreItem>
</file>

<file path=customXml/itemProps4.xml><?xml version="1.0" encoding="utf-8"?>
<ds:datastoreItem xmlns:ds="http://schemas.openxmlformats.org/officeDocument/2006/customXml" ds:itemID="{E0834D52-8CF7-4D00-AAAE-46EAB12CFE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4c607ea7-065a-4fee-92a9-326d3edeaa65</vt:lpwstr>
  </property>
</Properties>
</file>