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2B91B157-CB85-4A04-A317-33B265309FC7}"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46" i="2"/>
  <c r="G52" i="2" s="1"/>
  <c r="G58" i="2" s="1"/>
  <c r="G64" i="2" s="1"/>
  <c r="G70" i="2" s="1"/>
  <c r="L48" i="2"/>
  <c r="L54" i="2"/>
  <c r="L60" i="2" s="1"/>
  <c r="L66" i="2" s="1"/>
  <c r="G49" i="2"/>
  <c r="G51" i="2"/>
  <c r="G57" i="2" s="1"/>
  <c r="G63" i="2" s="1"/>
  <c r="G69" i="2" s="1"/>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51" i="3" s="1"/>
  <c r="G57" i="3" s="1"/>
  <c r="G63" i="3" s="1"/>
  <c r="G69" i="3" s="1"/>
  <c r="G46" i="3"/>
  <c r="G52" i="3" s="1"/>
  <c r="G58" i="3" s="1"/>
  <c r="G64" i="3" s="1"/>
  <c r="G70" i="3" s="1"/>
  <c r="G48" i="3"/>
  <c r="G54" i="3" s="1"/>
  <c r="G60" i="3" s="1"/>
  <c r="G66" i="3" s="1"/>
  <c r="L48" i="3"/>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48" i="7"/>
  <c r="G54" i="7" s="1"/>
  <c r="G60" i="7" s="1"/>
  <c r="G66" i="7" s="1"/>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58" i="8" s="1"/>
  <c r="G64" i="8" s="1"/>
  <c r="G70" i="8" s="1"/>
  <c r="G48" i="8"/>
  <c r="G54" i="8"/>
  <c r="G60" i="8"/>
  <c r="G66" i="8" s="1"/>
  <c r="L48" i="8"/>
  <c r="G49" i="8"/>
  <c r="G55" i="8" s="1"/>
  <c r="G61" i="8" s="1"/>
  <c r="G67" i="8" s="1"/>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3"/>
  <c r="M66" i="3"/>
  <c r="M66" i="7"/>
  <c r="F27" i="7"/>
  <c r="M66" i="8"/>
  <c r="F27" i="8"/>
  <c r="F27" i="6"/>
  <c r="M66" i="6"/>
  <c r="F27" i="2"/>
  <c r="M66" i="2"/>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E44" i="6"/>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D64" i="5"/>
  <c r="L56" i="8"/>
  <c r="L64" i="5"/>
  <c r="B56" i="8"/>
  <c r="C57" i="8"/>
  <c r="C64" i="8" s="1"/>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C63" i="3"/>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63" i="8"/>
  <c r="L69" i="7"/>
  <c r="C63" i="8"/>
  <c r="D70" i="6"/>
  <c r="F13" i="6" s="1"/>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Q12" i="7"/>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5" i="7" l="1"/>
  <c r="E63" i="8"/>
  <c r="D69" i="8" s="1"/>
  <c r="D12" i="3"/>
  <c r="B69" i="6"/>
  <c r="M69" i="6" s="1"/>
  <c r="C69" i="6"/>
  <c r="D12" i="6" s="1"/>
  <c r="D69" i="3"/>
  <c r="E69" i="3" s="1"/>
  <c r="Q13" i="8"/>
  <c r="D13" i="3"/>
  <c r="O13" i="6"/>
  <c r="F14" i="6"/>
  <c r="E70" i="6"/>
  <c r="E69" i="7"/>
  <c r="D13" i="6"/>
  <c r="O13" i="3"/>
  <c r="F14" i="3"/>
  <c r="O14" i="6"/>
  <c r="B69" i="3"/>
  <c r="M69" i="3" s="1"/>
  <c r="Q14" i="3"/>
  <c r="F12" i="7"/>
  <c r="O12" i="7"/>
  <c r="T12" i="7" s="1"/>
  <c r="D14" i="6"/>
  <c r="O15" i="7"/>
  <c r="R15" i="7" s="1"/>
  <c r="S15" i="7" s="1"/>
  <c r="U15" i="7" s="1"/>
  <c r="J15" i="7" s="1"/>
  <c r="Q13" i="3"/>
  <c r="Q13" i="6"/>
  <c r="Q14" i="6"/>
  <c r="E70" i="3"/>
  <c r="O14" i="3"/>
  <c r="D69" i="6"/>
  <c r="F12" i="6" s="1"/>
  <c r="T10" i="3"/>
  <c r="K10" i="4"/>
  <c r="F8" i="7"/>
  <c r="T9" i="4"/>
  <c r="T11" i="4"/>
  <c r="K11" i="4"/>
  <c r="Q15" i="6"/>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2" i="3" l="1"/>
  <c r="R12" i="3" s="1"/>
  <c r="S12" i="3" s="1"/>
  <c r="K12" i="7"/>
  <c r="L69" i="8"/>
  <c r="O15" i="8" s="1"/>
  <c r="F15" i="3"/>
  <c r="D15" i="6"/>
  <c r="Q12" i="6"/>
  <c r="F32" i="6"/>
  <c r="R12" i="7"/>
  <c r="S12" i="7" s="1"/>
  <c r="U12" i="7" s="1"/>
  <c r="J12" i="7" s="1"/>
  <c r="L12" i="7" s="1"/>
  <c r="S13" i="16" s="1"/>
  <c r="O15" i="3"/>
  <c r="R15" i="3" s="1"/>
  <c r="S15" i="3" s="1"/>
  <c r="U15" i="3" s="1"/>
  <c r="J15" i="3" s="1"/>
  <c r="M15" i="3" s="1"/>
  <c r="G15" i="3" s="1"/>
  <c r="I16" i="16" s="1"/>
  <c r="F12" i="3"/>
  <c r="F35" i="6"/>
  <c r="K14" i="6"/>
  <c r="R13" i="8"/>
  <c r="S13" i="8" s="1"/>
  <c r="U13" i="8" s="1"/>
  <c r="J13" i="8" s="1"/>
  <c r="M13" i="8" s="1"/>
  <c r="G13" i="8" s="1"/>
  <c r="K14" i="16" s="1"/>
  <c r="R14" i="6"/>
  <c r="S14" i="6" s="1"/>
  <c r="O15" i="6"/>
  <c r="T15" i="6" s="1"/>
  <c r="T14" i="6"/>
  <c r="K15" i="7"/>
  <c r="L15" i="7" s="1"/>
  <c r="S16" i="16" s="1"/>
  <c r="R13" i="6"/>
  <c r="S13" i="6" s="1"/>
  <c r="U13" i="6" s="1"/>
  <c r="J13" i="6" s="1"/>
  <c r="M13" i="6" s="1"/>
  <c r="G13" i="6" s="1"/>
  <c r="G13" i="9" s="1"/>
  <c r="R14" i="3"/>
  <c r="S14" i="3" s="1"/>
  <c r="U14" i="3" s="1"/>
  <c r="J14" i="3" s="1"/>
  <c r="M14" i="3" s="1"/>
  <c r="G14" i="3" s="1"/>
  <c r="I15" i="16" s="1"/>
  <c r="K13" i="3"/>
  <c r="R14" i="8"/>
  <c r="S14" i="8" s="1"/>
  <c r="K13" i="6"/>
  <c r="F32" i="3"/>
  <c r="F35" i="3"/>
  <c r="T13" i="6"/>
  <c r="T13" i="8"/>
  <c r="O12" i="6"/>
  <c r="E69" i="6"/>
  <c r="T13" i="3"/>
  <c r="K14" i="3"/>
  <c r="T14" i="3"/>
  <c r="R13" i="3"/>
  <c r="S13" i="3" s="1"/>
  <c r="U13" i="3" s="1"/>
  <c r="J13" i="3" s="1"/>
  <c r="L13" i="3" s="1"/>
  <c r="P14" i="16"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M12" i="7" l="1"/>
  <c r="K12" i="6"/>
  <c r="T15" i="3"/>
  <c r="K15" i="3"/>
  <c r="L15" i="3" s="1"/>
  <c r="P16" i="16" s="1"/>
  <c r="U14" i="6"/>
  <c r="J14" i="6" s="1"/>
  <c r="M14" i="6" s="1"/>
  <c r="G14" i="6" s="1"/>
  <c r="M15" i="13" s="1"/>
  <c r="L13" i="6"/>
  <c r="R14" i="16" s="1"/>
  <c r="Q14" i="13"/>
  <c r="U14" i="8"/>
  <c r="J14" i="8" s="1"/>
  <c r="N30" i="8" s="1"/>
  <c r="I13" i="9"/>
  <c r="M14" i="13"/>
  <c r="L13" i="8"/>
  <c r="T14" i="16" s="1"/>
  <c r="K15" i="6"/>
  <c r="R15" i="6"/>
  <c r="S15" i="6" s="1"/>
  <c r="U15" i="6" s="1"/>
  <c r="J15" i="6" s="1"/>
  <c r="N30" i="3"/>
  <c r="R12" i="6"/>
  <c r="S12" i="6" s="1"/>
  <c r="L14" i="3"/>
  <c r="P15" i="16" s="1"/>
  <c r="E14" i="9"/>
  <c r="M13" i="3"/>
  <c r="G13" i="3" s="1"/>
  <c r="I14" i="13" s="1"/>
  <c r="I15" i="13"/>
  <c r="T12" i="6"/>
  <c r="M13" i="9"/>
  <c r="U14" i="13"/>
  <c r="U12" i="13"/>
  <c r="M11" i="9"/>
  <c r="R12" i="8"/>
  <c r="S12" i="8" s="1"/>
  <c r="T13" i="2"/>
  <c r="U8" i="6"/>
  <c r="J8" i="6" s="1"/>
  <c r="M8" i="6" s="1"/>
  <c r="G8" i="6" s="1"/>
  <c r="M9" i="13" s="1"/>
  <c r="R13" i="2"/>
  <c r="S13" i="2" s="1"/>
  <c r="U13" i="2" s="1"/>
  <c r="J13" i="2" s="1"/>
  <c r="M13" i="2" s="1"/>
  <c r="G13" i="2" s="1"/>
  <c r="E14" i="16" s="1"/>
  <c r="T15" i="8"/>
  <c r="V11" i="13"/>
  <c r="T12" i="8"/>
  <c r="K12" i="8"/>
  <c r="Q12" i="9"/>
  <c r="R10" i="7"/>
  <c r="S10" i="7" s="1"/>
  <c r="U10" i="7" s="1"/>
  <c r="J10" i="7" s="1"/>
  <c r="T11" i="7"/>
  <c r="T10" i="7"/>
  <c r="L8" i="2"/>
  <c r="N9" i="16" s="1"/>
  <c r="Y13" i="13"/>
  <c r="K13" i="2"/>
  <c r="R15" i="5"/>
  <c r="S15" i="5" s="1"/>
  <c r="U15" i="5" s="1"/>
  <c r="J15" i="5" s="1"/>
  <c r="M15" i="5" s="1"/>
  <c r="K11" i="7"/>
  <c r="K15" i="8"/>
  <c r="T9" i="7"/>
  <c r="U9" i="7" s="1"/>
  <c r="J9" i="7" s="1"/>
  <c r="M9" i="7" s="1"/>
  <c r="N10" i="9"/>
  <c r="R11" i="7"/>
  <c r="S11" i="7" s="1"/>
  <c r="K12" i="5"/>
  <c r="L12" i="5" s="1"/>
  <c r="Q13" i="16" s="1"/>
  <c r="T12" i="5"/>
  <c r="K10" i="7"/>
  <c r="R14" i="2"/>
  <c r="S14" i="2" s="1"/>
  <c r="U14" i="2" s="1"/>
  <c r="J14" i="2" s="1"/>
  <c r="M14" i="2" s="1"/>
  <c r="G14" i="2" s="1"/>
  <c r="E15" i="16" s="1"/>
  <c r="D13" i="9"/>
  <c r="G14" i="13"/>
  <c r="K9" i="7"/>
  <c r="T14" i="2"/>
  <c r="V12" i="13"/>
  <c r="U10" i="13"/>
  <c r="N11" i="9"/>
  <c r="T15" i="5"/>
  <c r="W14" i="13"/>
  <c r="N13" i="9"/>
  <c r="L13" i="7"/>
  <c r="S14" i="16" s="1"/>
  <c r="M9" i="3"/>
  <c r="G9" i="3" s="1"/>
  <c r="I10" i="13" s="1"/>
  <c r="G12" i="13"/>
  <c r="G12" i="16"/>
  <c r="N9" i="9"/>
  <c r="P10" i="16"/>
  <c r="M14" i="7"/>
  <c r="N30" i="7"/>
  <c r="L14" i="7"/>
  <c r="S15" i="16" s="1"/>
  <c r="L8" i="7"/>
  <c r="S9" i="16" s="1"/>
  <c r="O13" i="9"/>
  <c r="V14" i="13"/>
  <c r="M9" i="9"/>
  <c r="M10" i="9"/>
  <c r="O14" i="9"/>
  <c r="V10" i="13"/>
  <c r="W15"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4" i="6" l="1"/>
  <c r="R15" i="16" s="1"/>
  <c r="X14" i="13"/>
  <c r="N30" i="6"/>
  <c r="E13" i="9"/>
  <c r="I14" i="16"/>
  <c r="P13" i="9"/>
  <c r="G14" i="9"/>
  <c r="V15" i="13"/>
  <c r="L15" i="6"/>
  <c r="R16" i="16" s="1"/>
  <c r="N14" i="9"/>
  <c r="U11" i="7"/>
  <c r="J11" i="7" s="1"/>
  <c r="M11" i="7" s="1"/>
  <c r="R13" i="9"/>
  <c r="Z14" i="13"/>
  <c r="L14" i="8"/>
  <c r="T15" i="16" s="1"/>
  <c r="U12" i="8"/>
  <c r="J12" i="8" s="1"/>
  <c r="L12" i="8" s="1"/>
  <c r="T13" i="16" s="1"/>
  <c r="U12" i="6"/>
  <c r="J12" i="6" s="1"/>
  <c r="M14" i="8"/>
  <c r="G14" i="8" s="1"/>
  <c r="K15" i="16" s="1"/>
  <c r="M15" i="6"/>
  <c r="G15" i="6" s="1"/>
  <c r="M16" i="13" s="1"/>
  <c r="L8" i="6"/>
  <c r="R9" i="16" s="1"/>
  <c r="L10" i="7"/>
  <c r="S11" i="16" s="1"/>
  <c r="X16" i="13"/>
  <c r="L15" i="5"/>
  <c r="Q16" i="16" s="1"/>
  <c r="T9" i="13"/>
  <c r="L8" i="9"/>
  <c r="X15" i="13"/>
  <c r="G8" i="9"/>
  <c r="Q14" i="9"/>
  <c r="Y15" i="13"/>
  <c r="Y14" i="13"/>
  <c r="E9" i="13"/>
  <c r="Q13" i="9"/>
  <c r="L10" i="2"/>
  <c r="N11" i="16" s="1"/>
  <c r="M10" i="7"/>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4" i="9" l="1"/>
  <c r="Z15" i="13"/>
  <c r="G15" i="9"/>
  <c r="P15" i="9"/>
  <c r="R14" i="9"/>
  <c r="L11" i="7"/>
  <c r="S12" i="16" s="1"/>
  <c r="M12" i="8"/>
  <c r="G12" i="8" s="1"/>
  <c r="K13" i="16" s="1"/>
  <c r="I14" i="9"/>
  <c r="Q15" i="13"/>
  <c r="L12" i="6"/>
  <c r="M12" i="6"/>
  <c r="G12" i="6" s="1"/>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R12" i="9"/>
  <c r="Z13" i="13"/>
  <c r="M10" i="8"/>
  <c r="G10" i="8" s="1"/>
  <c r="K11" i="16" s="1"/>
  <c r="L10" i="8"/>
  <c r="T11" i="16" s="1"/>
  <c r="L11" i="8"/>
  <c r="T12" i="16" s="1"/>
  <c r="M11" i="8"/>
  <c r="G11" i="8" s="1"/>
  <c r="K12" i="16" s="1"/>
  <c r="I12" i="9" l="1"/>
  <c r="Y12" i="13"/>
  <c r="Q13" i="13"/>
  <c r="Q11" i="9"/>
  <c r="G12" i="9"/>
  <c r="M13" i="13"/>
  <c r="R13" i="16"/>
  <c r="P12" i="9"/>
  <c r="X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<sst xmlns="http://schemas.openxmlformats.org/spreadsheetml/2006/main" count="654" uniqueCount="141">
  <si>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</si>
  <si>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</si>
  <si>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</si>
  <si>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</si>
  <si>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</si>
  <si>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</si>
  <si>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</si>
  <si>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</si>
  <si>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</si>
  <si>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</si>
  <si>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</si>
  <si>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</si>
  <si>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</si>
  <si>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</si>
  <si>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</si>
  <si>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</si>
  <si>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</si>
  <si>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</si>
  <si>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</si>
  <si>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</si>
  <si>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</si>
  <si>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</si>
  <si>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</si>
  <si>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</si>
  <si>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</si>
  <si>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</si>
  <si>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</si>
  <si>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</si>
  <si>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</si>
  <si>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</si>
  <si>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</si>
  <si>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</si>
  <si>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</si>
  <si>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</si>
  <si>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</si>
  <si>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</si>
  <si>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</si>
  <si>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</si>
  <si>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</si>
  <si>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</si>
  <si>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</si>
  <si>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</si>
  <si>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</si>
  <si>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</si>
  <si>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</si>
  <si>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</si>
  <si>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</si>
  <si>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</si>
  <si>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</si>
  <si>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</si>
  <si>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</si>
  <si>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</si>
  <si>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</si>
  <si>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</si>
  <si>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</si>
  <si>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</si>
  <si>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</si>
  <si>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</si>
  <si>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</si>
  <si>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</si>
  <si>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</si>
  <si>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</si>
  <si>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</si>
  <si>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</si>
  <si>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</si>
  <si>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</si>
  <si>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</si>
  <si>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</si>
  <si>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</si>
  <si>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</si>
  <si>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</si>
  <si>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</si>
  <si>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</si>
  <si>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</si>
  <si>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</si>
  <si>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</si>
  <si>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</si>
  <si>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</si>
  <si>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</si>
  <si>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</si>
  <si>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</si>
  <si>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</si>
  <si>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</si>
  <si>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</si>
  <si>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</si>
  <si>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</si>
  <si>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</si>
  <si>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</si>
  <si>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</si>
  <si>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</si>
  <si>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</si>
  <si>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</si>
  <si>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</si>
  <si>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</si>
  <si>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</si>
  <si>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</si>
  <si>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</si>
  <si>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</si>
  <si>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</si>
  <si>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</si>
  <si>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</si>
  <si>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</si>
  <si>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</si>
  <si>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</si>
  <si>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</si>
  <si>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</si>
  <si>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</si>
  <si>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</si>
  <si>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</si>
  <si>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</si>
  <si>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</si>
  <si>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</si>
  <si>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</si>
  <si>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</si>
  <si>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</si>
  <si>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</si>
  <si>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</si>
  <si>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</si>
  <si>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</si>
  <si>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</si>
  <si>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</si>
  <si>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</si>
  <si>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</si>
  <si>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</si>
  <si>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</si>
  <si>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</si>
  <si>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</si>
  <si>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</si>
  <si>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</si>
  <si>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</si>
  <si>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</si>
  <si>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</si>
  <si>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</si>
  <si>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</si>
  <si>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</si>
  <si>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</si>
  <si>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</si>
  <si>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Schoolcraft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</si>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</sst>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Schoolcraft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N=5</c:v>
                </c:pt>
                <c:pt idx="3">
                  <c:v>Petitions, total N=1</c:v>
                </c:pt>
                <c:pt idx="4">
                  <c:v>Detentions, total N=0</c:v>
                </c:pt>
                <c:pt idx="5">
                  <c:v>Referrals, total N=14</c:v>
                </c:pt>
                <c:pt idx="6">
                  <c:v>Arrests, total N=30</c:v>
                </c:pt>
                <c:pt idx="7">
                  <c:v>Population, total N=575</c:v>
                </c:pt>
              </c:strCache>
            </c:strRef>
          </c:cat>
          <c:val>
            <c:numRef>
              <c:f>'Stacked 100%'!$B$7:$B$14</c:f>
              <c:numCache>
                <c:formatCode>0%</c:formatCode>
                <c:ptCount val="8"/>
                <c:pt idx="0">
                  <c:v>0</c:v>
                </c:pt>
                <c:pt idx="1">
                  <c:v>0</c:v>
                </c:pt>
                <c:pt idx="2">
                  <c:v>0</c:v>
                </c:pt>
                <c:pt idx="3">
                  <c:v>0</c:v>
                </c:pt>
                <c:pt idx="4">
                  <c:v>0</c:v>
                </c:pt>
                <c:pt idx="5">
                  <c:v>0</c:v>
                </c:pt>
                <c:pt idx="6">
                  <c:v>0</c:v>
                </c:pt>
                <c:pt idx="7">
                  <c:v>2.2608695652173914E-2</c:v>
                </c:pt>
              </c:numCache>
            </c:numRef>
          </c:val>
          <c:extLst>
            <c:ext xmlns:c16="http://schemas.microsoft.com/office/drawing/2014/chart" uri="{C3380CC4-5D6E-409C-BE32-E72D297353CC}">
              <c16:uniqueId val="{00000000-B0F2-4A5B-9822-06DE072E413B}"/>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N=5</c:v>
                </c:pt>
                <c:pt idx="3">
                  <c:v>Petitions, total N=1</c:v>
                </c:pt>
                <c:pt idx="4">
                  <c:v>Detentions, total N=0</c:v>
                </c:pt>
                <c:pt idx="5">
                  <c:v>Referrals, total N=14</c:v>
                </c:pt>
                <c:pt idx="6">
                  <c:v>Arrests, total N=30</c:v>
                </c:pt>
                <c:pt idx="7">
                  <c:v>Population, total N=575</c:v>
                </c:pt>
              </c:strCache>
            </c:strRef>
          </c:cat>
          <c:val>
            <c:numRef>
              <c:f>'Stacked 100%'!$C$7:$C$14</c:f>
              <c:numCache>
                <c:formatCode>0%</c:formatCode>
                <c:ptCount val="8"/>
                <c:pt idx="0">
                  <c:v>0</c:v>
                </c:pt>
                <c:pt idx="1">
                  <c:v>0</c:v>
                </c:pt>
                <c:pt idx="2">
                  <c:v>0</c:v>
                </c:pt>
                <c:pt idx="3">
                  <c:v>0</c:v>
                </c:pt>
                <c:pt idx="4">
                  <c:v>0</c:v>
                </c:pt>
                <c:pt idx="5">
                  <c:v>0</c:v>
                </c:pt>
                <c:pt idx="6">
                  <c:v>0</c:v>
                </c:pt>
                <c:pt idx="7">
                  <c:v>2.2608695652173914E-2</c:v>
                </c:pt>
              </c:numCache>
            </c:numRef>
          </c:val>
          <c:extLst>
            <c:ext xmlns:c16="http://schemas.microsoft.com/office/drawing/2014/chart" uri="{C3380CC4-5D6E-409C-BE32-E72D297353CC}">
              <c16:uniqueId val="{00000001-B0F2-4A5B-9822-06DE072E413B}"/>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N=5</c:v>
                </c:pt>
                <c:pt idx="3">
                  <c:v>Petitions, total N=1</c:v>
                </c:pt>
                <c:pt idx="4">
                  <c:v>Detentions, total N=0</c:v>
                </c:pt>
                <c:pt idx="5">
                  <c:v>Referrals, total N=14</c:v>
                </c:pt>
                <c:pt idx="6">
                  <c:v>Arrests, total N=30</c:v>
                </c:pt>
                <c:pt idx="7">
                  <c:v>Population, total N=575</c:v>
                </c:pt>
              </c:strCache>
            </c:strRef>
          </c:cat>
          <c:val>
            <c:numRef>
              <c:f>'Stacked 100%'!$H$7:$H$14</c:f>
              <c:numCache>
                <c:formatCode>0%</c:formatCode>
                <c:ptCount val="8"/>
                <c:pt idx="0">
                  <c:v>0</c:v>
                </c:pt>
                <c:pt idx="1">
                  <c:v>0</c:v>
                </c:pt>
                <c:pt idx="2">
                  <c:v>0.12000000000000002</c:v>
                </c:pt>
                <c:pt idx="3">
                  <c:v>1</c:v>
                </c:pt>
                <c:pt idx="4">
                  <c:v>0</c:v>
                </c:pt>
                <c:pt idx="5">
                  <c:v>2.551020408163265E-2</c:v>
                </c:pt>
                <c:pt idx="6">
                  <c:v>0</c:v>
                </c:pt>
                <c:pt idx="7">
                  <c:v>3.2362948960302455E-4</c:v>
                </c:pt>
              </c:numCache>
            </c:numRef>
          </c:val>
          <c:extLst>
            <c:ext xmlns:c16="http://schemas.microsoft.com/office/drawing/2014/chart" uri="{C3380CC4-5D6E-409C-BE32-E72D297353CC}">
              <c16:uniqueId val="{00000002-B0F2-4A5B-9822-06DE072E413B}"/>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N=5</c:v>
                </c:pt>
                <c:pt idx="3">
                  <c:v>Petitions, total N=1</c:v>
                </c:pt>
                <c:pt idx="4">
                  <c:v>Detentions, total N=0</c:v>
                </c:pt>
                <c:pt idx="5">
                  <c:v>Referrals, total N=14</c:v>
                </c:pt>
                <c:pt idx="6">
                  <c:v>Arrests, total N=30</c:v>
                </c:pt>
                <c:pt idx="7">
                  <c:v>Population, total N=575</c:v>
                </c:pt>
              </c:strCache>
            </c:strRef>
          </c:cat>
          <c:val>
            <c:numRef>
              <c:f>'Stacked 100%'!$I$7:$I$14</c:f>
              <c:numCache>
                <c:formatCode>0%</c:formatCode>
                <c:ptCount val="8"/>
                <c:pt idx="0">
                  <c:v>0</c:v>
                </c:pt>
                <c:pt idx="1">
                  <c:v>0</c:v>
                </c:pt>
                <c:pt idx="2">
                  <c:v>0.4</c:v>
                </c:pt>
                <c:pt idx="3">
                  <c:v>0</c:v>
                </c:pt>
                <c:pt idx="4">
                  <c:v>0</c:v>
                </c:pt>
                <c:pt idx="5">
                  <c:v>0.6428571428571429</c:v>
                </c:pt>
                <c:pt idx="6">
                  <c:v>1</c:v>
                </c:pt>
                <c:pt idx="7">
                  <c:v>0.768695652173913</c:v>
                </c:pt>
              </c:numCache>
            </c:numRef>
          </c:val>
          <c:extLst>
            <c:ext xmlns:c16="http://schemas.microsoft.com/office/drawing/2014/chart" uri="{C3380CC4-5D6E-409C-BE32-E72D297353CC}">
              <c16:uniqueId val="{00000003-B0F2-4A5B-9822-06DE072E413B}"/>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N=5</c:v>
                </c:pt>
                <c:pt idx="3">
                  <c:v>Petitions, total N=1</c:v>
                </c:pt>
                <c:pt idx="4">
                  <c:v>Detentions, total N=0</c:v>
                </c:pt>
                <c:pt idx="5">
                  <c:v>Referrals, total N=14</c:v>
                </c:pt>
                <c:pt idx="6">
                  <c:v>Arrests, total N=30</c:v>
                </c:pt>
                <c:pt idx="7">
                  <c:v>Population, total N=575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0F2-4A5B-9822-06DE072E413B}"/>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J12" sqref="J12"/>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575</v>
      </c>
      <c r="C6" s="11">
        <v>442</v>
      </c>
      <c r="D6" s="11">
        <v>13</v>
      </c>
      <c r="E6" s="11">
        <v>13</v>
      </c>
      <c r="F6" s="11">
        <v>5</v>
      </c>
      <c r="G6" s="11"/>
      <c r="H6" s="11">
        <v>102</v>
      </c>
      <c r="I6" s="11"/>
      <c r="J6" s="91">
        <f>SUM(D6:I6)</f>
        <v>133</v>
      </c>
      <c r="K6" s="92"/>
    </row>
    <row r="7" spans="1:11" ht="15.75" customHeight="1" thickBot="1" x14ac:dyDescent="0.25">
      <c r="A7" s="10" t="s">
        <v>8</v>
      </c>
      <c r="B7" s="11">
        <f t="shared" ref="B7:B15" si="0">SUM(C7:I7)+K7</f>
        <v>30</v>
      </c>
      <c r="C7" s="11">
        <v>30</v>
      </c>
      <c r="D7" s="11"/>
      <c r="E7" s="11"/>
      <c r="F7" s="11"/>
      <c r="G7" s="11"/>
      <c r="H7" s="11"/>
      <c r="I7" s="11"/>
      <c r="J7" s="91">
        <f t="shared" ref="J7:J15" si="1">SUM(D7:I7)</f>
        <v>0</v>
      </c>
      <c r="K7" s="92"/>
    </row>
    <row r="8" spans="1:11" ht="15.75" customHeight="1" thickBot="1" x14ac:dyDescent="0.25">
      <c r="A8" s="10" t="s">
        <v>9</v>
      </c>
      <c r="B8" s="11">
        <f t="shared" si="0"/>
        <v>14</v>
      </c>
      <c r="C8" s="11">
        <v>9</v>
      </c>
      <c r="D8" s="11"/>
      <c r="E8" s="11"/>
      <c r="F8" s="11"/>
      <c r="G8" s="11"/>
      <c r="H8" s="11">
        <v>2</v>
      </c>
      <c r="I8" s="11">
        <v>3</v>
      </c>
      <c r="J8" s="91">
        <f t="shared" si="1"/>
        <v>5</v>
      </c>
      <c r="K8" s="92"/>
    </row>
    <row r="9" spans="1:11" ht="15.75" customHeight="1" thickBot="1" x14ac:dyDescent="0.25">
      <c r="A9" s="10" t="s">
        <v>10</v>
      </c>
      <c r="B9" s="11">
        <f t="shared" si="0"/>
        <v>5</v>
      </c>
      <c r="C9" s="11">
        <v>3</v>
      </c>
      <c r="D9" s="11"/>
      <c r="E9" s="11"/>
      <c r="F9" s="11"/>
      <c r="G9" s="11"/>
      <c r="H9" s="11">
        <v>1</v>
      </c>
      <c r="I9" s="11">
        <v>1</v>
      </c>
      <c r="J9" s="91">
        <f t="shared" si="1"/>
        <v>2</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1</v>
      </c>
      <c r="C11" s="11"/>
      <c r="D11" s="11"/>
      <c r="E11" s="11"/>
      <c r="F11" s="11"/>
      <c r="G11" s="11"/>
      <c r="H11" s="11"/>
      <c r="I11" s="11">
        <v>1</v>
      </c>
      <c r="J11" s="91">
        <f t="shared" si="1"/>
        <v>1</v>
      </c>
      <c r="K11" s="92"/>
    </row>
    <row r="12" spans="1:11" ht="15.75" customHeight="1" thickBot="1" x14ac:dyDescent="0.25">
      <c r="A12" s="10" t="s">
        <v>13</v>
      </c>
      <c r="B12" s="11">
        <f t="shared" si="0"/>
        <v>5</v>
      </c>
      <c r="C12" s="11">
        <v>2</v>
      </c>
      <c r="D12" s="11"/>
      <c r="E12" s="11"/>
      <c r="F12" s="11"/>
      <c r="G12" s="11"/>
      <c r="H12" s="11">
        <v>1</v>
      </c>
      <c r="I12" s="11">
        <v>2</v>
      </c>
      <c r="J12" s="91">
        <f t="shared" si="1"/>
        <v>3</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Schoolcraft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442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30</v>
      </c>
      <c r="D7" s="34">
        <f>IF((AND(C66&gt;0,C7&gt;0)),(C7/C66),0)</f>
        <v>67.873303167420815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30</v>
      </c>
      <c r="Q7" s="42">
        <f>C6-C7</f>
        <v>412</v>
      </c>
      <c r="R7" s="42">
        <f t="shared" ref="R7:R15" si="5">SUM(N7:Q7)</f>
        <v>442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9</v>
      </c>
      <c r="D8" s="34">
        <f>IF((AND(C67&gt;0,C8&gt;0)),(C8/C67),0)</f>
        <v>30</v>
      </c>
      <c r="E8" s="33">
        <f>'Data Entry'!I8</f>
        <v>3</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3</v>
      </c>
      <c r="O8" s="42">
        <f>((D67*L67)-E8)+0.05</f>
        <v>-2.95</v>
      </c>
      <c r="P8" s="42">
        <f t="shared" si="4"/>
        <v>9</v>
      </c>
      <c r="Q8" s="42">
        <f>(C$67*L67)-C8</f>
        <v>21</v>
      </c>
      <c r="R8" s="42">
        <f t="shared" si="5"/>
        <v>30.05</v>
      </c>
      <c r="S8" s="30">
        <f t="shared" si="6"/>
        <v>240977.03512499999</v>
      </c>
      <c r="T8" s="30">
        <f t="shared" si="7"/>
        <v>324.89999999999884</v>
      </c>
      <c r="U8" s="31">
        <f t="shared" si="8"/>
        <v>741.69601454293888</v>
      </c>
    </row>
    <row r="9" spans="2:21" ht="18" customHeight="1" x14ac:dyDescent="0.25">
      <c r="B9" s="32" t="str">
        <f>'Data Entry'!A9</f>
        <v xml:space="preserve">4. Cases Diverted </v>
      </c>
      <c r="C9" s="33">
        <f>'Data Entry'!C9</f>
        <v>3</v>
      </c>
      <c r="D9" s="34">
        <f>IF((AND(C68&gt;0,C9&gt;0)),((C9/C68)),0)</f>
        <v>33.333333333333336</v>
      </c>
      <c r="E9" s="33">
        <f>'Data Entry'!I9</f>
        <v>1</v>
      </c>
      <c r="F9" s="34">
        <f>IF((AND($E$9&gt;0,$D$68&gt;0)),(($E$9/$D$68)),0)</f>
        <v>33.333333333333336</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1</v>
      </c>
      <c r="O9" s="42">
        <f>(D$68*L68)-E9</f>
        <v>2</v>
      </c>
      <c r="P9" s="42">
        <f t="shared" si="4"/>
        <v>3</v>
      </c>
      <c r="Q9" s="42">
        <f>(C$68*L68)-C9</f>
        <v>6</v>
      </c>
      <c r="R9" s="42">
        <f t="shared" si="5"/>
        <v>12</v>
      </c>
      <c r="S9" s="30">
        <f t="shared" si="6"/>
        <v>0</v>
      </c>
      <c r="T9" s="30">
        <f t="shared" si="7"/>
        <v>864</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9</v>
      </c>
      <c r="R10" s="42">
        <f t="shared" si="5"/>
        <v>12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1</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2</v>
      </c>
      <c r="P11" s="42">
        <f t="shared" si="4"/>
        <v>0</v>
      </c>
      <c r="Q11" s="42">
        <f>(C$68*L68)-C11</f>
        <v>9</v>
      </c>
      <c r="R11" s="42">
        <f t="shared" si="5"/>
        <v>12</v>
      </c>
      <c r="S11" s="30">
        <f t="shared" si="6"/>
        <v>972</v>
      </c>
      <c r="T11" s="30">
        <f t="shared" si="7"/>
        <v>297</v>
      </c>
      <c r="U11" s="31">
        <f t="shared" si="8"/>
        <v>3.2727272727272729</v>
      </c>
    </row>
    <row r="12" spans="2:21" ht="18" customHeight="1" x14ac:dyDescent="0.25">
      <c r="B12" s="32" t="str">
        <f>'Data Entry'!A12</f>
        <v>7. Cases Resulting in Delinquent Findings</v>
      </c>
      <c r="C12" s="33">
        <f>'Data Entry'!C12</f>
        <v>2</v>
      </c>
      <c r="D12" s="34">
        <f>IF(((AND(C69&gt;0,C12&gt;0))),(C12/(C69)),0)</f>
        <v>0</v>
      </c>
      <c r="E12" s="33">
        <f>'Data Entry'!I12</f>
        <v>2</v>
      </c>
      <c r="F12" s="34">
        <f>IF(((AND($D$69&gt;0,$E$12&gt;0))),(E12/(D69)),0)</f>
        <v>200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2</v>
      </c>
      <c r="O12" s="42">
        <f>(D69*L69)-E12</f>
        <v>-1</v>
      </c>
      <c r="P12" s="42">
        <f t="shared" si="4"/>
        <v>2</v>
      </c>
      <c r="Q12" s="42">
        <f>(C69*L69)-C12</f>
        <v>-2</v>
      </c>
      <c r="R12" s="42">
        <f t="shared" si="5"/>
        <v>1</v>
      </c>
      <c r="S12" s="30">
        <f t="shared" si="6"/>
        <v>4</v>
      </c>
      <c r="T12" s="30">
        <f t="shared" si="7"/>
        <v>0</v>
      </c>
      <c r="U12" s="31" t="e">
        <f t="shared" si="8"/>
        <v>#DIV/0!</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2</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2</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0</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0.442</v>
      </c>
      <c r="D42" s="56">
        <f>E6/1000</f>
        <v>0</v>
      </c>
      <c r="E42" s="56">
        <f>MAX(C42:D42)</f>
        <v>0.442</v>
      </c>
      <c r="G42" s="1" t="str">
        <f>B42</f>
        <v>per 1000 youth</v>
      </c>
      <c r="L42" s="57">
        <v>1000</v>
      </c>
      <c r="M42" s="57"/>
      <c r="R42" s="49"/>
    </row>
    <row r="43" spans="2:18" ht="15" hidden="1" customHeight="1" x14ac:dyDescent="0.25">
      <c r="B43" s="49" t="s">
        <v>87</v>
      </c>
      <c r="C43" s="56">
        <f>C7/100</f>
        <v>0.3</v>
      </c>
      <c r="D43" s="56">
        <f>E7/100</f>
        <v>0</v>
      </c>
      <c r="E43" s="56">
        <f>MAX(C43:D43,0)</f>
        <v>0.3</v>
      </c>
      <c r="G43" s="1" t="str">
        <f>B43</f>
        <v>per 100 arrests</v>
      </c>
      <c r="L43" s="57">
        <v>100</v>
      </c>
      <c r="M43" s="57"/>
      <c r="R43" s="49"/>
    </row>
    <row r="44" spans="2:18" ht="15" hidden="1" customHeight="1" x14ac:dyDescent="0.25">
      <c r="B44" s="49" t="s">
        <v>88</v>
      </c>
      <c r="C44" s="56">
        <f>C8/100</f>
        <v>0.09</v>
      </c>
      <c r="D44" s="56">
        <f>E8/100</f>
        <v>0.03</v>
      </c>
      <c r="E44" s="56">
        <f>MAX(C44:D44,0)</f>
        <v>0.09</v>
      </c>
      <c r="G44" s="1" t="str">
        <f>B44</f>
        <v>per 100 referrals</v>
      </c>
      <c r="L44" s="57">
        <v>100</v>
      </c>
      <c r="M44" s="57"/>
      <c r="R44" s="49"/>
    </row>
    <row r="45" spans="2:18" ht="15" hidden="1" customHeight="1" x14ac:dyDescent="0.25">
      <c r="B45" s="49" t="s">
        <v>89</v>
      </c>
      <c r="C45" s="49">
        <f>C11/100</f>
        <v>0</v>
      </c>
      <c r="D45" s="49">
        <f>E11/100</f>
        <v>0.01</v>
      </c>
      <c r="E45" s="56">
        <f>MAX(C45:D45,0)</f>
        <v>0.01</v>
      </c>
      <c r="G45" s="1" t="str">
        <f>B45</f>
        <v>per 100 youth petitioned</v>
      </c>
      <c r="L45" s="57">
        <v>100</v>
      </c>
      <c r="M45" s="57"/>
      <c r="R45" s="49"/>
    </row>
    <row r="46" spans="2:18" ht="15" hidden="1" customHeight="1" x14ac:dyDescent="0.25">
      <c r="B46" s="49" t="s">
        <v>90</v>
      </c>
      <c r="C46" s="49">
        <f>C12/100</f>
        <v>0.02</v>
      </c>
      <c r="D46" s="49">
        <f>E12/100</f>
        <v>0.02</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0.442</v>
      </c>
      <c r="D48" s="56">
        <f>D42</f>
        <v>0</v>
      </c>
      <c r="E48" s="56">
        <f>MAX(C48:D48)</f>
        <v>0.442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v>
      </c>
      <c r="D49" s="49">
        <f t="shared" si="9"/>
        <v>0</v>
      </c>
      <c r="E49" s="49">
        <f>MAX(C49:D49)</f>
        <v>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0.09</v>
      </c>
      <c r="D50" s="49">
        <f t="shared" si="9"/>
        <v>0.03</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v>
      </c>
      <c r="D51" s="49">
        <f>IF(($E45&gt;0),D45,D44)</f>
        <v>0.01</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0.02</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0.442</v>
      </c>
      <c r="D54" s="56">
        <f>D48</f>
        <v>0</v>
      </c>
      <c r="E54" s="56">
        <f>MAX(C54:D54)</f>
        <v>0.442</v>
      </c>
      <c r="G54" s="1" t="str">
        <f>G48</f>
        <v>per 1000 youth</v>
      </c>
      <c r="L54" s="58">
        <f>L48</f>
        <v>1000</v>
      </c>
      <c r="M54" s="58"/>
    </row>
    <row r="55" spans="2:18" ht="15" hidden="1" customHeight="1" x14ac:dyDescent="0.25">
      <c r="B55" s="49" t="str">
        <f t="shared" ref="B55:D56" si="10">IF(($E49&gt;0),B49,B48)</f>
        <v>per 100 arrests</v>
      </c>
      <c r="C55" s="49">
        <f t="shared" si="10"/>
        <v>0.3</v>
      </c>
      <c r="D55" s="49">
        <f t="shared" si="10"/>
        <v>0</v>
      </c>
      <c r="E55" s="49">
        <f>MAX(C55:D55)</f>
        <v>0.3</v>
      </c>
      <c r="G55" s="1" t="str">
        <f>G49</f>
        <v>per 100 arrests</v>
      </c>
      <c r="L55" s="58">
        <f>IF(($E49&gt;0),L49,L48)</f>
        <v>100</v>
      </c>
      <c r="M55" s="58"/>
    </row>
    <row r="56" spans="2:18" ht="15" hidden="1" customHeight="1" x14ac:dyDescent="0.25">
      <c r="B56" s="49" t="str">
        <f t="shared" si="10"/>
        <v>per 100 referrals</v>
      </c>
      <c r="C56" s="49">
        <f t="shared" si="10"/>
        <v>0.09</v>
      </c>
      <c r="D56" s="49">
        <f t="shared" si="10"/>
        <v>0.03</v>
      </c>
      <c r="E56" s="49">
        <f>MAX(C56:D56)</f>
        <v>0.09</v>
      </c>
      <c r="G56" s="1" t="str">
        <f>G50</f>
        <v>per 100 referrals</v>
      </c>
      <c r="L56" s="58">
        <f>IF(($E50&gt;0),L50,L49)</f>
        <v>100</v>
      </c>
      <c r="M56" s="58"/>
    </row>
    <row r="57" spans="2:18" ht="15" hidden="1" customHeight="1" x14ac:dyDescent="0.25">
      <c r="B57" s="49" t="str">
        <f>IF(($E51&gt;0),B51,B49)</f>
        <v>per 100 youth petitioned</v>
      </c>
      <c r="C57" s="49">
        <f>IF(($E51&gt;0),C51,C50)</f>
        <v>0</v>
      </c>
      <c r="D57" s="49">
        <f>IF(($E51&gt;0),D51,D50)</f>
        <v>0.01</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0.02</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0.442</v>
      </c>
      <c r="D60" s="56">
        <f>D54</f>
        <v>0</v>
      </c>
      <c r="E60" s="56">
        <f>MAX(C60:D60)</f>
        <v>0.442</v>
      </c>
      <c r="G60" s="1" t="str">
        <f>G54</f>
        <v>per 1000 youth</v>
      </c>
      <c r="L60" s="58">
        <f>L54</f>
        <v>1000</v>
      </c>
      <c r="M60" s="58"/>
    </row>
    <row r="61" spans="2:18" ht="15" hidden="1" customHeight="1" x14ac:dyDescent="0.25">
      <c r="B61" s="49" t="str">
        <f t="shared" ref="B61:D62" si="11">IF(($E55&gt;0),B55,B54)</f>
        <v>per 100 arrests</v>
      </c>
      <c r="C61" s="49">
        <f t="shared" si="11"/>
        <v>0.3</v>
      </c>
      <c r="D61" s="49">
        <f t="shared" si="11"/>
        <v>0</v>
      </c>
      <c r="E61" s="49">
        <f>MAX(C61:D61)</f>
        <v>0.3</v>
      </c>
      <c r="G61" s="1" t="str">
        <f>G55</f>
        <v>per 100 arrests</v>
      </c>
      <c r="L61" s="58">
        <f>IF(($E55&gt;0),L55,L54)</f>
        <v>100</v>
      </c>
      <c r="M61" s="58"/>
    </row>
    <row r="62" spans="2:18" ht="15" hidden="1" customHeight="1" x14ac:dyDescent="0.25">
      <c r="B62" s="49" t="str">
        <f t="shared" si="11"/>
        <v>per 100 referrals</v>
      </c>
      <c r="C62" s="49">
        <f t="shared" si="11"/>
        <v>0.09</v>
      </c>
      <c r="D62" s="49">
        <f t="shared" si="11"/>
        <v>0.03</v>
      </c>
      <c r="E62" s="49">
        <f>MAX(C62:D62)</f>
        <v>0.09</v>
      </c>
      <c r="G62" s="1" t="str">
        <f>G56</f>
        <v>per 100 referrals</v>
      </c>
      <c r="L62" s="58">
        <f>IF(($E56&gt;0),L56,L55)</f>
        <v>100</v>
      </c>
      <c r="M62" s="58"/>
    </row>
    <row r="63" spans="2:18" ht="15" hidden="1" customHeight="1" x14ac:dyDescent="0.25">
      <c r="B63" s="49" t="str">
        <f>IF(($E57&gt;0),B57,B55)</f>
        <v>per 100 youth petitioned</v>
      </c>
      <c r="C63" s="49">
        <f>IF(($E57&gt;0),C57,C56)</f>
        <v>0</v>
      </c>
      <c r="D63" s="49">
        <f>IF(($E57&gt;0),D57,D56)</f>
        <v>0.01</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0.02</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0.442</v>
      </c>
      <c r="D66" s="56">
        <f>D60</f>
        <v>0</v>
      </c>
      <c r="E66" s="56">
        <f>MAX(C66:D66)</f>
        <v>0.442</v>
      </c>
      <c r="G66" s="1" t="str">
        <f>G60</f>
        <v>per 1000 youth</v>
      </c>
      <c r="L66" s="58">
        <f>L60</f>
        <v>1000</v>
      </c>
      <c r="M66" s="58">
        <f>IF((B66=G66),1,2)</f>
        <v>1</v>
      </c>
    </row>
    <row r="67" spans="2:13" ht="15" hidden="1" customHeight="1" x14ac:dyDescent="0.25">
      <c r="B67" s="49" t="str">
        <f t="shared" ref="B67:D68" si="12">IF(($E61&gt;0),B61,B60)</f>
        <v>per 100 arrests</v>
      </c>
      <c r="C67" s="49">
        <f t="shared" si="12"/>
        <v>0.3</v>
      </c>
      <c r="D67" s="49">
        <f t="shared" si="12"/>
        <v>0</v>
      </c>
      <c r="E67" s="49">
        <f>MAX(C67:D67)</f>
        <v>0.3</v>
      </c>
      <c r="G67" s="1" t="str">
        <f>G61</f>
        <v>per 100 arrests</v>
      </c>
      <c r="L67" s="58">
        <f>IF(($E61&gt;0),L61,L60)</f>
        <v>100</v>
      </c>
      <c r="M67" s="58">
        <f>IF((B67=G67),1,2)</f>
        <v>1</v>
      </c>
    </row>
    <row r="68" spans="2:13" ht="15" hidden="1" customHeight="1" x14ac:dyDescent="0.25">
      <c r="B68" s="49" t="str">
        <f t="shared" si="12"/>
        <v>per 100 referrals</v>
      </c>
      <c r="C68" s="49">
        <f t="shared" si="12"/>
        <v>0.09</v>
      </c>
      <c r="D68" s="49">
        <f t="shared" si="12"/>
        <v>0.03</v>
      </c>
      <c r="E68" s="49">
        <f>MAX(C68:D68)</f>
        <v>0.09</v>
      </c>
      <c r="G68" s="1" t="str">
        <f>G62</f>
        <v>per 100 referrals</v>
      </c>
      <c r="L68" s="58">
        <f>IF(($E62&gt;0),L62,L61)</f>
        <v>100</v>
      </c>
      <c r="M68" s="58">
        <f>IF((B68=G68),1,2)</f>
        <v>1</v>
      </c>
    </row>
    <row r="69" spans="2:13" ht="15" hidden="1" customHeight="1" x14ac:dyDescent="0.25">
      <c r="B69" s="49" t="str">
        <f>IF(($E63&gt;0),B63,B61)</f>
        <v>per 100 youth petitioned</v>
      </c>
      <c r="C69" s="49">
        <f>IF(($E63&gt;0),C63,C62)</f>
        <v>0</v>
      </c>
      <c r="D69" s="49">
        <f>IF(($E63&gt;0),D63,D62)</f>
        <v>0.01</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0.02</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Schoolcraft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442</v>
      </c>
      <c r="D6" s="34"/>
      <c r="E6" s="33">
        <f>'Data Entry'!J6</f>
        <v>133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30</v>
      </c>
      <c r="D7" s="34">
        <f>IF((AND(C66&gt;0,C7&gt;0)),(C7/C66),0)</f>
        <v>67.873303167420815</v>
      </c>
      <c r="E7" s="33">
        <f>'Data Entry'!J7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133</v>
      </c>
      <c r="P7" s="42">
        <f t="shared" ref="P7:P15" si="4">C7</f>
        <v>30</v>
      </c>
      <c r="Q7" s="42">
        <f>C6-C7</f>
        <v>412</v>
      </c>
      <c r="R7" s="42">
        <f t="shared" ref="R7:R15" si="5">SUM(N7:Q7)</f>
        <v>575</v>
      </c>
      <c r="S7" s="30">
        <f t="shared" ref="S7:S15" si="6">R7*((((N7*Q7)-(O7*P7))^2))</f>
        <v>9154057500</v>
      </c>
      <c r="T7" s="30">
        <f t="shared" ref="T7:T15" si="7">(N7+O7)*(P7+Q7)*(N7+P7)*(O7+Q7)</f>
        <v>961151100</v>
      </c>
      <c r="U7" s="31">
        <f t="shared" ref="U7:U15" si="8">IF((S7&gt;0),S7/T7,"- -")</f>
        <v>9.5240566233550581</v>
      </c>
    </row>
    <row r="8" spans="2:21" ht="18" customHeight="1" x14ac:dyDescent="0.25">
      <c r="B8" s="32" t="str">
        <f>'Data Entry'!A8</f>
        <v>3. Refer to Juvenile Court</v>
      </c>
      <c r="C8" s="33">
        <f>'Data Entry'!C8</f>
        <v>9</v>
      </c>
      <c r="D8" s="34">
        <f>IF((AND(C67&gt;0,C8&gt;0)),(C8/C67),0)</f>
        <v>30</v>
      </c>
      <c r="E8" s="33">
        <f>'Data Entry'!J8</f>
        <v>5</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5</v>
      </c>
      <c r="O8" s="42">
        <f>((D67*L67)-E8)+0.05</f>
        <v>-4.95</v>
      </c>
      <c r="P8" s="42">
        <f t="shared" si="4"/>
        <v>9</v>
      </c>
      <c r="Q8" s="42">
        <f>(C$67*L67)-C8</f>
        <v>21</v>
      </c>
      <c r="R8" s="42">
        <f t="shared" si="5"/>
        <v>30.05</v>
      </c>
      <c r="S8" s="30">
        <f t="shared" si="6"/>
        <v>672074.3351250001</v>
      </c>
      <c r="T8" s="30">
        <f t="shared" si="7"/>
        <v>337.04999999999882</v>
      </c>
      <c r="U8" s="31">
        <f t="shared" si="8"/>
        <v>1993.9900166889258</v>
      </c>
    </row>
    <row r="9" spans="2:21" ht="18" customHeight="1" x14ac:dyDescent="0.25">
      <c r="B9" s="32" t="str">
        <f>'Data Entry'!A9</f>
        <v xml:space="preserve">4. Cases Diverted </v>
      </c>
      <c r="C9" s="33">
        <f>'Data Entry'!C9</f>
        <v>3</v>
      </c>
      <c r="D9" s="34">
        <f>IF((AND(C68&gt;0,C9&gt;0)),((C9/C68)),0)</f>
        <v>33.333333333333336</v>
      </c>
      <c r="E9" s="33">
        <f>'Data Entry'!J9</f>
        <v>2</v>
      </c>
      <c r="F9" s="34">
        <f>IF((AND($E$9&gt;0,$D$68&gt;0)),(($E$9/$D$68)),0)</f>
        <v>40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2</v>
      </c>
      <c r="O9" s="42">
        <f>(D$68*L68)-E9</f>
        <v>3</v>
      </c>
      <c r="P9" s="42">
        <f t="shared" si="4"/>
        <v>3</v>
      </c>
      <c r="Q9" s="42">
        <f>(C$68*L68)-C9</f>
        <v>6</v>
      </c>
      <c r="R9" s="42">
        <f t="shared" si="5"/>
        <v>14</v>
      </c>
      <c r="S9" s="30">
        <f t="shared" si="6"/>
        <v>126</v>
      </c>
      <c r="T9" s="30">
        <f t="shared" si="7"/>
        <v>2025</v>
      </c>
      <c r="U9" s="31">
        <f t="shared" si="8"/>
        <v>6.222222222222222E-2</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9</v>
      </c>
      <c r="R10" s="42">
        <f t="shared" si="5"/>
        <v>14</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1</v>
      </c>
      <c r="F11" s="34">
        <f>IF(((AND($E$11&gt;0,$D$68&gt;0))),($E$11/($D$68)),0)</f>
        <v>20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4</v>
      </c>
      <c r="P11" s="42">
        <f t="shared" si="4"/>
        <v>0</v>
      </c>
      <c r="Q11" s="42">
        <f>(C$68*L68)-C11</f>
        <v>9</v>
      </c>
      <c r="R11" s="42">
        <f t="shared" si="5"/>
        <v>14</v>
      </c>
      <c r="S11" s="30">
        <f t="shared" si="6"/>
        <v>1134</v>
      </c>
      <c r="T11" s="30">
        <f t="shared" si="7"/>
        <v>585</v>
      </c>
      <c r="U11" s="31">
        <f t="shared" si="8"/>
        <v>1.9384615384615385</v>
      </c>
    </row>
    <row r="12" spans="2:21" ht="18" customHeight="1" x14ac:dyDescent="0.25">
      <c r="B12" s="32" t="str">
        <f>'Data Entry'!A12</f>
        <v>7. Cases Resulting in Delinquent Findings</v>
      </c>
      <c r="C12" s="33">
        <f>'Data Entry'!C12</f>
        <v>2</v>
      </c>
      <c r="D12" s="34">
        <f>IF(((AND(C69&gt;0,C12&gt;0))),(C12/(C69)),0)</f>
        <v>0</v>
      </c>
      <c r="E12" s="33">
        <f>'Data Entry'!J12</f>
        <v>3</v>
      </c>
      <c r="F12" s="34">
        <f>IF(((AND($D$69&gt;0,$E$12&gt;0))),(E12/(D69)),0)</f>
        <v>300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3</v>
      </c>
      <c r="O12" s="42">
        <f>(D69*L69)-E12</f>
        <v>-2</v>
      </c>
      <c r="P12" s="42">
        <f t="shared" si="4"/>
        <v>2</v>
      </c>
      <c r="Q12" s="42">
        <f>(C69*L69)-C12</f>
        <v>-2</v>
      </c>
      <c r="R12" s="42">
        <f t="shared" si="5"/>
        <v>1</v>
      </c>
      <c r="S12" s="30">
        <f t="shared" si="6"/>
        <v>4</v>
      </c>
      <c r="T12" s="30">
        <f t="shared" si="7"/>
        <v>0</v>
      </c>
      <c r="U12" s="31" t="e">
        <f t="shared" si="8"/>
        <v>#DIV/0!</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2</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2</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0</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0.442</v>
      </c>
      <c r="D42" s="56">
        <f>E6/1000</f>
        <v>0.13300000000000001</v>
      </c>
      <c r="E42" s="56">
        <f>MAX(C42:D42)</f>
        <v>0.442</v>
      </c>
      <c r="G42" s="1" t="str">
        <f>B42</f>
        <v>per 1000 youth</v>
      </c>
      <c r="L42" s="57">
        <v>1000</v>
      </c>
      <c r="M42" s="57"/>
      <c r="R42" s="49"/>
    </row>
    <row r="43" spans="2:18" ht="15" hidden="1" customHeight="1" x14ac:dyDescent="0.25">
      <c r="B43" s="49" t="s">
        <v>87</v>
      </c>
      <c r="C43" s="56">
        <f>C7/100</f>
        <v>0.3</v>
      </c>
      <c r="D43" s="56">
        <f>E7/100</f>
        <v>0</v>
      </c>
      <c r="E43" s="56">
        <f>MAX(C43:D43,0)</f>
        <v>0.3</v>
      </c>
      <c r="G43" s="1" t="str">
        <f>B43</f>
        <v>per 100 arrests</v>
      </c>
      <c r="L43" s="57">
        <v>100</v>
      </c>
      <c r="M43" s="57"/>
      <c r="R43" s="49"/>
    </row>
    <row r="44" spans="2:18" ht="15" hidden="1" customHeight="1" x14ac:dyDescent="0.25">
      <c r="B44" s="49" t="s">
        <v>88</v>
      </c>
      <c r="C44" s="56">
        <f>C8/100</f>
        <v>0.09</v>
      </c>
      <c r="D44" s="56">
        <f>E8/100</f>
        <v>0.05</v>
      </c>
      <c r="E44" s="56">
        <f>MAX(C44:D44,0)</f>
        <v>0.09</v>
      </c>
      <c r="G44" s="1" t="str">
        <f>B44</f>
        <v>per 100 referrals</v>
      </c>
      <c r="L44" s="57">
        <v>100</v>
      </c>
      <c r="M44" s="57"/>
      <c r="R44" s="49"/>
    </row>
    <row r="45" spans="2:18" ht="15" hidden="1" customHeight="1" x14ac:dyDescent="0.25">
      <c r="B45" s="49" t="s">
        <v>89</v>
      </c>
      <c r="C45" s="49">
        <f>C11/100</f>
        <v>0</v>
      </c>
      <c r="D45" s="49">
        <f>E11/100</f>
        <v>0.01</v>
      </c>
      <c r="E45" s="56">
        <f>MAX(C45:D45,0)</f>
        <v>0.01</v>
      </c>
      <c r="G45" s="1" t="str">
        <f>B45</f>
        <v>per 100 youth petitioned</v>
      </c>
      <c r="L45" s="57">
        <v>100</v>
      </c>
      <c r="M45" s="57"/>
      <c r="R45" s="49"/>
    </row>
    <row r="46" spans="2:18" ht="15" hidden="1" customHeight="1" x14ac:dyDescent="0.25">
      <c r="B46" s="49" t="s">
        <v>90</v>
      </c>
      <c r="C46" s="49">
        <f>C12/100</f>
        <v>0.02</v>
      </c>
      <c r="D46" s="49">
        <f>E12/100</f>
        <v>0.03</v>
      </c>
      <c r="E46" s="56">
        <f>MAX(C46:D46)</f>
        <v>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0.442</v>
      </c>
      <c r="D48" s="56">
        <f>D42</f>
        <v>0.13300000000000001</v>
      </c>
      <c r="E48" s="56">
        <f>MAX(C48:D48)</f>
        <v>0.442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v>
      </c>
      <c r="D49" s="49">
        <f t="shared" si="9"/>
        <v>0</v>
      </c>
      <c r="E49" s="49">
        <f>MAX(C49:D49)</f>
        <v>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0.09</v>
      </c>
      <c r="D50" s="49">
        <f t="shared" si="9"/>
        <v>0.05</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v>
      </c>
      <c r="D51" s="49">
        <f>IF(($E45&gt;0),D45,D44)</f>
        <v>0.01</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0.03</v>
      </c>
      <c r="E52" s="56">
        <f>MAX(C52:D52)</f>
        <v>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0.442</v>
      </c>
      <c r="D54" s="56">
        <f>D48</f>
        <v>0.13300000000000001</v>
      </c>
      <c r="E54" s="56">
        <f>MAX(C54:D54)</f>
        <v>0.442</v>
      </c>
      <c r="G54" s="1" t="str">
        <f>G48</f>
        <v>per 1000 youth</v>
      </c>
      <c r="L54" s="58">
        <f>L48</f>
        <v>1000</v>
      </c>
      <c r="M54" s="58"/>
    </row>
    <row r="55" spans="2:18" ht="15" hidden="1" customHeight="1" x14ac:dyDescent="0.25">
      <c r="B55" s="49" t="str">
        <f t="shared" ref="B55:D56" si="10">IF(($E49&gt;0),B49,B48)</f>
        <v>per 100 arrests</v>
      </c>
      <c r="C55" s="49">
        <f t="shared" si="10"/>
        <v>0.3</v>
      </c>
      <c r="D55" s="49">
        <f t="shared" si="10"/>
        <v>0</v>
      </c>
      <c r="E55" s="49">
        <f>MAX(C55:D55)</f>
        <v>0.3</v>
      </c>
      <c r="G55" s="1" t="str">
        <f>G49</f>
        <v>per 100 arrests</v>
      </c>
      <c r="L55" s="58">
        <f>IF(($E49&gt;0),L49,L48)</f>
        <v>100</v>
      </c>
      <c r="M55" s="58"/>
    </row>
    <row r="56" spans="2:18" ht="15" hidden="1" customHeight="1" x14ac:dyDescent="0.25">
      <c r="B56" s="49" t="str">
        <f t="shared" si="10"/>
        <v>per 100 referrals</v>
      </c>
      <c r="C56" s="49">
        <f t="shared" si="10"/>
        <v>0.09</v>
      </c>
      <c r="D56" s="49">
        <f t="shared" si="10"/>
        <v>0.05</v>
      </c>
      <c r="E56" s="49">
        <f>MAX(C56:D56)</f>
        <v>0.09</v>
      </c>
      <c r="G56" s="1" t="str">
        <f>G50</f>
        <v>per 100 referrals</v>
      </c>
      <c r="L56" s="58">
        <f>IF(($E50&gt;0),L50,L49)</f>
        <v>100</v>
      </c>
      <c r="M56" s="58"/>
    </row>
    <row r="57" spans="2:18" ht="15" hidden="1" customHeight="1" x14ac:dyDescent="0.25">
      <c r="B57" s="49" t="str">
        <f>IF(($E51&gt;0),B51,B49)</f>
        <v>per 100 youth petitioned</v>
      </c>
      <c r="C57" s="49">
        <f>IF(($E51&gt;0),C51,C50)</f>
        <v>0</v>
      </c>
      <c r="D57" s="49">
        <f>IF(($E51&gt;0),D51,D50)</f>
        <v>0.01</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0.03</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0.442</v>
      </c>
      <c r="D60" s="56">
        <f>D54</f>
        <v>0.13300000000000001</v>
      </c>
      <c r="E60" s="56">
        <f>MAX(C60:D60)</f>
        <v>0.442</v>
      </c>
      <c r="G60" s="1" t="str">
        <f>G54</f>
        <v>per 1000 youth</v>
      </c>
      <c r="L60" s="58">
        <f>L54</f>
        <v>1000</v>
      </c>
      <c r="M60" s="58"/>
    </row>
    <row r="61" spans="2:18" ht="15" hidden="1" customHeight="1" x14ac:dyDescent="0.25">
      <c r="B61" s="49" t="str">
        <f t="shared" ref="B61:D62" si="11">IF(($E55&gt;0),B55,B54)</f>
        <v>per 100 arrests</v>
      </c>
      <c r="C61" s="49">
        <f t="shared" si="11"/>
        <v>0.3</v>
      </c>
      <c r="D61" s="49">
        <f t="shared" si="11"/>
        <v>0</v>
      </c>
      <c r="E61" s="49">
        <f>MAX(C61:D61)</f>
        <v>0.3</v>
      </c>
      <c r="G61" s="1" t="str">
        <f>G55</f>
        <v>per 100 arrests</v>
      </c>
      <c r="L61" s="58">
        <f>IF(($E55&gt;0),L55,L54)</f>
        <v>100</v>
      </c>
      <c r="M61" s="58"/>
    </row>
    <row r="62" spans="2:18" ht="15" hidden="1" customHeight="1" x14ac:dyDescent="0.25">
      <c r="B62" s="49" t="str">
        <f t="shared" si="11"/>
        <v>per 100 referrals</v>
      </c>
      <c r="C62" s="49">
        <f t="shared" si="11"/>
        <v>0.09</v>
      </c>
      <c r="D62" s="49">
        <f t="shared" si="11"/>
        <v>0.05</v>
      </c>
      <c r="E62" s="49">
        <f>MAX(C62:D62)</f>
        <v>0.09</v>
      </c>
      <c r="G62" s="1" t="str">
        <f>G56</f>
        <v>per 100 referrals</v>
      </c>
      <c r="L62" s="58">
        <f>IF(($E56&gt;0),L56,L55)</f>
        <v>100</v>
      </c>
      <c r="M62" s="58"/>
    </row>
    <row r="63" spans="2:18" ht="15" hidden="1" customHeight="1" x14ac:dyDescent="0.25">
      <c r="B63" s="49" t="str">
        <f>IF(($E57&gt;0),B57,B55)</f>
        <v>per 100 youth petitioned</v>
      </c>
      <c r="C63" s="49">
        <f>IF(($E57&gt;0),C57,C56)</f>
        <v>0</v>
      </c>
      <c r="D63" s="49">
        <f>IF(($E57&gt;0),D57,D56)</f>
        <v>0.01</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0.03</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0.442</v>
      </c>
      <c r="D66" s="56">
        <f>D60</f>
        <v>0.13300000000000001</v>
      </c>
      <c r="E66" s="56">
        <f>MAX(C66:D66)</f>
        <v>0.442</v>
      </c>
      <c r="G66" s="1" t="str">
        <f>G60</f>
        <v>per 1000 youth</v>
      </c>
      <c r="L66" s="58">
        <f>L60</f>
        <v>1000</v>
      </c>
      <c r="M66" s="58">
        <f>IF((B66=G66),1,2)</f>
        <v>1</v>
      </c>
    </row>
    <row r="67" spans="2:13" ht="15" hidden="1" customHeight="1" x14ac:dyDescent="0.25">
      <c r="B67" s="49" t="str">
        <f t="shared" ref="B67:D68" si="12">IF(($E61&gt;0),B61,B60)</f>
        <v>per 100 arrests</v>
      </c>
      <c r="C67" s="49">
        <f t="shared" si="12"/>
        <v>0.3</v>
      </c>
      <c r="D67" s="49">
        <f t="shared" si="12"/>
        <v>0</v>
      </c>
      <c r="E67" s="49">
        <f>MAX(C67:D67)</f>
        <v>0.3</v>
      </c>
      <c r="G67" s="1" t="str">
        <f>G61</f>
        <v>per 100 arrests</v>
      </c>
      <c r="L67" s="58">
        <f>IF(($E61&gt;0),L61,L60)</f>
        <v>100</v>
      </c>
      <c r="M67" s="58">
        <f>IF((B67=G67),1,2)</f>
        <v>1</v>
      </c>
    </row>
    <row r="68" spans="2:13" ht="15" hidden="1" customHeight="1" x14ac:dyDescent="0.25">
      <c r="B68" s="49" t="str">
        <f t="shared" si="12"/>
        <v>per 100 referrals</v>
      </c>
      <c r="C68" s="49">
        <f t="shared" si="12"/>
        <v>0.09</v>
      </c>
      <c r="D68" s="49">
        <f t="shared" si="12"/>
        <v>0.05</v>
      </c>
      <c r="E68" s="49">
        <f>MAX(C68:D68)</f>
        <v>0.09</v>
      </c>
      <c r="G68" s="1" t="str">
        <f>G62</f>
        <v>per 100 referrals</v>
      </c>
      <c r="L68" s="58">
        <f>IF(($E62&gt;0),L62,L61)</f>
        <v>100</v>
      </c>
      <c r="M68" s="58">
        <f>IF((B68=G68),1,2)</f>
        <v>1</v>
      </c>
    </row>
    <row r="69" spans="2:13" ht="15" hidden="1" customHeight="1" x14ac:dyDescent="0.25">
      <c r="B69" s="49" t="str">
        <f>IF(($E63&gt;0),B63,B61)</f>
        <v>per 100 youth petitioned</v>
      </c>
      <c r="C69" s="49">
        <f>IF(($E63&gt;0),C63,C62)</f>
        <v>0</v>
      </c>
      <c r="D69" s="49">
        <f>IF(($E63&gt;0),D63,D62)</f>
        <v>0.01</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0.03</v>
      </c>
      <c r="E70" s="56">
        <f>MAX(C70:D70)</f>
        <v>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Schoolcraft</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20</v>
      </c>
      <c r="Q7" s="1" t="e">
        <f>'Other - Mixed'!L7</f>
        <v>#VALUE!</v>
      </c>
      <c r="R7" s="1">
        <f>'All Minorities'!L7</f>
        <v>20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20</v>
      </c>
      <c r="Q8" s="1">
        <f>'Other - Mixed'!L8</f>
        <v>119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f>'Am Indian'!L9</f>
        <v>40</v>
      </c>
      <c r="Q9" s="1" t="e">
        <f>'Other - Mixed'!L9</f>
        <v>#VALUE!</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f>'Am Indian'!L12</f>
        <v>40</v>
      </c>
      <c r="Q12" s="1" t="e">
        <f>'Other - Mixed'!L12</f>
        <v>#DIV/0!</v>
      </c>
      <c r="R12" s="1" t="e">
        <f>'All Minorities'!L12</f>
        <v>#DIV/0!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575</v>
      </c>
      <c r="D3" s="57">
        <f>'Data Entry'!C6</f>
        <v>442</v>
      </c>
      <c r="E3" s="57">
        <f>'Data Entry'!D6</f>
        <v>13</v>
      </c>
      <c r="F3" s="57">
        <f>'Data Entry'!E6</f>
        <v>13</v>
      </c>
      <c r="G3" s="57">
        <f>'Data Entry'!F6</f>
        <v>5</v>
      </c>
      <c r="H3" s="57">
        <f>'Data Entry'!G6</f>
        <v>0</v>
      </c>
      <c r="I3" s="57">
        <f>'Data Entry'!H6</f>
        <v>102</v>
      </c>
      <c r="J3" s="57">
        <f>'Data Entry'!I6</f>
        <v>0</v>
      </c>
      <c r="K3" s="57">
        <f>'Data Entry'!J6</f>
        <v>133</v>
      </c>
    </row>
    <row r="4" spans="2:11" ht="15" customHeight="1" x14ac:dyDescent="0.25">
      <c r="B4" s="16" t="s">
        <v>8</v>
      </c>
      <c r="C4" s="1">
        <f>IF((C$3&gt;0),(1000*('Data Entry'!B7/'Data Entry'!B$6)), 0)</f>
        <v>52.173913043478258</v>
      </c>
      <c r="D4" s="1">
        <f>IF((D$3&gt;0),(1000*('Data Entry'!C7/'Data Entry'!C$6)), 0)</f>
        <v>67.873303167420815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24.34782608695652</v>
      </c>
      <c r="D5" s="1">
        <f>IF((D$3&gt;0),(1000*('Data Entry'!C8/'Data Entry'!C$6)), 0)</f>
        <v>20.361990950226247</v>
      </c>
      <c r="E5" s="1">
        <f>IF((E$3&gt;0),(1000*('Data Entry'!D8/'Data Entry'!D$6)), 0)</f>
        <v>0</v>
      </c>
      <c r="F5" s="1">
        <f>IF((F$3&gt;0),(1000*('Data Entry'!E8/'Data Entry'!E$6)), 0)</f>
        <v>0</v>
      </c>
      <c r="G5" s="1">
        <f>IF((G$3&gt;0),(1000*('Data Entry'!F8/'Data Entry'!F$6)), 0)</f>
        <v>0</v>
      </c>
      <c r="H5" s="1">
        <f>IF((H$3&gt;0),(1000*('Data Entry'!G8/'Data Entry'!G$6)), 0)</f>
        <v>0</v>
      </c>
      <c r="I5" s="1">
        <f>IF((I$3&gt;0),(1000*('Data Entry'!H8/'Data Entry'!H$6)), 0)</f>
        <v>19.607843137254903</v>
      </c>
      <c r="J5" s="1">
        <f>IF((J$3&gt;0),(1000*('Data Entry'!I8/'Data Entry'!I$6)), 0)</f>
        <v>0</v>
      </c>
      <c r="K5" s="1">
        <f>IF((K$3&gt;0),(1000*('Data Entry'!J8/'Data Entry'!J$6)), 0)</f>
        <v>37.593984962406012</v>
      </c>
    </row>
    <row r="6" spans="2:11" ht="15" customHeight="1" x14ac:dyDescent="0.25">
      <c r="B6" s="16" t="s">
        <v>10</v>
      </c>
      <c r="C6" s="1">
        <f>IF((C$3&gt;0),(1000*('Data Entry'!B9/'Data Entry'!B$6)), 0)</f>
        <v>8.695652173913043</v>
      </c>
      <c r="D6" s="1">
        <f>IF((D$3&gt;0),(1000*('Data Entry'!C9/'Data Entry'!C$6)), 0)</f>
        <v>6.7873303167420813</v>
      </c>
      <c r="E6" s="1">
        <f>IF((E$3&gt;0),(1000*('Data Entry'!D9/'Data Entry'!D$6)), 0)</f>
        <v>0</v>
      </c>
      <c r="F6" s="1">
        <f>IF((F$3&gt;0),(1000*('Data Entry'!E9/'Data Entry'!E$6)), 0)</f>
        <v>0</v>
      </c>
      <c r="G6" s="1">
        <f>IF((G$3&gt;0),(1000*('Data Entry'!F9/'Data Entry'!F$6)), 0)</f>
        <v>0</v>
      </c>
      <c r="H6" s="1">
        <f>IF((H$3&gt;0),(1000*('Data Entry'!G9/'Data Entry'!G$6)), 0)</f>
        <v>0</v>
      </c>
      <c r="I6" s="1">
        <f>IF((I$3&gt;0),(1000*('Data Entry'!H9/'Data Entry'!H$6)), 0)</f>
        <v>9.8039215686274517</v>
      </c>
      <c r="J6" s="1">
        <f>IF((J$3&gt;0),(1000*('Data Entry'!I9/'Data Entry'!I$6)), 0)</f>
        <v>0</v>
      </c>
      <c r="K6" s="1">
        <f>IF((K$3&gt;0),(1000*('Data Entry'!J9/'Data Entry'!J$6)), 0)</f>
        <v>15.037593984962406</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1.7391304347826089</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7.518796992481203</v>
      </c>
    </row>
    <row r="9" spans="2:11" ht="15" customHeight="1" x14ac:dyDescent="0.25">
      <c r="B9" s="16" t="s">
        <v>13</v>
      </c>
      <c r="C9" s="1">
        <f>IF((C$3&gt;0),(1000*('Data Entry'!B12/'Data Entry'!B$6)), 0)</f>
        <v>8.695652173913043</v>
      </c>
      <c r="D9" s="1">
        <f>IF((D$3&gt;0),(1000*('Data Entry'!C12/'Data Entry'!C$6)), 0)</f>
        <v>4.5248868778280551</v>
      </c>
      <c r="E9" s="1">
        <f>IF((E$3&gt;0),(1000*('Data Entry'!D12/'Data Entry'!D$6)), 0)</f>
        <v>0</v>
      </c>
      <c r="F9" s="1">
        <f>IF((F$3&gt;0),(1000*('Data Entry'!E12/'Data Entry'!E$6)), 0)</f>
        <v>0</v>
      </c>
      <c r="G9" s="1">
        <f>IF((G$3&gt;0),(1000*('Data Entry'!F12/'Data Entry'!F$6)), 0)</f>
        <v>0</v>
      </c>
      <c r="H9" s="1">
        <f>IF((H$3&gt;0),(1000*('Data Entry'!G12/'Data Entry'!G$6)), 0)</f>
        <v>0</v>
      </c>
      <c r="I9" s="1">
        <f>IF((I$3&gt;0),(1000*('Data Entry'!H12/'Data Entry'!H$6)), 0)</f>
        <v>9.8039215686274517</v>
      </c>
      <c r="J9" s="1">
        <f>IF((J$3&gt;0),(1000*('Data Entry'!I12/'Data Entry'!I$6)), 0)</f>
        <v>0</v>
      </c>
      <c r="K9" s="1">
        <f>IF((K$3&gt;0),(1000*('Data Entry'!J12/'Data Entry'!J$6)), 0)</f>
        <v>22.556390977443609</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Schoolcraft</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f t="shared" si="2"/>
        <v>0.96296296296296291</v>
      </c>
      <c r="I20" s="72" t="str">
        <f t="shared" si="2"/>
        <v>--</v>
      </c>
      <c r="J20" s="73">
        <f t="shared" si="2"/>
        <v>1.8462823725981616</v>
      </c>
    </row>
    <row r="21" spans="2:10" ht="15" customHeight="1" x14ac:dyDescent="0.25">
      <c r="B21" s="71" t="s">
        <v>10</v>
      </c>
      <c r="C21" s="72">
        <f t="shared" si="2"/>
        <v>1</v>
      </c>
      <c r="D21" s="72" t="str">
        <f t="shared" si="2"/>
        <v>--</v>
      </c>
      <c r="E21" s="72" t="str">
        <f t="shared" si="2"/>
        <v>--</v>
      </c>
      <c r="F21" s="72" t="str">
        <f t="shared" si="2"/>
        <v>--</v>
      </c>
      <c r="G21" s="72" t="str">
        <f t="shared" si="2"/>
        <v>--</v>
      </c>
      <c r="H21" s="72">
        <f t="shared" si="2"/>
        <v>1.4444444444444446</v>
      </c>
      <c r="I21" s="72" t="str">
        <f t="shared" si="2"/>
        <v>--</v>
      </c>
      <c r="J21" s="73">
        <f t="shared" si="2"/>
        <v>2.2155388471177946</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f t="shared" si="2"/>
        <v>2.1666666666666665</v>
      </c>
      <c r="I24" s="72" t="str">
        <f t="shared" si="2"/>
        <v>--</v>
      </c>
      <c r="J24" s="73">
        <f t="shared" si="2"/>
        <v>4.984962406015037</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Schoolcraft</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442</v>
      </c>
      <c r="D7" s="105">
        <f>'Data Entry'!D6</f>
        <v>13</v>
      </c>
      <c r="E7" s="106"/>
      <c r="F7" s="107">
        <f>'Data Entry'!E6</f>
        <v>13</v>
      </c>
      <c r="G7" s="106"/>
      <c r="H7" s="107">
        <f>'Data Entry'!F6</f>
        <v>5</v>
      </c>
      <c r="I7" s="106"/>
      <c r="J7" s="107">
        <f>'Data Entry'!G6</f>
        <v>0</v>
      </c>
      <c r="K7" s="106"/>
      <c r="L7" s="107">
        <f>'Data Entry'!H6</f>
        <v>102</v>
      </c>
      <c r="M7" s="106"/>
      <c r="N7" s="107">
        <f>'Data Entry'!I6</f>
        <v>0</v>
      </c>
      <c r="O7" s="106"/>
      <c r="P7" s="107">
        <f>'Data Entry'!J6</f>
        <v>133</v>
      </c>
      <c r="Q7" s="108"/>
    </row>
    <row r="8" spans="2:26" s="1" customFormat="1" ht="15" customHeight="1" x14ac:dyDescent="0.3">
      <c r="B8" s="149" t="s">
        <v>8</v>
      </c>
      <c r="C8" s="104">
        <f>'Data Entry'!C7</f>
        <v>30</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20</v>
      </c>
      <c r="Y8" s="1" t="e">
        <f>'Other - Mixed'!L7</f>
        <v>#VALUE!</v>
      </c>
      <c r="Z8" s="1">
        <f>'All Minorities'!L7</f>
        <v>20</v>
      </c>
    </row>
    <row r="9" spans="2:26" s="1" customFormat="1" ht="15" customHeight="1" x14ac:dyDescent="0.3">
      <c r="B9" s="149" t="s">
        <v>134</v>
      </c>
      <c r="C9" s="104">
        <f>'Data Entry'!C8</f>
        <v>9</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2</v>
      </c>
      <c r="M9" s="110" t="str">
        <f>'Am Indian'!G8</f>
        <v>**</v>
      </c>
      <c r="N9" s="111">
        <f>'Data Entry'!I8</f>
        <v>3</v>
      </c>
      <c r="O9" s="110" t="str">
        <f>'Other - Mixed'!G8</f>
        <v>*</v>
      </c>
      <c r="P9" s="111">
        <f>'Data Entry'!J8</f>
        <v>5</v>
      </c>
      <c r="Q9" s="112" t="str">
        <f>'All Minorities'!G8</f>
        <v>**</v>
      </c>
      <c r="R9"/>
      <c r="T9" s="1">
        <f>'Black or African-American'!L8</f>
        <v>40</v>
      </c>
      <c r="U9" s="1">
        <f>Hispanic!L8</f>
        <v>40</v>
      </c>
      <c r="V9" s="1">
        <f>Asian!L8</f>
        <v>139</v>
      </c>
      <c r="W9" s="1">
        <f>Hawaiian!L8</f>
        <v>139</v>
      </c>
      <c r="X9" s="1">
        <f>'Am Indian'!L8</f>
        <v>20</v>
      </c>
      <c r="Y9" s="1">
        <f>'Other - Mixed'!L8</f>
        <v>119</v>
      </c>
      <c r="Z9" s="1">
        <f>'All Minorities'!L8</f>
        <v>20</v>
      </c>
    </row>
    <row r="10" spans="2:26" s="1" customFormat="1" ht="15" customHeight="1" x14ac:dyDescent="0.3">
      <c r="B10" s="149" t="s">
        <v>10</v>
      </c>
      <c r="C10" s="104">
        <f>'Data Entry'!C9</f>
        <v>3</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1</v>
      </c>
      <c r="M10" s="114" t="str">
        <f>'Am Indian'!G9</f>
        <v>**</v>
      </c>
      <c r="N10" s="115">
        <f>'Data Entry'!I9</f>
        <v>1</v>
      </c>
      <c r="O10" s="114" t="str">
        <f>'Other - Mixed'!G9</f>
        <v>*</v>
      </c>
      <c r="P10" s="115">
        <f>'Data Entry'!J9</f>
        <v>2</v>
      </c>
      <c r="Q10" s="116" t="str">
        <f>'All Minorities'!G9</f>
        <v>**</v>
      </c>
      <c r="R10"/>
      <c r="T10" s="1" t="e">
        <f>'Black or African-American'!L9</f>
        <v>#VALUE!</v>
      </c>
      <c r="U10" s="1" t="e">
        <f>Hispanic!L9</f>
        <v>#VALUE!</v>
      </c>
      <c r="V10" s="1" t="e">
        <f>Asian!L9</f>
        <v>#VALUE!</v>
      </c>
      <c r="W10" s="1" t="e">
        <f>Hawaiian!L9</f>
        <v>#VALUE!</v>
      </c>
      <c r="X10" s="1">
        <f>'Am Indian'!L9</f>
        <v>40</v>
      </c>
      <c r="Y10" s="1" t="e">
        <f>'Other - Mixed'!L9</f>
        <v>#VALUE!</v>
      </c>
      <c r="Z10" s="1">
        <f>'All Minorities'!L9</f>
        <v>40</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1</v>
      </c>
      <c r="O12" s="114" t="str">
        <f>'Other - Mixed'!G11</f>
        <v>*</v>
      </c>
      <c r="P12" s="115">
        <f>'Data Entry'!J11</f>
        <v>1</v>
      </c>
      <c r="Q12" s="116" t="str">
        <f>'All Minorities'!G11</f>
        <v>**</v>
      </c>
      <c r="R12"/>
      <c r="T12" s="1" t="e">
        <f>'Black or African-American'!L11</f>
        <v>#VALUE!</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2</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1</v>
      </c>
      <c r="M13" s="110" t="str">
        <f>'Am Indian'!G12</f>
        <v>**</v>
      </c>
      <c r="N13" s="111">
        <f>'Data Entry'!I12</f>
        <v>2</v>
      </c>
      <c r="O13" s="110" t="str">
        <f>'Other - Mixed'!G12</f>
        <v>*</v>
      </c>
      <c r="P13" s="111">
        <f>'Data Entry'!J12</f>
        <v>3</v>
      </c>
      <c r="Q13" s="112" t="str">
        <f>'All Minorities'!G12</f>
        <v>--</v>
      </c>
      <c r="R13"/>
      <c r="T13" s="1" t="e">
        <f>'Black or African-American'!L12</f>
        <v>#VALUE!</v>
      </c>
      <c r="U13" s="1" t="e">
        <f>Hispanic!L12</f>
        <v>#VALUE!</v>
      </c>
      <c r="V13" s="1" t="e">
        <f>Asian!L12</f>
        <v>#VALUE!</v>
      </c>
      <c r="W13" s="1" t="e">
        <f>Hawaiian!L12</f>
        <v>#VALUE!</v>
      </c>
      <c r="X13" s="1">
        <f>'Am Indian'!L12</f>
        <v>40</v>
      </c>
      <c r="Y13" s="1" t="e">
        <f>'Other - Mixed'!L12</f>
        <v>#DIV/0!</v>
      </c>
      <c r="Z13" s="1" t="e">
        <f>'All Minorities'!L12</f>
        <v>#DIV/0!</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Schoolcraft</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Schoolcraft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3.3233082706766917</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3.3233082706766917</v>
      </c>
    </row>
    <row r="9" spans="1:12" x14ac:dyDescent="0.2">
      <c r="A9" s="132" t="str">
        <f>CONCATENATE("Delinquent Findings, total N=", 'Data Entry'!B12)</f>
        <v>Delinquent Findings, total N=5</v>
      </c>
      <c r="B9" s="157">
        <f>'Data Entry'!D12/'Data Entry'!B12</f>
        <v>0</v>
      </c>
      <c r="C9" s="157">
        <f>'Data Entry'!E12/'Data Entry'!B12</f>
        <v>0</v>
      </c>
      <c r="D9" s="157">
        <f>'Data Entry'!F12/'Data Entry'!B12</f>
        <v>0</v>
      </c>
      <c r="E9" s="157">
        <f>'Data Entry'!G12/'Data Entry'!B12</f>
        <v>0</v>
      </c>
      <c r="F9" s="157">
        <f>'Data Entry'!H12/'Data Entry'!B12</f>
        <v>0.2</v>
      </c>
      <c r="G9" s="157">
        <f>'Data Entry'!I12/'Data Entry'!B12</f>
        <v>0.4</v>
      </c>
      <c r="H9" s="157">
        <f>SUM(D9:G9)/'Data Entry'!B12</f>
        <v>0.12000000000000002</v>
      </c>
      <c r="I9" s="157">
        <f>'Data Entry'!C12/'Data Entry'!B12</f>
        <v>0.4</v>
      </c>
      <c r="K9" s="97" t="str">
        <f t="shared" si="0"/>
        <v>Delinquent Findings, total N=5</v>
      </c>
      <c r="L9">
        <f>I14/(SUM(B14:G14))</f>
        <v>3.3233082706766917</v>
      </c>
    </row>
    <row r="10" spans="1:12" x14ac:dyDescent="0.2">
      <c r="A10" s="132" t="str">
        <f>CONCATENATE("Petitions, total N=", 'Data Entry'!B11)</f>
        <v>Petitions, total N=1</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1</v>
      </c>
      <c r="H10" s="157">
        <f>SUM(D10:G10)/'Data Entry'!B11</f>
        <v>1</v>
      </c>
      <c r="I10" s="157">
        <f>'Data Entry'!C11/'Data Entry'!B11</f>
        <v>0</v>
      </c>
      <c r="K10" s="97" t="str">
        <f t="shared" si="0"/>
        <v>Petitions, total N=1</v>
      </c>
      <c r="L10">
        <f>I14/(SUM(B14:G14))</f>
        <v>3.3233082706766917</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3.3233082706766917</v>
      </c>
    </row>
    <row r="12" spans="1:12" x14ac:dyDescent="0.2">
      <c r="A12" s="132" t="str">
        <f>CONCATENATE("Referrals, total N=", 'Data Entry'!B8)</f>
        <v>Referrals, total N=14</v>
      </c>
      <c r="B12" s="157">
        <f>'Data Entry'!D8/'Data Entry'!B8</f>
        <v>0</v>
      </c>
      <c r="C12" s="157">
        <f>'Data Entry'!E8/'Data Entry'!B8</f>
        <v>0</v>
      </c>
      <c r="D12" s="157">
        <f>'Data Entry'!F8/'Data Entry'!B8</f>
        <v>0</v>
      </c>
      <c r="E12" s="157">
        <f>'Data Entry'!G8/'Data Entry'!B8</f>
        <v>0</v>
      </c>
      <c r="F12" s="157">
        <f>'Data Entry'!H8/'Data Entry'!B8</f>
        <v>0.14285714285714285</v>
      </c>
      <c r="G12" s="157">
        <f>'Data Entry'!I8/'Data Entry'!B8</f>
        <v>0.21428571428571427</v>
      </c>
      <c r="H12" s="157">
        <f>SUM(D12:G12)/'Data Entry'!B8</f>
        <v>2.551020408163265E-2</v>
      </c>
      <c r="I12" s="157">
        <f>'Data Entry'!C8/'Data Entry'!B8</f>
        <v>0.6428571428571429</v>
      </c>
      <c r="K12" s="97" t="str">
        <f t="shared" si="0"/>
        <v>Referrals, total N=14</v>
      </c>
      <c r="L12">
        <f>I14/(SUM(B14:G14))</f>
        <v>3.3233082706766917</v>
      </c>
    </row>
    <row r="13" spans="1:12" x14ac:dyDescent="0.2">
      <c r="A13" s="132" t="str">
        <f>CONCATENATE("Arrests, total N=", 'Data Entry'!B7)</f>
        <v>Arrests, total N=30</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N=30</v>
      </c>
      <c r="L13">
        <f>I14/(SUM(B14:G14))</f>
        <v>3.3233082706766917</v>
      </c>
    </row>
    <row r="14" spans="1:12" x14ac:dyDescent="0.2">
      <c r="A14" s="132" t="str">
        <f>CONCATENATE("Population, total N=", 'Data Entry'!B6)</f>
        <v>Population, total N=575</v>
      </c>
      <c r="B14" s="157">
        <f>'Data Entry'!D6/'Data Entry'!B6</f>
        <v>2.2608695652173914E-2</v>
      </c>
      <c r="C14" s="157">
        <f>'Data Entry'!E6/'Data Entry'!B6</f>
        <v>2.2608695652173914E-2</v>
      </c>
      <c r="D14" s="157">
        <f>'Data Entry'!F6/'Data Entry'!B6</f>
        <v>8.6956521739130436E-3</v>
      </c>
      <c r="E14" s="157">
        <f>'Data Entry'!G6/'Data Entry'!B6</f>
        <v>0</v>
      </c>
      <c r="F14" s="157">
        <f>'Data Entry'!H6/'Data Entry'!B6</f>
        <v>0.17739130434782607</v>
      </c>
      <c r="G14" s="157">
        <f>'Data Entry'!I6/'Data Entry'!B6</f>
        <v>0</v>
      </c>
      <c r="H14" s="157">
        <f>SUM(D14:G14)/'Data Entry'!B6</f>
        <v>3.2362948960302455E-4</v>
      </c>
      <c r="I14" s="157">
        <f>'Data Entry'!C6/'Data Entry'!B6</f>
        <v>0.768695652173913</v>
      </c>
      <c r="K14" s="97" t="str">
        <f t="shared" si="0"/>
        <v>Population, total N=575</v>
      </c>
      <c r="L14">
        <f>I14/(SUM(B14:G14))</f>
        <v>3.3233082706766917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Schoolcraft</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442</v>
      </c>
      <c r="D7" s="105">
        <f>'Data Entry'!D6</f>
        <v>13</v>
      </c>
      <c r="E7" s="106"/>
      <c r="F7" s="107">
        <f>'Data Entry'!E6</f>
        <v>13</v>
      </c>
      <c r="G7" s="106"/>
      <c r="H7" s="107">
        <f>'Data Entry'!F6</f>
        <v>5</v>
      </c>
      <c r="I7" s="106"/>
      <c r="J7" s="107">
        <f>'Data Entry'!J6</f>
        <v>133</v>
      </c>
      <c r="K7" s="108"/>
    </row>
    <row r="8" spans="2:30" s="1" customFormat="1" ht="15" customHeight="1" x14ac:dyDescent="0.3">
      <c r="B8" s="125" t="s">
        <v>8</v>
      </c>
      <c r="C8" s="104">
        <f>'Data Entry'!C7</f>
        <v>30</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20</v>
      </c>
      <c r="S8" s="1" t="e">
        <f>'Other - Mixed'!L7</f>
        <v>#VALUE!</v>
      </c>
      <c r="T8" s="1">
        <f>'All Minorities'!L7</f>
        <v>20</v>
      </c>
    </row>
    <row r="9" spans="2:30" s="1" customFormat="1" ht="15" customHeight="1" x14ac:dyDescent="0.3">
      <c r="B9" s="125" t="s">
        <v>134</v>
      </c>
      <c r="C9" s="104">
        <f>'Data Entry'!C8</f>
        <v>9</v>
      </c>
      <c r="D9" s="109">
        <f>'Data Entry'!D8</f>
        <v>0</v>
      </c>
      <c r="E9" s="110" t="str">
        <f>'Black or African-American'!$G8</f>
        <v>**</v>
      </c>
      <c r="F9" s="111">
        <f>'Data Entry'!E8</f>
        <v>0</v>
      </c>
      <c r="G9" s="110" t="str">
        <f>Hispanic!G8</f>
        <v>**</v>
      </c>
      <c r="H9" s="111">
        <f>'Data Entry'!F8</f>
        <v>0</v>
      </c>
      <c r="I9" s="110" t="str">
        <f>Asian!G8</f>
        <v>*</v>
      </c>
      <c r="J9" s="111">
        <f>'Data Entry'!J8</f>
        <v>5</v>
      </c>
      <c r="K9" s="112" t="str">
        <f>'All Minorities'!G8</f>
        <v>**</v>
      </c>
      <c r="L9"/>
      <c r="N9" s="1">
        <f>'Black or African-American'!L8</f>
        <v>40</v>
      </c>
      <c r="O9" s="1">
        <f>Hispanic!L8</f>
        <v>40</v>
      </c>
      <c r="P9" s="1">
        <f>Asian!L8</f>
        <v>139</v>
      </c>
      <c r="Q9" s="1">
        <f>Hawaiian!L8</f>
        <v>139</v>
      </c>
      <c r="R9" s="1">
        <f>'Am Indian'!L8</f>
        <v>20</v>
      </c>
      <c r="S9" s="1">
        <f>'Other - Mixed'!L8</f>
        <v>119</v>
      </c>
      <c r="T9" s="1">
        <f>'All Minorities'!L8</f>
        <v>20</v>
      </c>
    </row>
    <row r="10" spans="2:30" s="1" customFormat="1" ht="15" customHeight="1" x14ac:dyDescent="0.3">
      <c r="B10" s="125" t="s">
        <v>10</v>
      </c>
      <c r="C10" s="104">
        <f>'Data Entry'!C9</f>
        <v>3</v>
      </c>
      <c r="D10" s="113">
        <f>'Data Entry'!D9</f>
        <v>0</v>
      </c>
      <c r="E10" s="114" t="str">
        <f>'Black or African-American'!$G9</f>
        <v>--</v>
      </c>
      <c r="F10" s="115">
        <f>'Data Entry'!E9</f>
        <v>0</v>
      </c>
      <c r="G10" s="114" t="str">
        <f>Hispanic!G9</f>
        <v>--</v>
      </c>
      <c r="H10" s="115">
        <f>'Data Entry'!F9</f>
        <v>0</v>
      </c>
      <c r="I10" s="114" t="str">
        <f>Asian!G9</f>
        <v>*</v>
      </c>
      <c r="J10" s="115">
        <f>'Data Entry'!J9</f>
        <v>2</v>
      </c>
      <c r="K10" s="116" t="str">
        <f>'All Minorities'!G9</f>
        <v>**</v>
      </c>
      <c r="L10"/>
      <c r="N10" s="1" t="e">
        <f>'Black or African-American'!L9</f>
        <v>#VALUE!</v>
      </c>
      <c r="O10" s="1" t="e">
        <f>Hispanic!L9</f>
        <v>#VALUE!</v>
      </c>
      <c r="P10" s="1" t="e">
        <f>Asian!L9</f>
        <v>#VALUE!</v>
      </c>
      <c r="Q10" s="1" t="e">
        <f>Hawaiian!L9</f>
        <v>#VALUE!</v>
      </c>
      <c r="R10" s="1">
        <f>'Am Indian'!L9</f>
        <v>40</v>
      </c>
      <c r="S10" s="1" t="e">
        <f>'Other - Mixed'!L9</f>
        <v>#VALUE!</v>
      </c>
      <c r="T10" s="1">
        <f>'All Minorities'!L9</f>
        <v>40</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1</v>
      </c>
      <c r="K12" s="116" t="str">
        <f>'All Minorities'!G11</f>
        <v>**</v>
      </c>
      <c r="L12"/>
      <c r="N12" s="1" t="e">
        <f>'Black or African-American'!L11</f>
        <v>#VALUE!</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2</v>
      </c>
      <c r="D13" s="109">
        <f>'Data Entry'!D12</f>
        <v>0</v>
      </c>
      <c r="E13" s="110" t="str">
        <f>'Black or African-American'!$G12</f>
        <v>--</v>
      </c>
      <c r="F13" s="111">
        <f>'Data Entry'!E12</f>
        <v>0</v>
      </c>
      <c r="G13" s="110" t="str">
        <f>Hispanic!G12</f>
        <v>--</v>
      </c>
      <c r="H13" s="111">
        <f>'Data Entry'!F12</f>
        <v>0</v>
      </c>
      <c r="I13" s="110" t="str">
        <f>Asian!G12</f>
        <v>*</v>
      </c>
      <c r="J13" s="111">
        <f>'Data Entry'!J12</f>
        <v>3</v>
      </c>
      <c r="K13" s="112" t="str">
        <f>'All Minorities'!G12</f>
        <v>--</v>
      </c>
      <c r="L13"/>
      <c r="N13" s="1" t="e">
        <f>'Black or African-American'!L12</f>
        <v>#VALUE!</v>
      </c>
      <c r="O13" s="1" t="e">
        <f>Hispanic!L12</f>
        <v>#VALUE!</v>
      </c>
      <c r="P13" s="1" t="e">
        <f>Asian!L12</f>
        <v>#VALUE!</v>
      </c>
      <c r="Q13" s="1" t="e">
        <f>Hawaiian!L12</f>
        <v>#VALUE!</v>
      </c>
      <c r="R13" s="1">
        <f>'Am Indian'!L12</f>
        <v>40</v>
      </c>
      <c r="S13" s="1" t="e">
        <f>'Other - Mixed'!L12</f>
        <v>#DIV/0!</v>
      </c>
      <c r="T13" s="1" t="e">
        <f>'All Minorities'!L12</f>
        <v>#DIV/0!</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Schoolcraft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442</v>
      </c>
      <c r="D6" s="34"/>
      <c r="E6" s="33">
        <f>'Data Entry'!D6</f>
        <v>13</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30</v>
      </c>
      <c r="D7" s="34">
        <f>IF((AND(C66&gt;0,C7&gt;0)),(C7/C66),0)</f>
        <v>67.873303167420815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13</v>
      </c>
      <c r="P7" s="42">
        <f t="shared" ref="P7:P15" si="2">C7</f>
        <v>30</v>
      </c>
      <c r="Q7" s="42">
        <f>C6-C7</f>
        <v>412</v>
      </c>
      <c r="R7" s="42">
        <f t="shared" ref="R7:R15" si="3">SUM(N7:Q7)</f>
        <v>455</v>
      </c>
      <c r="S7" s="30">
        <f t="shared" ref="S7:S15" si="4">R7*((((N7*Q7)-(O7*P7))^2))</f>
        <v>69205500</v>
      </c>
      <c r="T7" s="30">
        <f t="shared" ref="T7:T15" si="5">(N7+O7)*(P7+Q7)*(N7+P7)*(O7+Q7)</f>
        <v>73261500</v>
      </c>
      <c r="U7" s="31">
        <f t="shared" ref="U7:U15" si="6">IF((S7&gt;0),S7/T7,"- -")</f>
        <v>0.94463667820069208</v>
      </c>
    </row>
    <row r="8" spans="2:21" ht="18" customHeight="1" x14ac:dyDescent="0.25">
      <c r="B8" s="32" t="str">
        <f>'Data Entry'!A8</f>
        <v>3. Refer to Juvenile Court</v>
      </c>
      <c r="C8" s="33">
        <f>'Data Entry'!C8</f>
        <v>9</v>
      </c>
      <c r="D8" s="34">
        <f>IF((AND(C67&gt;0,C8&gt;0)),(C8/C67),0)</f>
        <v>30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9</v>
      </c>
      <c r="Q8" s="42">
        <f>(C$67*L67)-C8</f>
        <v>21</v>
      </c>
      <c r="R8" s="42">
        <f t="shared" si="3"/>
        <v>30.05</v>
      </c>
      <c r="S8" s="30">
        <f t="shared" si="4"/>
        <v>6.0851250000000006</v>
      </c>
      <c r="T8" s="30">
        <f t="shared" si="5"/>
        <v>284.17500000000001</v>
      </c>
      <c r="U8" s="31">
        <f t="shared" si="6"/>
        <v>2.1413301662707839E-2</v>
      </c>
    </row>
    <row r="9" spans="2:21" ht="18" customHeight="1" x14ac:dyDescent="0.25">
      <c r="B9" s="32" t="str">
        <f>'Data Entry'!A9</f>
        <v xml:space="preserve">4. Cases Diverted </v>
      </c>
      <c r="C9" s="33">
        <f>'Data Entry'!C9</f>
        <v>3</v>
      </c>
      <c r="D9" s="34">
        <f>IF((AND(C68&gt;0,C9&gt;0)),((C9/C68)),0)</f>
        <v>33.333333333333336</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3</v>
      </c>
      <c r="Q9" s="42">
        <f>(C$68*L68)-C9</f>
        <v>6</v>
      </c>
      <c r="R9" s="42">
        <f t="shared" si="3"/>
        <v>9</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9</v>
      </c>
      <c r="R10" s="42">
        <f t="shared" si="3"/>
        <v>9</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9</v>
      </c>
      <c r="R11" s="42">
        <f t="shared" si="3"/>
        <v>9</v>
      </c>
      <c r="S11" s="30">
        <f t="shared" si="4"/>
        <v>0</v>
      </c>
      <c r="T11" s="30">
        <f t="shared" si="5"/>
        <v>0</v>
      </c>
      <c r="U11" s="31" t="str">
        <f t="shared" si="6"/>
        <v>- -</v>
      </c>
    </row>
    <row r="12" spans="2:21" ht="18" customHeight="1" x14ac:dyDescent="0.25">
      <c r="B12" s="32" t="str">
        <f>'Data Entry'!A12</f>
        <v>7. Cases Resulting in Delinquent Findings</v>
      </c>
      <c r="C12" s="33">
        <f>'Data Entry'!C12</f>
        <v>2</v>
      </c>
      <c r="D12" s="34">
        <f>IF(((AND(C69&gt;0,C12&gt;0))),(C12/(C69)),0)</f>
        <v>22.222222222222221</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v>
      </c>
      <c r="Q12" s="42">
        <f>(C69*L69)-C12</f>
        <v>7</v>
      </c>
      <c r="R12" s="42">
        <f t="shared" si="3"/>
        <v>9</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v>
      </c>
      <c r="R13" s="42">
        <f t="shared" si="3"/>
        <v>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9</v>
      </c>
      <c r="R15" s="42">
        <f t="shared" si="3"/>
        <v>9</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0.442</v>
      </c>
      <c r="D42" s="56">
        <f>E6/1000</f>
        <v>1.2999999999999999E-2</v>
      </c>
      <c r="E42" s="56">
        <f>MAX(C42:D42)</f>
        <v>0.442</v>
      </c>
      <c r="G42" s="1" t="str">
        <f>B42</f>
        <v>per 1000 youth</v>
      </c>
      <c r="L42" s="57">
        <v>1000</v>
      </c>
      <c r="M42" s="57"/>
      <c r="R42" s="49"/>
    </row>
    <row r="43" spans="2:18" ht="15" hidden="1" customHeight="1" x14ac:dyDescent="0.25">
      <c r="B43" s="49" t="s">
        <v>87</v>
      </c>
      <c r="C43" s="56">
        <f>C7/100</f>
        <v>0.3</v>
      </c>
      <c r="D43" s="56">
        <f>E7/100</f>
        <v>0</v>
      </c>
      <c r="E43" s="56">
        <f>MAX(C43:D43,0)</f>
        <v>0.3</v>
      </c>
      <c r="G43" s="1" t="str">
        <f>B43</f>
        <v>per 100 arrests</v>
      </c>
      <c r="L43" s="57">
        <v>100</v>
      </c>
      <c r="M43" s="57"/>
      <c r="R43" s="49"/>
    </row>
    <row r="44" spans="2:18" ht="15" hidden="1" customHeight="1" x14ac:dyDescent="0.25">
      <c r="B44" s="49" t="s">
        <v>88</v>
      </c>
      <c r="C44" s="56">
        <f>C8/100</f>
        <v>0.09</v>
      </c>
      <c r="D44" s="56">
        <f>E8/100</f>
        <v>0</v>
      </c>
      <c r="E44" s="56">
        <f>MAX(C44:D44,0)</f>
        <v>0.09</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0.442</v>
      </c>
      <c r="D48" s="56">
        <f>D42</f>
        <v>1.2999999999999999E-2</v>
      </c>
      <c r="E48" s="56">
        <f>MAX(C48:D48)</f>
        <v>0.442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0.3</v>
      </c>
      <c r="D49" s="49">
        <f t="shared" si="9"/>
        <v>0</v>
      </c>
      <c r="E49" s="49">
        <f>MAX(C49:D49)</f>
        <v>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0.442</v>
      </c>
      <c r="D54" s="56">
        <f>D48</f>
        <v>1.2999999999999999E-2</v>
      </c>
      <c r="E54" s="56">
        <f>MAX(C54:D54)</f>
        <v>0.442</v>
      </c>
      <c r="G54" s="1" t="str">
        <f>G48</f>
        <v>per 1000 youth</v>
      </c>
      <c r="L54" s="58">
        <f>L48</f>
        <v>1000</v>
      </c>
      <c r="M54" s="58"/>
    </row>
    <row r="55" spans="2:18" ht="15" hidden="1" customHeight="1" x14ac:dyDescent="0.25">
      <c r="B55" s="49" t="str">
        <f t="shared" ref="B55:D56" si="10">IF(($E49&gt;0),B49,B48)</f>
        <v>per 100 arrests</v>
      </c>
      <c r="C55" s="49">
        <f t="shared" si="10"/>
        <v>0.3</v>
      </c>
      <c r="D55" s="49">
        <f t="shared" si="10"/>
        <v>0</v>
      </c>
      <c r="E55" s="49">
        <f>MAX(C55:D55)</f>
        <v>0.3</v>
      </c>
      <c r="G55" s="1" t="str">
        <f>G49</f>
        <v>per 100 arrests</v>
      </c>
      <c r="L55" s="58">
        <f>IF(($E49&gt;0),L49,L48)</f>
        <v>100</v>
      </c>
      <c r="M55" s="58"/>
    </row>
    <row r="56" spans="2:18" ht="15" hidden="1" customHeight="1" x14ac:dyDescent="0.25">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0.442</v>
      </c>
      <c r="D60" s="56">
        <f>D54</f>
        <v>1.2999999999999999E-2</v>
      </c>
      <c r="E60" s="56">
        <f>MAX(C60:D60)</f>
        <v>0.442</v>
      </c>
      <c r="G60" s="1" t="str">
        <f>G54</f>
        <v>per 1000 youth</v>
      </c>
      <c r="L60" s="58">
        <f>L54</f>
        <v>1000</v>
      </c>
      <c r="M60" s="58"/>
    </row>
    <row r="61" spans="2:18" ht="15" hidden="1" customHeight="1" x14ac:dyDescent="0.25">
      <c r="B61" s="49" t="str">
        <f t="shared" ref="B61:D62" si="11">IF(($E55&gt;0),B55,B54)</f>
        <v>per 100 arrests</v>
      </c>
      <c r="C61" s="49">
        <f t="shared" si="11"/>
        <v>0.3</v>
      </c>
      <c r="D61" s="49">
        <f t="shared" si="11"/>
        <v>0</v>
      </c>
      <c r="E61" s="49">
        <f>MAX(C61:D61)</f>
        <v>0.3</v>
      </c>
      <c r="G61" s="1" t="str">
        <f>G55</f>
        <v>per 100 arrests</v>
      </c>
      <c r="L61" s="58">
        <f>IF(($E55&gt;0),L55,L54)</f>
        <v>100</v>
      </c>
      <c r="M61" s="58"/>
    </row>
    <row r="62" spans="2:18" ht="15" hidden="1" customHeight="1" x14ac:dyDescent="0.25">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0.442</v>
      </c>
      <c r="D66" s="56">
        <f>D60</f>
        <v>1.2999999999999999E-2</v>
      </c>
      <c r="E66" s="56">
        <f>MAX(C66:D66)</f>
        <v>0.442</v>
      </c>
      <c r="G66" s="1" t="str">
        <f>G60</f>
        <v>per 1000 youth</v>
      </c>
      <c r="L66" s="58">
        <f>L60</f>
        <v>1000</v>
      </c>
      <c r="M66" s="58">
        <f>IF((B66=G66),1,2)</f>
        <v>1</v>
      </c>
    </row>
    <row r="67" spans="2:13" ht="15" hidden="1" customHeight="1" x14ac:dyDescent="0.25">
      <c r="B67" s="49" t="str">
        <f t="shared" ref="B67:D68" si="12">IF(($E61&gt;0),B61,B60)</f>
        <v>per 100 arrests</v>
      </c>
      <c r="C67" s="49">
        <f t="shared" si="12"/>
        <v>0.3</v>
      </c>
      <c r="D67" s="49">
        <f t="shared" si="12"/>
        <v>0</v>
      </c>
      <c r="E67" s="49">
        <f>MAX(C67:D67)</f>
        <v>0.3</v>
      </c>
      <c r="G67" s="1" t="str">
        <f>G61</f>
        <v>per 100 arrests</v>
      </c>
      <c r="L67" s="58">
        <f>IF(($E61&gt;0),L61,L60)</f>
        <v>100</v>
      </c>
      <c r="M67" s="58">
        <f>IF((B67=G67),1,2)</f>
        <v>1</v>
      </c>
    </row>
    <row r="68" spans="2:13" ht="15" hidden="1" customHeight="1" x14ac:dyDescent="0.25">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Schoolcraft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442</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30</v>
      </c>
      <c r="D7" s="34">
        <f>IF((AND(C66&gt;0,C7&gt;0)),(C7/C66),0)</f>
        <v>67.873303167420815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30</v>
      </c>
      <c r="Q7" s="42">
        <f>C6-C7</f>
        <v>412</v>
      </c>
      <c r="R7" s="42">
        <f t="shared" ref="R7:R15" si="5">SUM(N7:Q7)</f>
        <v>447</v>
      </c>
      <c r="S7" s="30">
        <f t="shared" ref="S7:S15" si="6">R7*((((N7*Q7)-(O7*P7))^2))</f>
        <v>10057500</v>
      </c>
      <c r="T7" s="30">
        <f t="shared" ref="T7:T15" si="7">(N7+O7)*(P7+Q7)*(N7+P7)*(O7+Q7)</f>
        <v>27647100</v>
      </c>
      <c r="U7" s="31">
        <f t="shared" ref="U7:U15" si="8">IF((S7&gt;0),S7/T7,"- -")</f>
        <v>0.36378137309157199</v>
      </c>
    </row>
    <row r="8" spans="2:21" ht="18" customHeight="1" x14ac:dyDescent="0.25">
      <c r="B8" s="32" t="str">
        <f>'Data Entry'!A8</f>
        <v>3. Refer to Juvenile Court</v>
      </c>
      <c r="C8" s="33">
        <f>'Data Entry'!C8</f>
        <v>9</v>
      </c>
      <c r="D8" s="34">
        <f>IF((AND(C67&gt;0,C8&gt;0)),(C8/C67),0)</f>
        <v>30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v>
      </c>
      <c r="Q8" s="42">
        <f>(C$67*L67)-C8</f>
        <v>21</v>
      </c>
      <c r="R8" s="42">
        <f t="shared" si="5"/>
        <v>30.05</v>
      </c>
      <c r="S8" s="30">
        <f t="shared" si="6"/>
        <v>6.0851250000000006</v>
      </c>
      <c r="T8" s="30">
        <f t="shared" si="7"/>
        <v>284.17500000000001</v>
      </c>
      <c r="U8" s="31">
        <f t="shared" si="8"/>
        <v>2.1413301662707839E-2</v>
      </c>
    </row>
    <row r="9" spans="2:21" ht="18" customHeight="1" x14ac:dyDescent="0.25">
      <c r="B9" s="32" t="str">
        <f>'Data Entry'!A9</f>
        <v xml:space="preserve">4. Cases Diverted </v>
      </c>
      <c r="C9" s="33">
        <f>'Data Entry'!C9</f>
        <v>3</v>
      </c>
      <c r="D9" s="34">
        <f>IF((AND(C68&gt;0,C9&gt;0)),((C9/C68)),0)</f>
        <v>33.333333333333336</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6</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22.222222222222221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7</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0.442</v>
      </c>
      <c r="D42" s="56">
        <f>E6/1000</f>
        <v>5.0000000000000001E-3</v>
      </c>
      <c r="E42" s="56">
        <f>MAX(C42:D42)</f>
        <v>0.442</v>
      </c>
      <c r="G42" s="1" t="str">
        <f>B42</f>
        <v>per 1000 youth</v>
      </c>
      <c r="L42" s="57">
        <v>1000</v>
      </c>
      <c r="M42" s="57"/>
      <c r="R42" s="49"/>
    </row>
    <row r="43" spans="2:18" ht="15" hidden="1" customHeight="1" x14ac:dyDescent="0.25">
      <c r="B43" s="49" t="s">
        <v>87</v>
      </c>
      <c r="C43" s="56">
        <f>C7/100</f>
        <v>0.3</v>
      </c>
      <c r="D43" s="56">
        <f>E7/100</f>
        <v>0</v>
      </c>
      <c r="E43" s="56">
        <f>MAX(C43:D43,0)</f>
        <v>0.3</v>
      </c>
      <c r="G43" s="1" t="str">
        <f>B43</f>
        <v>per 100 arrests</v>
      </c>
      <c r="L43" s="57">
        <v>100</v>
      </c>
      <c r="M43" s="57"/>
      <c r="R43" s="49"/>
    </row>
    <row r="44" spans="2:18" ht="15" hidden="1" customHeight="1" x14ac:dyDescent="0.25">
      <c r="B44" s="49" t="s">
        <v>88</v>
      </c>
      <c r="C44" s="56">
        <f>C8/100</f>
        <v>0.09</v>
      </c>
      <c r="D44" s="56">
        <f>E8/100</f>
        <v>0</v>
      </c>
      <c r="E44" s="56">
        <f>MAX(C44:D44,0)</f>
        <v>0.09</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0.442</v>
      </c>
      <c r="D48" s="56">
        <f>D42</f>
        <v>5.0000000000000001E-3</v>
      </c>
      <c r="E48" s="56">
        <f>MAX(C48:D48)</f>
        <v>0.442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v>
      </c>
      <c r="D49" s="49">
        <f t="shared" si="9"/>
        <v>0</v>
      </c>
      <c r="E49" s="49">
        <f>MAX(C49:D49)</f>
        <v>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0.442</v>
      </c>
      <c r="D54" s="56">
        <f>D48</f>
        <v>5.0000000000000001E-3</v>
      </c>
      <c r="E54" s="56">
        <f>MAX(C54:D54)</f>
        <v>0.442</v>
      </c>
      <c r="G54" s="1" t="str">
        <f>G48</f>
        <v>per 1000 youth</v>
      </c>
      <c r="L54" s="58">
        <f>L48</f>
        <v>1000</v>
      </c>
      <c r="M54" s="58"/>
    </row>
    <row r="55" spans="2:18" ht="15" hidden="1" customHeight="1" x14ac:dyDescent="0.25">
      <c r="B55" s="49" t="str">
        <f t="shared" ref="B55:D56" si="10">IF(($E49&gt;0),B49,B48)</f>
        <v>per 100 arrests</v>
      </c>
      <c r="C55" s="49">
        <f t="shared" si="10"/>
        <v>0.3</v>
      </c>
      <c r="D55" s="49">
        <f t="shared" si="10"/>
        <v>0</v>
      </c>
      <c r="E55" s="49">
        <f>MAX(C55:D55)</f>
        <v>0.3</v>
      </c>
      <c r="G55" s="1" t="str">
        <f>G49</f>
        <v>per 100 arrests</v>
      </c>
      <c r="L55" s="58">
        <f>IF(($E49&gt;0),L49,L48)</f>
        <v>100</v>
      </c>
      <c r="M55" s="58"/>
    </row>
    <row r="56" spans="2:18" ht="15" hidden="1" customHeight="1" x14ac:dyDescent="0.25">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0.442</v>
      </c>
      <c r="D60" s="56">
        <f>D54</f>
        <v>5.0000000000000001E-3</v>
      </c>
      <c r="E60" s="56">
        <f>MAX(C60:D60)</f>
        <v>0.442</v>
      </c>
      <c r="G60" s="1" t="str">
        <f>G54</f>
        <v>per 1000 youth</v>
      </c>
      <c r="L60" s="58">
        <f>L54</f>
        <v>1000</v>
      </c>
      <c r="M60" s="58"/>
    </row>
    <row r="61" spans="2:18" ht="15" hidden="1" customHeight="1" x14ac:dyDescent="0.25">
      <c r="B61" s="49" t="str">
        <f t="shared" ref="B61:D62" si="11">IF(($E55&gt;0),B55,B54)</f>
        <v>per 100 arrests</v>
      </c>
      <c r="C61" s="49">
        <f t="shared" si="11"/>
        <v>0.3</v>
      </c>
      <c r="D61" s="49">
        <f t="shared" si="11"/>
        <v>0</v>
      </c>
      <c r="E61" s="49">
        <f>MAX(C61:D61)</f>
        <v>0.3</v>
      </c>
      <c r="G61" s="1" t="str">
        <f>G55</f>
        <v>per 100 arrests</v>
      </c>
      <c r="L61" s="58">
        <f>IF(($E55&gt;0),L55,L54)</f>
        <v>100</v>
      </c>
      <c r="M61" s="58"/>
    </row>
    <row r="62" spans="2:18" ht="15" hidden="1" customHeight="1" x14ac:dyDescent="0.25">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0.442</v>
      </c>
      <c r="D66" s="56">
        <f>D60</f>
        <v>5.0000000000000001E-3</v>
      </c>
      <c r="E66" s="56">
        <f>MAX(C66:D66)</f>
        <v>0.442</v>
      </c>
      <c r="G66" s="1" t="str">
        <f>G60</f>
        <v>per 1000 youth</v>
      </c>
      <c r="L66" s="58">
        <f>L60</f>
        <v>1000</v>
      </c>
      <c r="M66" s="58">
        <f>IF((B66=G66),1,2)</f>
        <v>1</v>
      </c>
    </row>
    <row r="67" spans="2:13" ht="15" hidden="1" customHeight="1" x14ac:dyDescent="0.25">
      <c r="B67" s="49" t="str">
        <f t="shared" ref="B67:D68" si="12">IF(($E61&gt;0),B61,B60)</f>
        <v>per 100 arrests</v>
      </c>
      <c r="C67" s="49">
        <f t="shared" si="12"/>
        <v>0.3</v>
      </c>
      <c r="D67" s="49">
        <f t="shared" si="12"/>
        <v>0</v>
      </c>
      <c r="E67" s="49">
        <f>MAX(C67:D67)</f>
        <v>0.3</v>
      </c>
      <c r="G67" s="1" t="str">
        <f>G61</f>
        <v>per 100 arrests</v>
      </c>
      <c r="L67" s="58">
        <f>IF(($E61&gt;0),L61,L60)</f>
        <v>100</v>
      </c>
      <c r="M67" s="58">
        <f>IF((B67=G67),1,2)</f>
        <v>1</v>
      </c>
    </row>
    <row r="68" spans="2:13" ht="15" hidden="1" customHeight="1" x14ac:dyDescent="0.25">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Schoolcraft</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442</v>
      </c>
      <c r="D6" s="34"/>
      <c r="E6" s="33">
        <f>'Data Entry'!E6</f>
        <v>13</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30</v>
      </c>
      <c r="D7" s="34">
        <f>IF((AND(C66&gt;0,C7&gt;0)),(C7/C66),0)</f>
        <v>67.873303167420815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v>
      </c>
      <c r="P7" s="42">
        <f t="shared" ref="P7:P15" si="4">C7</f>
        <v>30</v>
      </c>
      <c r="Q7" s="42">
        <f>C6-C7</f>
        <v>412</v>
      </c>
      <c r="R7" s="42">
        <f t="shared" ref="R7:R15" si="5">SUM(N7:Q7)</f>
        <v>455</v>
      </c>
      <c r="S7" s="30">
        <f t="shared" ref="S7:S15" si="6">R7*((((N7*Q7)-(O7*P7))^2))</f>
        <v>69205500</v>
      </c>
      <c r="T7" s="30">
        <f t="shared" ref="T7:T15" si="7">(N7+O7)*(P7+Q7)*(N7+P7)*(O7+Q7)</f>
        <v>73261500</v>
      </c>
      <c r="U7" s="31">
        <f t="shared" ref="U7:U15" si="8">IF((S7&gt;0),S7/T7,"- -")</f>
        <v>0.94463667820069208</v>
      </c>
    </row>
    <row r="8" spans="2:21" ht="18" customHeight="1" x14ac:dyDescent="0.25">
      <c r="B8" s="32" t="str">
        <f>'Data Entry'!A8</f>
        <v>3. Refer to Juvenile Court</v>
      </c>
      <c r="C8" s="33">
        <f>'Data Entry'!C8</f>
        <v>9</v>
      </c>
      <c r="D8" s="34">
        <f>IF((AND(C67&gt;0,C8&gt;0)),(C8/C67),0)</f>
        <v>30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v>
      </c>
      <c r="Q8" s="42">
        <f>(C$67*L67)-C8</f>
        <v>21</v>
      </c>
      <c r="R8" s="42">
        <f t="shared" si="5"/>
        <v>30.05</v>
      </c>
      <c r="S8" s="30">
        <f t="shared" si="6"/>
        <v>6.0851250000000006</v>
      </c>
      <c r="T8" s="30">
        <f t="shared" si="7"/>
        <v>284.17500000000001</v>
      </c>
      <c r="U8" s="31">
        <f t="shared" si="8"/>
        <v>2.1413301662707839E-2</v>
      </c>
    </row>
    <row r="9" spans="2:21" ht="18" customHeight="1" x14ac:dyDescent="0.25">
      <c r="B9" s="32" t="str">
        <f>'Data Entry'!A9</f>
        <v xml:space="preserve">4. Cases Diverted </v>
      </c>
      <c r="C9" s="33">
        <f>'Data Entry'!C9</f>
        <v>3</v>
      </c>
      <c r="D9" s="34">
        <f>IF((AND(C68&gt;0,C9&gt;0)),((C9/C68)),0)</f>
        <v>33.333333333333336</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6</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22.222222222222221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7</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0.442</v>
      </c>
      <c r="D42" s="56">
        <f>E6/1000</f>
        <v>1.2999999999999999E-2</v>
      </c>
      <c r="E42" s="56">
        <f>MAX(C42:D42)</f>
        <v>0.442</v>
      </c>
      <c r="G42" s="1" t="str">
        <f>B42</f>
        <v>per 1000 youth</v>
      </c>
      <c r="L42" s="57">
        <v>1000</v>
      </c>
      <c r="M42" s="57"/>
      <c r="R42" s="49"/>
    </row>
    <row r="43" spans="2:18" ht="15" hidden="1" customHeight="1" x14ac:dyDescent="0.25">
      <c r="B43" s="49" t="s">
        <v>87</v>
      </c>
      <c r="C43" s="56">
        <f>C7/100</f>
        <v>0.3</v>
      </c>
      <c r="D43" s="56">
        <f>E7/100</f>
        <v>0</v>
      </c>
      <c r="E43" s="56">
        <f>MAX(C43:D43,0)</f>
        <v>0.3</v>
      </c>
      <c r="G43" s="1" t="str">
        <f>B43</f>
        <v>per 100 arrests</v>
      </c>
      <c r="L43" s="57">
        <v>100</v>
      </c>
      <c r="M43" s="57"/>
      <c r="R43" s="49"/>
    </row>
    <row r="44" spans="2:18" ht="15" hidden="1" customHeight="1" x14ac:dyDescent="0.25">
      <c r="B44" s="49" t="s">
        <v>88</v>
      </c>
      <c r="C44" s="56">
        <f>C8/100</f>
        <v>0.09</v>
      </c>
      <c r="D44" s="56">
        <f>E8/100</f>
        <v>0</v>
      </c>
      <c r="E44" s="56">
        <f>MAX(C44:D44,0)</f>
        <v>0.09</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0.442</v>
      </c>
      <c r="D48" s="56">
        <f>D42</f>
        <v>1.2999999999999999E-2</v>
      </c>
      <c r="E48" s="56">
        <f>MAX(C48:D48)</f>
        <v>0.442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v>
      </c>
      <c r="D49" s="49">
        <f t="shared" si="9"/>
        <v>0</v>
      </c>
      <c r="E49" s="49">
        <f>MAX(C49:D49)</f>
        <v>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0.442</v>
      </c>
      <c r="D54" s="56">
        <f>D48</f>
        <v>1.2999999999999999E-2</v>
      </c>
      <c r="E54" s="56">
        <f>MAX(C54:D54)</f>
        <v>0.442</v>
      </c>
      <c r="G54" s="1" t="str">
        <f>G48</f>
        <v>per 1000 youth</v>
      </c>
      <c r="L54" s="58">
        <f>L48</f>
        <v>1000</v>
      </c>
      <c r="M54" s="58"/>
    </row>
    <row r="55" spans="2:18" ht="15" hidden="1" customHeight="1" x14ac:dyDescent="0.25">
      <c r="B55" s="49" t="str">
        <f t="shared" ref="B55:D56" si="10">IF(($E49&gt;0),B49,B48)</f>
        <v>per 100 arrests</v>
      </c>
      <c r="C55" s="49">
        <f t="shared" si="10"/>
        <v>0.3</v>
      </c>
      <c r="D55" s="49">
        <f t="shared" si="10"/>
        <v>0</v>
      </c>
      <c r="E55" s="49">
        <f>MAX(C55:D55)</f>
        <v>0.3</v>
      </c>
      <c r="G55" s="1" t="str">
        <f>G49</f>
        <v>per 100 arrests</v>
      </c>
      <c r="L55" s="58">
        <f>IF(($E49&gt;0),L49,L48)</f>
        <v>100</v>
      </c>
      <c r="M55" s="58"/>
    </row>
    <row r="56" spans="2:18" ht="15" hidden="1" customHeight="1" x14ac:dyDescent="0.25">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0.442</v>
      </c>
      <c r="D60" s="56">
        <f>D54</f>
        <v>1.2999999999999999E-2</v>
      </c>
      <c r="E60" s="56">
        <f>MAX(C60:D60)</f>
        <v>0.442</v>
      </c>
      <c r="G60" s="1" t="str">
        <f>G54</f>
        <v>per 1000 youth</v>
      </c>
      <c r="L60" s="58">
        <f>L54</f>
        <v>1000</v>
      </c>
      <c r="M60" s="58"/>
    </row>
    <row r="61" spans="2:18" ht="15" hidden="1" customHeight="1" x14ac:dyDescent="0.25">
      <c r="B61" s="49" t="str">
        <f t="shared" ref="B61:D62" si="11">IF(($E55&gt;0),B55,B54)</f>
        <v>per 100 arrests</v>
      </c>
      <c r="C61" s="49">
        <f t="shared" si="11"/>
        <v>0.3</v>
      </c>
      <c r="D61" s="49">
        <f t="shared" si="11"/>
        <v>0</v>
      </c>
      <c r="E61" s="49">
        <f>MAX(C61:D61)</f>
        <v>0.3</v>
      </c>
      <c r="G61" s="1" t="str">
        <f>G55</f>
        <v>per 100 arrests</v>
      </c>
      <c r="L61" s="58">
        <f>IF(($E55&gt;0),L55,L54)</f>
        <v>100</v>
      </c>
      <c r="M61" s="58"/>
    </row>
    <row r="62" spans="2:18" ht="15" hidden="1" customHeight="1" x14ac:dyDescent="0.25">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0.442</v>
      </c>
      <c r="D66" s="56">
        <f>D60</f>
        <v>1.2999999999999999E-2</v>
      </c>
      <c r="E66" s="56">
        <f>MAX(C66:D66)</f>
        <v>0.442</v>
      </c>
      <c r="G66" s="1" t="str">
        <f>G60</f>
        <v>per 1000 youth</v>
      </c>
      <c r="L66" s="58">
        <f>L60</f>
        <v>1000</v>
      </c>
      <c r="M66" s="58">
        <f>IF((B66=G66),1,2)</f>
        <v>1</v>
      </c>
    </row>
    <row r="67" spans="2:13" ht="15" hidden="1" customHeight="1" x14ac:dyDescent="0.25">
      <c r="B67" s="49" t="str">
        <f t="shared" ref="B67:D68" si="12">IF(($E61&gt;0),B61,B60)</f>
        <v>per 100 arrests</v>
      </c>
      <c r="C67" s="49">
        <f t="shared" si="12"/>
        <v>0.3</v>
      </c>
      <c r="D67" s="49">
        <f t="shared" si="12"/>
        <v>0</v>
      </c>
      <c r="E67" s="49">
        <f>MAX(C67:D67)</f>
        <v>0.3</v>
      </c>
      <c r="G67" s="1" t="str">
        <f>G61</f>
        <v>per 100 arrests</v>
      </c>
      <c r="L67" s="58">
        <f>IF(($E61&gt;0),L61,L60)</f>
        <v>100</v>
      </c>
      <c r="M67" s="58">
        <f>IF((B67=G67),1,2)</f>
        <v>1</v>
      </c>
    </row>
    <row r="68" spans="2:13" ht="15" hidden="1" customHeight="1" x14ac:dyDescent="0.25">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Schoolcraft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442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30</v>
      </c>
      <c r="D7" s="34">
        <f>IF((AND(C66&gt;0,C7&gt;0)),(C7/C66),0)</f>
        <v>67.873303167420815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30</v>
      </c>
      <c r="Q7" s="42">
        <f>C6-C7</f>
        <v>412</v>
      </c>
      <c r="R7" s="42">
        <f t="shared" ref="R7:R15" si="5">SUM(N7:Q7)</f>
        <v>442</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9</v>
      </c>
      <c r="D8" s="34">
        <f>IF((AND(C67&gt;0,C8&gt;0)),(C8/C67),0)</f>
        <v>30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v>
      </c>
      <c r="Q8" s="42">
        <f>(C$67*L67)-C8</f>
        <v>21</v>
      </c>
      <c r="R8" s="42">
        <f t="shared" si="5"/>
        <v>30.05</v>
      </c>
      <c r="S8" s="30">
        <f t="shared" si="6"/>
        <v>6.0851250000000006</v>
      </c>
      <c r="T8" s="30">
        <f t="shared" si="7"/>
        <v>284.17500000000001</v>
      </c>
      <c r="U8" s="31">
        <f t="shared" si="8"/>
        <v>2.1413301662707839E-2</v>
      </c>
    </row>
    <row r="9" spans="2:21" ht="18" customHeight="1" x14ac:dyDescent="0.25">
      <c r="B9" s="32" t="str">
        <f>'Data Entry'!A9</f>
        <v xml:space="preserve">4. Cases Diverted </v>
      </c>
      <c r="C9" s="33">
        <f>'Data Entry'!C9</f>
        <v>3</v>
      </c>
      <c r="D9" s="34">
        <f>IF((AND(C68&gt;0,C9&gt;0)),((C9/C68)),0)</f>
        <v>33.333333333333336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6</v>
      </c>
      <c r="R9" s="42">
        <f t="shared" si="5"/>
        <v>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9</v>
      </c>
      <c r="R11" s="42">
        <f t="shared" si="5"/>
        <v>9</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22.222222222222221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7</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0.442</v>
      </c>
      <c r="D42" s="56">
        <f>E6/1000</f>
        <v>0</v>
      </c>
      <c r="E42" s="56">
        <f>MAX(C42:D42)</f>
        <v>0.442</v>
      </c>
      <c r="G42" s="1" t="str">
        <f>B42</f>
        <v>per 1000 youth</v>
      </c>
      <c r="L42" s="57">
        <v>1000</v>
      </c>
      <c r="M42" s="57"/>
      <c r="R42" s="49"/>
    </row>
    <row r="43" spans="2:18" ht="15" hidden="1" customHeight="1" x14ac:dyDescent="0.25">
      <c r="B43" s="49" t="s">
        <v>87</v>
      </c>
      <c r="C43" s="56">
        <f>C7/100</f>
        <v>0.3</v>
      </c>
      <c r="D43" s="56">
        <f>E7/100</f>
        <v>0</v>
      </c>
      <c r="E43" s="56">
        <f>MAX(C43:D43,0)</f>
        <v>0.3</v>
      </c>
      <c r="G43" s="1" t="str">
        <f>B43</f>
        <v>per 100 arrests</v>
      </c>
      <c r="L43" s="57">
        <v>100</v>
      </c>
      <c r="M43" s="57"/>
      <c r="R43" s="49"/>
    </row>
    <row r="44" spans="2:18" ht="15" hidden="1" customHeight="1" x14ac:dyDescent="0.25">
      <c r="B44" s="49" t="s">
        <v>88</v>
      </c>
      <c r="C44" s="56">
        <f>C8/100</f>
        <v>0.09</v>
      </c>
      <c r="D44" s="56">
        <f>E8/100</f>
        <v>0</v>
      </c>
      <c r="E44" s="56">
        <f>MAX(C44:D44,0)</f>
        <v>0.09</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0.442</v>
      </c>
      <c r="D48" s="56">
        <f>D42</f>
        <v>0</v>
      </c>
      <c r="E48" s="56">
        <f>MAX(C48:D48)</f>
        <v>0.442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v>
      </c>
      <c r="D49" s="49">
        <f t="shared" si="9"/>
        <v>0</v>
      </c>
      <c r="E49" s="49">
        <f>MAX(C49:D49)</f>
        <v>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0.442</v>
      </c>
      <c r="D54" s="56">
        <f>D48</f>
        <v>0</v>
      </c>
      <c r="E54" s="56">
        <f>MAX(C54:D54)</f>
        <v>0.442</v>
      </c>
      <c r="G54" s="1" t="str">
        <f>G48</f>
        <v>per 1000 youth</v>
      </c>
      <c r="L54" s="58">
        <f>L48</f>
        <v>1000</v>
      </c>
      <c r="M54" s="58"/>
    </row>
    <row r="55" spans="2:18" ht="15" hidden="1" customHeight="1" x14ac:dyDescent="0.25">
      <c r="B55" s="49" t="str">
        <f t="shared" ref="B55:D56" si="10">IF(($E49&gt;0),B49,B48)</f>
        <v>per 100 arrests</v>
      </c>
      <c r="C55" s="49">
        <f t="shared" si="10"/>
        <v>0.3</v>
      </c>
      <c r="D55" s="49">
        <f t="shared" si="10"/>
        <v>0</v>
      </c>
      <c r="E55" s="49">
        <f>MAX(C55:D55)</f>
        <v>0.3</v>
      </c>
      <c r="G55" s="1" t="str">
        <f>G49</f>
        <v>per 100 arrests</v>
      </c>
      <c r="L55" s="58">
        <f>IF(($E49&gt;0),L49,L48)</f>
        <v>100</v>
      </c>
      <c r="M55" s="58"/>
    </row>
    <row r="56" spans="2:18" ht="15" hidden="1" customHeight="1" x14ac:dyDescent="0.25">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0.442</v>
      </c>
      <c r="D60" s="56">
        <f>D54</f>
        <v>0</v>
      </c>
      <c r="E60" s="56">
        <f>MAX(C60:D60)</f>
        <v>0.442</v>
      </c>
      <c r="G60" s="1" t="str">
        <f>G54</f>
        <v>per 1000 youth</v>
      </c>
      <c r="L60" s="58">
        <f>L54</f>
        <v>1000</v>
      </c>
      <c r="M60" s="58"/>
    </row>
    <row r="61" spans="2:18" ht="15" hidden="1" customHeight="1" x14ac:dyDescent="0.25">
      <c r="B61" s="49" t="str">
        <f t="shared" ref="B61:D62" si="11">IF(($E55&gt;0),B55,B54)</f>
        <v>per 100 arrests</v>
      </c>
      <c r="C61" s="49">
        <f t="shared" si="11"/>
        <v>0.3</v>
      </c>
      <c r="D61" s="49">
        <f t="shared" si="11"/>
        <v>0</v>
      </c>
      <c r="E61" s="49">
        <f>MAX(C61:D61)</f>
        <v>0.3</v>
      </c>
      <c r="G61" s="1" t="str">
        <f>G55</f>
        <v>per 100 arrests</v>
      </c>
      <c r="L61" s="58">
        <f>IF(($E55&gt;0),L55,L54)</f>
        <v>100</v>
      </c>
      <c r="M61" s="58"/>
    </row>
    <row r="62" spans="2:18" ht="15" hidden="1" customHeight="1" x14ac:dyDescent="0.25">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0.442</v>
      </c>
      <c r="D66" s="56">
        <f>D60</f>
        <v>0</v>
      </c>
      <c r="E66" s="56">
        <f>MAX(C66:D66)</f>
        <v>0.442</v>
      </c>
      <c r="G66" s="1" t="str">
        <f>G60</f>
        <v>per 1000 youth</v>
      </c>
      <c r="L66" s="58">
        <f>L60</f>
        <v>1000</v>
      </c>
      <c r="M66" s="58">
        <f>IF((B66=G66),1,2)</f>
        <v>1</v>
      </c>
    </row>
    <row r="67" spans="2:13" ht="15" hidden="1" customHeight="1" x14ac:dyDescent="0.25">
      <c r="B67" s="49" t="str">
        <f t="shared" ref="B67:D68" si="12">IF(($E61&gt;0),B61,B60)</f>
        <v>per 100 arrests</v>
      </c>
      <c r="C67" s="49">
        <f t="shared" si="12"/>
        <v>0.3</v>
      </c>
      <c r="D67" s="49">
        <f t="shared" si="12"/>
        <v>0</v>
      </c>
      <c r="E67" s="49">
        <f>MAX(C67:D67)</f>
        <v>0.3</v>
      </c>
      <c r="G67" s="1" t="str">
        <f>G61</f>
        <v>per 100 arrests</v>
      </c>
      <c r="L67" s="58">
        <f>IF(($E61&gt;0),L61,L60)</f>
        <v>100</v>
      </c>
      <c r="M67" s="58">
        <f>IF((B67=G67),1,2)</f>
        <v>1</v>
      </c>
    </row>
    <row r="68" spans="2:13" ht="15" hidden="1" customHeight="1" x14ac:dyDescent="0.25">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x14ac:dyDescent="0.25">
      <c r="B69" s="49" t="str">
        <f>IF(($E63&gt;0),B63,B61)</f>
        <v>per 100 arrests</v>
      </c>
      <c r="C69" s="49">
        <f>IF(($E63&gt;0),C63,C62)</f>
        <v>0.09</v>
      </c>
      <c r="D69" s="49">
        <f>IF(($E63&gt;0),D63,D62)</f>
        <v>0</v>
      </c>
      <c r="E69" s="49">
        <f>MAX(C69:D69)</f>
        <v>0.09</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Schoolcraft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442</v>
      </c>
      <c r="D6" s="34"/>
      <c r="E6" s="33">
        <f>'Data Entry'!H6</f>
        <v>102</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30</v>
      </c>
      <c r="D7" s="34">
        <f>IF((AND(C66&gt;0,C7&gt;0)),(C7/C66),0)</f>
        <v>67.873303167420815</v>
      </c>
      <c r="E7" s="33">
        <f>'Data Entry'!H7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102</v>
      </c>
      <c r="P7" s="42">
        <f t="shared" ref="P7:P15" si="4">C7</f>
        <v>30</v>
      </c>
      <c r="Q7" s="42">
        <f>C6-C7</f>
        <v>412</v>
      </c>
      <c r="R7" s="42">
        <f t="shared" ref="R7:R15" si="5">SUM(N7:Q7)</f>
        <v>544</v>
      </c>
      <c r="S7" s="30">
        <f t="shared" ref="S7:S15" si="6">R7*((((N7*Q7)-(O7*P7))^2))</f>
        <v>5093798400</v>
      </c>
      <c r="T7" s="30">
        <f t="shared" ref="T7:T15" si="7">(N7+O7)*(P7+Q7)*(N7+P7)*(O7+Q7)</f>
        <v>695195280</v>
      </c>
      <c r="U7" s="31">
        <f t="shared" ref="U7:U15" si="8">IF((S7&gt;0),S7/T7,"- -")</f>
        <v>7.3271475606105954</v>
      </c>
    </row>
    <row r="8" spans="2:21" ht="18" customHeight="1" x14ac:dyDescent="0.25">
      <c r="B8" s="32" t="str">
        <f>'Data Entry'!A8</f>
        <v>3. Refer to Juvenile Court</v>
      </c>
      <c r="C8" s="33">
        <f>'Data Entry'!C8</f>
        <v>9</v>
      </c>
      <c r="D8" s="34">
        <f>IF((AND(C67&gt;0,C8&gt;0)),(C8/C67),0)</f>
        <v>30</v>
      </c>
      <c r="E8" s="33">
        <f>'Data Entry'!H8</f>
        <v>2</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-1.95</v>
      </c>
      <c r="P8" s="42">
        <f t="shared" si="4"/>
        <v>9</v>
      </c>
      <c r="Q8" s="42">
        <f>(C$67*L67)-C8</f>
        <v>21</v>
      </c>
      <c r="R8" s="42">
        <f t="shared" si="5"/>
        <v>30.05</v>
      </c>
      <c r="S8" s="30">
        <f t="shared" si="6"/>
        <v>106563.385125</v>
      </c>
      <c r="T8" s="30">
        <f t="shared" si="7"/>
        <v>314.32500000000027</v>
      </c>
      <c r="U8" s="31">
        <f t="shared" si="8"/>
        <v>339.02293843951293</v>
      </c>
    </row>
    <row r="9" spans="2:21" ht="18" customHeight="1" x14ac:dyDescent="0.25">
      <c r="B9" s="32" t="str">
        <f>'Data Entry'!A9</f>
        <v xml:space="preserve">4. Cases Diverted </v>
      </c>
      <c r="C9" s="33">
        <f>'Data Entry'!C9</f>
        <v>3</v>
      </c>
      <c r="D9" s="34">
        <f>IF((AND(C68&gt;0,C9&gt;0)),((C9/C68)),0)</f>
        <v>33.333333333333336</v>
      </c>
      <c r="E9" s="33">
        <f>'Data Entry'!H9</f>
        <v>1</v>
      </c>
      <c r="F9" s="34">
        <f>IF((AND($E$9&gt;0,$D$68&gt;0)),(($E$9/$D$68)),0)</f>
        <v>50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1</v>
      </c>
      <c r="P9" s="42">
        <f t="shared" si="4"/>
        <v>3</v>
      </c>
      <c r="Q9" s="42">
        <f>(C$68*L68)-C9</f>
        <v>6</v>
      </c>
      <c r="R9" s="42">
        <f t="shared" si="5"/>
        <v>11</v>
      </c>
      <c r="S9" s="30">
        <f t="shared" si="6"/>
        <v>99</v>
      </c>
      <c r="T9" s="30">
        <f t="shared" si="7"/>
        <v>504</v>
      </c>
      <c r="U9" s="31">
        <f t="shared" si="8"/>
        <v>0.19642857142857142</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9</v>
      </c>
      <c r="R10" s="42">
        <f t="shared" si="5"/>
        <v>11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9</v>
      </c>
      <c r="R11" s="42">
        <f t="shared" si="5"/>
        <v>11</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22.222222222222221</v>
      </c>
      <c r="E12" s="33">
        <f>'Data Entry'!H12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2</v>
      </c>
      <c r="Q12" s="42">
        <f>(C69*L69)-C12</f>
        <v>7</v>
      </c>
      <c r="R12" s="42">
        <f t="shared" si="5"/>
        <v>11</v>
      </c>
      <c r="S12" s="30">
        <f t="shared" si="6"/>
        <v>275</v>
      </c>
      <c r="T12" s="30">
        <f t="shared" si="7"/>
        <v>432</v>
      </c>
      <c r="U12" s="31">
        <f t="shared" si="8"/>
        <v>0.63657407407407407</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v>
      </c>
      <c r="R13" s="42">
        <f t="shared" si="5"/>
        <v>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9</v>
      </c>
      <c r="R15" s="42">
        <f t="shared" si="5"/>
        <v>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0.442</v>
      </c>
      <c r="D42" s="56">
        <f>E6/1000</f>
        <v>0.10199999999999999</v>
      </c>
      <c r="E42" s="56">
        <f>MAX(C42:D42)</f>
        <v>0.442</v>
      </c>
      <c r="G42" s="1" t="str">
        <f>B42</f>
        <v>per 1000 youth</v>
      </c>
      <c r="L42" s="57">
        <v>1000</v>
      </c>
      <c r="M42" s="57"/>
      <c r="R42" s="49"/>
    </row>
    <row r="43" spans="2:18" ht="15" hidden="1" customHeight="1" x14ac:dyDescent="0.25">
      <c r="B43" s="49" t="s">
        <v>87</v>
      </c>
      <c r="C43" s="56">
        <f>C7/100</f>
        <v>0.3</v>
      </c>
      <c r="D43" s="56">
        <f>E7/100</f>
        <v>0</v>
      </c>
      <c r="E43" s="56">
        <f>MAX(C43:D43,0)</f>
        <v>0.3</v>
      </c>
      <c r="G43" s="1" t="str">
        <f>B43</f>
        <v>per 100 arrests</v>
      </c>
      <c r="L43" s="57">
        <v>100</v>
      </c>
      <c r="M43" s="57"/>
      <c r="R43" s="49"/>
    </row>
    <row r="44" spans="2:18" ht="15" hidden="1" customHeight="1" x14ac:dyDescent="0.25">
      <c r="B44" s="49" t="s">
        <v>88</v>
      </c>
      <c r="C44" s="56">
        <f>C8/100</f>
        <v>0.09</v>
      </c>
      <c r="D44" s="56">
        <f>E8/100</f>
        <v>0.02</v>
      </c>
      <c r="E44" s="56">
        <f>MAX(C44:D44,0)</f>
        <v>0.09</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0.02</v>
      </c>
      <c r="D46" s="49">
        <f>E12/100</f>
        <v>0.01</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0.442</v>
      </c>
      <c r="D48" s="56">
        <f>D42</f>
        <v>0.10199999999999999</v>
      </c>
      <c r="E48" s="56">
        <f>MAX(C48:D48)</f>
        <v>0.442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v>
      </c>
      <c r="D49" s="49">
        <f t="shared" si="9"/>
        <v>0</v>
      </c>
      <c r="E49" s="49">
        <f>MAX(C49:D49)</f>
        <v>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0.09</v>
      </c>
      <c r="D50" s="49">
        <f t="shared" si="9"/>
        <v>0.02</v>
      </c>
      <c r="E50" s="49">
        <f>MAX(C50:D50)</f>
        <v>0.09</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0.09</v>
      </c>
      <c r="D51" s="49">
        <f>IF(($E45&gt;0),D45,D44)</f>
        <v>0.02</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0.01</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0.442</v>
      </c>
      <c r="D54" s="56">
        <f>D48</f>
        <v>0.10199999999999999</v>
      </c>
      <c r="E54" s="56">
        <f>MAX(C54:D54)</f>
        <v>0.442</v>
      </c>
      <c r="G54" s="1" t="str">
        <f>G48</f>
        <v>per 1000 youth</v>
      </c>
      <c r="L54" s="58">
        <f>L48</f>
        <v>1000</v>
      </c>
      <c r="M54" s="58"/>
    </row>
    <row r="55" spans="2:18" ht="15" hidden="1" customHeight="1" x14ac:dyDescent="0.25">
      <c r="B55" s="49" t="str">
        <f t="shared" ref="B55:D56" si="10">IF(($E49&gt;0),B49,B48)</f>
        <v>per 100 arrests</v>
      </c>
      <c r="C55" s="49">
        <f t="shared" si="10"/>
        <v>0.3</v>
      </c>
      <c r="D55" s="49">
        <f t="shared" si="10"/>
        <v>0</v>
      </c>
      <c r="E55" s="49">
        <f>MAX(C55:D55)</f>
        <v>0.3</v>
      </c>
      <c r="G55" s="1" t="str">
        <f>G49</f>
        <v>per 100 arrests</v>
      </c>
      <c r="L55" s="58">
        <f>IF(($E49&gt;0),L49,L48)</f>
        <v>100</v>
      </c>
      <c r="M55" s="58"/>
    </row>
    <row r="56" spans="2:18" ht="15" hidden="1" customHeight="1" x14ac:dyDescent="0.25">
      <c r="B56" s="49" t="str">
        <f t="shared" si="10"/>
        <v>per 100 referrals</v>
      </c>
      <c r="C56" s="49">
        <f t="shared" si="10"/>
        <v>0.09</v>
      </c>
      <c r="D56" s="49">
        <f t="shared" si="10"/>
        <v>0.02</v>
      </c>
      <c r="E56" s="49">
        <f>MAX(C56:D56)</f>
        <v>0.09</v>
      </c>
      <c r="G56" s="1" t="str">
        <f>G50</f>
        <v>per 100 referrals</v>
      </c>
      <c r="L56" s="58">
        <f>IF(($E50&gt;0),L50,L49)</f>
        <v>100</v>
      </c>
      <c r="M56" s="58"/>
    </row>
    <row r="57" spans="2:18" ht="15" hidden="1" customHeight="1" x14ac:dyDescent="0.25">
      <c r="B57" s="49" t="str">
        <f>IF(($E51&gt;0),B51,B49)</f>
        <v>per 100 arrests</v>
      </c>
      <c r="C57" s="49">
        <f>IF(($E51&gt;0),C51,C50)</f>
        <v>0.09</v>
      </c>
      <c r="D57" s="49">
        <f>IF(($E51&gt;0),D51,D50)</f>
        <v>0.02</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0.01</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0.442</v>
      </c>
      <c r="D60" s="56">
        <f>D54</f>
        <v>0.10199999999999999</v>
      </c>
      <c r="E60" s="56">
        <f>MAX(C60:D60)</f>
        <v>0.442</v>
      </c>
      <c r="G60" s="1" t="str">
        <f>G54</f>
        <v>per 1000 youth</v>
      </c>
      <c r="L60" s="58">
        <f>L54</f>
        <v>1000</v>
      </c>
      <c r="M60" s="58"/>
    </row>
    <row r="61" spans="2:18" ht="15" hidden="1" customHeight="1" x14ac:dyDescent="0.25">
      <c r="B61" s="49" t="str">
        <f t="shared" ref="B61:D62" si="11">IF(($E55&gt;0),B55,B54)</f>
        <v>per 100 arrests</v>
      </c>
      <c r="C61" s="49">
        <f t="shared" si="11"/>
        <v>0.3</v>
      </c>
      <c r="D61" s="49">
        <f t="shared" si="11"/>
        <v>0</v>
      </c>
      <c r="E61" s="49">
        <f>MAX(C61:D61)</f>
        <v>0.3</v>
      </c>
      <c r="G61" s="1" t="str">
        <f>G55</f>
        <v>per 100 arrests</v>
      </c>
      <c r="L61" s="58">
        <f>IF(($E55&gt;0),L55,L54)</f>
        <v>100</v>
      </c>
      <c r="M61" s="58"/>
    </row>
    <row r="62" spans="2:18" ht="15" hidden="1" customHeight="1" x14ac:dyDescent="0.25">
      <c r="B62" s="49" t="str">
        <f t="shared" si="11"/>
        <v>per 100 referrals</v>
      </c>
      <c r="C62" s="49">
        <f t="shared" si="11"/>
        <v>0.09</v>
      </c>
      <c r="D62" s="49">
        <f t="shared" si="11"/>
        <v>0.02</v>
      </c>
      <c r="E62" s="49">
        <f>MAX(C62:D62)</f>
        <v>0.09</v>
      </c>
      <c r="G62" s="1" t="str">
        <f>G56</f>
        <v>per 100 referrals</v>
      </c>
      <c r="L62" s="58">
        <f>IF(($E56&gt;0),L56,L55)</f>
        <v>100</v>
      </c>
      <c r="M62" s="58"/>
    </row>
    <row r="63" spans="2:18" ht="15" hidden="1" customHeight="1" x14ac:dyDescent="0.25">
      <c r="B63" s="49" t="str">
        <f>IF(($E57&gt;0),B57,B55)</f>
        <v>per 100 arrests</v>
      </c>
      <c r="C63" s="49">
        <f>IF(($E57&gt;0),C57,C56)</f>
        <v>0.09</v>
      </c>
      <c r="D63" s="49">
        <f>IF(($E57&gt;0),D57,D56)</f>
        <v>0.02</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0.01</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0.442</v>
      </c>
      <c r="D66" s="56">
        <f>D60</f>
        <v>0.10199999999999999</v>
      </c>
      <c r="E66" s="56">
        <f>MAX(C66:D66)</f>
        <v>0.442</v>
      </c>
      <c r="G66" s="1" t="str">
        <f>G60</f>
        <v>per 1000 youth</v>
      </c>
      <c r="L66" s="58">
        <f>L60</f>
        <v>1000</v>
      </c>
      <c r="M66" s="58">
        <f>IF((B66=G66),1,2)</f>
        <v>1</v>
      </c>
    </row>
    <row r="67" spans="2:13" ht="15" hidden="1" customHeight="1" x14ac:dyDescent="0.25">
      <c r="B67" s="49" t="str">
        <f t="shared" ref="B67:D68" si="12">IF(($E61&gt;0),B61,B60)</f>
        <v>per 100 arrests</v>
      </c>
      <c r="C67" s="49">
        <f t="shared" si="12"/>
        <v>0.3</v>
      </c>
      <c r="D67" s="49">
        <f t="shared" si="12"/>
        <v>0</v>
      </c>
      <c r="E67" s="49">
        <f>MAX(C67:D67)</f>
        <v>0.3</v>
      </c>
      <c r="G67" s="1" t="str">
        <f>G61</f>
        <v>per 100 arrests</v>
      </c>
      <c r="L67" s="58">
        <f>IF(($E61&gt;0),L61,L60)</f>
        <v>100</v>
      </c>
      <c r="M67" s="58">
        <f>IF((B67=G67),1,2)</f>
        <v>1</v>
      </c>
    </row>
    <row r="68" spans="2:13" ht="15" hidden="1" customHeight="1" x14ac:dyDescent="0.25">
      <c r="B68" s="49" t="str">
        <f t="shared" si="12"/>
        <v>per 100 referrals</v>
      </c>
      <c r="C68" s="49">
        <f t="shared" si="12"/>
        <v>0.09</v>
      </c>
      <c r="D68" s="49">
        <f t="shared" si="12"/>
        <v>0.02</v>
      </c>
      <c r="E68" s="49">
        <f>MAX(C68:D68)</f>
        <v>0.09</v>
      </c>
      <c r="G68" s="1" t="str">
        <f>G62</f>
        <v>per 100 referrals</v>
      </c>
      <c r="L68" s="58">
        <f>IF(($E62&gt;0),L62,L61)</f>
        <v>100</v>
      </c>
      <c r="M68" s="58">
        <f>IF((B68=G68),1,2)</f>
        <v>1</v>
      </c>
    </row>
    <row r="69" spans="2:13" ht="15" hidden="1" customHeight="1" x14ac:dyDescent="0.25">
      <c r="B69" s="49" t="str">
        <f>IF(($E63&gt;0),B63,B61)</f>
        <v>per 100 arrests</v>
      </c>
      <c r="C69" s="49">
        <f>IF(($E63&gt;0),C63,C62)</f>
        <v>0.09</v>
      </c>
      <c r="D69" s="49">
        <f>IF(($E63&gt;0),D63,D62)</f>
        <v>0.02</v>
      </c>
      <c r="E69" s="49">
        <f>MAX(C69:D69)</f>
        <v>0.09</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0.02</v>
      </c>
      <c r="D70" s="49">
        <f>IF(($E64&gt;0),D64,D63)</f>
        <v>0.01</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U47JMPN4QEAR-1806752177-30222</_dlc_DocId>
    <_dlc_DocIdUrl xmlns="ac3811b5-0f3e-49e2-ba69-f2ffa0c782af">
      <Url>https://michiganphi.sharepoint.com/sites/CMDMC/_layouts/15/DocIdRedir.aspx?ID=U47JMPN4QEAR-1806752177-30222</Url>
      <Description>U47JMPN4QEAR-1806752177-30222</Description>
    </_dlc_DocIdUrl>
  </documentManagement>
</p:properties>
</file>

<file path=customXml/itemProps1.xml><?xml version="1.0" encoding="utf-8"?>
<ds:datastoreItem xmlns:ds="http://schemas.openxmlformats.org/officeDocument/2006/customXml" ds:itemID="{3B10245D-666B-439C-B3D9-2BAD4A1F27ED}"/>
</file>

<file path=customXml/itemProps2.xml><?xml version="1.0" encoding="utf-8"?>
<ds:datastoreItem xmlns:ds="http://schemas.openxmlformats.org/officeDocument/2006/customXml" ds:itemID="{9A0374D5-CD74-440F-B3D2-BC5A79DBB3CB}"/>
</file>

<file path=customXml/itemProps3.xml><?xml version="1.0" encoding="utf-8"?>
<ds:datastoreItem xmlns:ds="http://schemas.openxmlformats.org/officeDocument/2006/customXml" ds:itemID="{7EC3E37D-C6BC-452D-A2C3-4FE98C0D3CFF}"/>
</file>

<file path=customXml/itemProps4.xml><?xml version="1.0" encoding="utf-8"?>
<ds:datastoreItem xmlns:ds="http://schemas.openxmlformats.org/officeDocument/2006/customXml" ds:itemID="{E7DE8EAC-ED77-4124-8B42-B199BB2524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a1239eb1-aef5-4cb8-a28c-45f13a984e48</vt:lpwstr>
  </property>
</Properties>
</file>