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13E951F-B64F-499C-8C52-509C65A36691}" xr6:coauthVersionLast="47" xr6:coauthVersionMax="47" xr10:uidLastSave="{4B18F561-47A4-496D-AD2C-21A9AC9048E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L54" i="8" s="1"/>
  <c r="L60" i="8" s="1"/>
  <c r="L66" i="8" s="1"/>
  <c r="G49" i="8"/>
  <c r="G55" i="8"/>
  <c r="G51" i="8"/>
  <c r="G57" i="8" s="1"/>
  <c r="G63" i="8" s="1"/>
  <c r="G69"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2"/>
  <c r="M66" i="2"/>
  <c r="M66" i="7"/>
  <c r="F27" i="7"/>
  <c r="F27" i="4"/>
  <c r="M66" i="4"/>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D51" i="2"/>
  <c r="E49" i="5"/>
  <c r="C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B64" i="5" l="1"/>
  <c r="L64" i="5"/>
  <c r="D64" i="5"/>
  <c r="E64" i="5" s="1"/>
  <c r="L64" i="3"/>
  <c r="L56" i="8"/>
  <c r="E58" i="8"/>
  <c r="L64" i="8" s="1"/>
  <c r="C57" i="8"/>
  <c r="B57" i="8"/>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57" i="8"/>
  <c r="B63" i="8" s="1"/>
  <c r="I7" i="9"/>
  <c r="C63" i="3"/>
  <c r="D64" i="8"/>
  <c r="Q8" i="13"/>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3" i="8" l="1"/>
  <c r="C63" i="8"/>
  <c r="E63" i="8" s="1"/>
  <c r="D69" i="8" s="1"/>
  <c r="E64" i="8"/>
  <c r="L70" i="8" s="1"/>
  <c r="E63" i="3"/>
  <c r="C69" i="3" s="1"/>
  <c r="D15" i="3" s="1"/>
  <c r="D70" i="6"/>
  <c r="F14" i="6" s="1"/>
  <c r="L70" i="3"/>
  <c r="Q14" i="3" s="1"/>
  <c r="B70" i="3"/>
  <c r="M70" i="3" s="1"/>
  <c r="L70" i="6"/>
  <c r="C70" i="6"/>
  <c r="D13" i="6"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B69" i="3"/>
  <c r="M69" i="3" s="1"/>
  <c r="Q13" i="3"/>
  <c r="B70" i="8"/>
  <c r="M70" i="8" s="1"/>
  <c r="D70" i="8"/>
  <c r="F13" i="8" s="1"/>
  <c r="C70" i="8"/>
  <c r="Q13" i="8" s="1"/>
  <c r="F13" i="6"/>
  <c r="D69" i="3"/>
  <c r="E69" i="3" s="1"/>
  <c r="L69" i="3"/>
  <c r="Q12" i="3" s="1"/>
  <c r="E70" i="6"/>
  <c r="D14" i="6"/>
  <c r="O14" i="6"/>
  <c r="B69" i="6"/>
  <c r="M69" i="6" s="1"/>
  <c r="D15" i="7"/>
  <c r="O13" i="3"/>
  <c r="F34" i="3"/>
  <c r="Q12" i="7"/>
  <c r="Q13" i="6"/>
  <c r="Q14" i="6"/>
  <c r="O13" i="6"/>
  <c r="F14" i="3"/>
  <c r="Q15" i="7"/>
  <c r="C69" i="6"/>
  <c r="D12" i="6" s="1"/>
  <c r="F33" i="3"/>
  <c r="E70" i="3"/>
  <c r="E69" i="7"/>
  <c r="F12" i="7"/>
  <c r="O12" i="7"/>
  <c r="O15" i="7"/>
  <c r="O14" i="3"/>
  <c r="R14" i="3" s="1"/>
  <c r="S14" i="3" s="1"/>
  <c r="U14" i="3" s="1"/>
  <c r="J14" i="3" s="1"/>
  <c r="M14" i="3" s="1"/>
  <c r="G14" i="3" s="1"/>
  <c r="I15" i="16" s="1"/>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O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3" i="8" l="1"/>
  <c r="F12" i="3"/>
  <c r="F34" i="8"/>
  <c r="K13" i="3"/>
  <c r="O15" i="3"/>
  <c r="Q12" i="6"/>
  <c r="F15" i="3"/>
  <c r="F33" i="8"/>
  <c r="F14" i="8"/>
  <c r="D13" i="8"/>
  <c r="E70" i="8"/>
  <c r="Q14" i="8"/>
  <c r="R14" i="8" s="1"/>
  <c r="S14" i="8" s="1"/>
  <c r="D14" i="8"/>
  <c r="R13" i="8"/>
  <c r="S13" i="8" s="1"/>
  <c r="U13" i="8" s="1"/>
  <c r="J13" i="8" s="1"/>
  <c r="M13" i="8" s="1"/>
  <c r="G13" i="8" s="1"/>
  <c r="K14" i="16" s="1"/>
  <c r="Q15" i="3"/>
  <c r="O12" i="3"/>
  <c r="R12" i="3" s="1"/>
  <c r="S12" i="3" s="1"/>
  <c r="U12" i="3" s="1"/>
  <c r="J12" i="3" s="1"/>
  <c r="T14" i="6"/>
  <c r="R14" i="6"/>
  <c r="S14" i="6" s="1"/>
  <c r="U14" i="6" s="1"/>
  <c r="J14" i="6" s="1"/>
  <c r="M14" i="6" s="1"/>
  <c r="G14" i="6" s="1"/>
  <c r="M15" i="13" s="1"/>
  <c r="Q15" i="6"/>
  <c r="K14" i="6"/>
  <c r="F32" i="6"/>
  <c r="T13" i="3"/>
  <c r="R13" i="3"/>
  <c r="S13" i="3" s="1"/>
  <c r="U13" i="3" s="1"/>
  <c r="J13" i="3" s="1"/>
  <c r="M13" i="3" s="1"/>
  <c r="G13" i="3" s="1"/>
  <c r="T15" i="7"/>
  <c r="F35" i="6"/>
  <c r="T12" i="7"/>
  <c r="T13" i="6"/>
  <c r="K12" i="7"/>
  <c r="R15" i="7"/>
  <c r="S15" i="7" s="1"/>
  <c r="U15" i="7" s="1"/>
  <c r="J15" i="7" s="1"/>
  <c r="M15" i="7" s="1"/>
  <c r="R13" i="6"/>
  <c r="S13" i="6" s="1"/>
  <c r="U13" i="6" s="1"/>
  <c r="J13" i="6" s="1"/>
  <c r="M13" i="6" s="1"/>
  <c r="G13" i="6" s="1"/>
  <c r="M14" i="13" s="1"/>
  <c r="E69" i="6"/>
  <c r="D15" i="6"/>
  <c r="K13" i="6"/>
  <c r="R12" i="7"/>
  <c r="S12" i="7" s="1"/>
  <c r="T13" i="8"/>
  <c r="K15" i="7"/>
  <c r="O15" i="6"/>
  <c r="O12" i="6"/>
  <c r="K14" i="3"/>
  <c r="L14" i="3" s="1"/>
  <c r="P15" i="16" s="1"/>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6" l="1"/>
  <c r="R15" i="3"/>
  <c r="S15" i="3" s="1"/>
  <c r="U15" i="3" s="1"/>
  <c r="J15" i="3" s="1"/>
  <c r="M15" i="3" s="1"/>
  <c r="G15" i="3" s="1"/>
  <c r="I16" i="16" s="1"/>
  <c r="K15" i="3"/>
  <c r="K12" i="3"/>
  <c r="L13" i="3"/>
  <c r="P14" i="16" s="1"/>
  <c r="T15" i="3"/>
  <c r="T12" i="3"/>
  <c r="K14" i="8"/>
  <c r="T14" i="8"/>
  <c r="U12" i="7"/>
  <c r="J12" i="7" s="1"/>
  <c r="L12" i="7" s="1"/>
  <c r="S13" i="16" s="1"/>
  <c r="L13" i="8"/>
  <c r="T14" i="16" s="1"/>
  <c r="I13" i="9"/>
  <c r="Q14" i="13"/>
  <c r="K15" i="6"/>
  <c r="L15" i="7"/>
  <c r="S16" i="16" s="1"/>
  <c r="L13" i="6"/>
  <c r="R14" i="16" s="1"/>
  <c r="G13" i="9"/>
  <c r="U14" i="8"/>
  <c r="J14" i="8" s="1"/>
  <c r="N30" i="8" s="1"/>
  <c r="R12" i="6"/>
  <c r="S12" i="6" s="1"/>
  <c r="U12" i="6" s="1"/>
  <c r="J12" i="6" s="1"/>
  <c r="M12" i="6" s="1"/>
  <c r="G12" i="6" s="1"/>
  <c r="K12" i="6"/>
  <c r="T15" i="6"/>
  <c r="R15" i="6"/>
  <c r="S15" i="6" s="1"/>
  <c r="U15" i="6" s="1"/>
  <c r="J15" i="6" s="1"/>
  <c r="M15" i="6" s="1"/>
  <c r="G15"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P13" i="9" l="1"/>
  <c r="Q12" i="9"/>
  <c r="V14" i="13"/>
  <c r="Y13" i="13"/>
  <c r="N13" i="9"/>
  <c r="M12" i="7"/>
  <c r="Q15" i="9"/>
  <c r="Z14" i="13"/>
  <c r="R13" i="9"/>
  <c r="Y16" i="13"/>
  <c r="U11" i="7"/>
  <c r="J11" i="7" s="1"/>
  <c r="M11" i="7" s="1"/>
  <c r="U10" i="7"/>
  <c r="J10" i="7" s="1"/>
  <c r="M10" i="7" s="1"/>
  <c r="X14" i="13"/>
  <c r="L15" i="6"/>
  <c r="R16" i="16" s="1"/>
  <c r="L12" i="6"/>
  <c r="R13" i="16" s="1"/>
  <c r="M14" i="8"/>
  <c r="G14" i="8" s="1"/>
  <c r="K15" i="16" s="1"/>
  <c r="L14" i="8"/>
  <c r="T15" i="16" s="1"/>
  <c r="U14" i="2"/>
  <c r="J14" i="2" s="1"/>
  <c r="M14" i="2" s="1"/>
  <c r="G14" i="2" s="1"/>
  <c r="E15" i="16" s="1"/>
  <c r="U12" i="8"/>
  <c r="J12" i="8" s="1"/>
  <c r="M12" i="8" s="1"/>
  <c r="G12" i="8" s="1"/>
  <c r="K13"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0" i="7" l="1"/>
  <c r="S11" i="16" s="1"/>
  <c r="L11" i="7"/>
  <c r="S12" i="16" s="1"/>
  <c r="I14" i="9"/>
  <c r="P15" i="9"/>
  <c r="X16" i="13"/>
  <c r="X13" i="13"/>
  <c r="P12" i="9"/>
  <c r="Q15" i="13"/>
  <c r="N30" i="2"/>
  <c r="L14" i="2"/>
  <c r="N15" i="16" s="1"/>
  <c r="R14" i="9"/>
  <c r="Z15" i="13"/>
  <c r="E15" i="13"/>
  <c r="L12" i="8"/>
  <c r="T13" i="16" s="1"/>
  <c r="C14" i="9"/>
  <c r="P8" i="9"/>
  <c r="X9"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0" i="9" l="1"/>
  <c r="Y11" i="13"/>
  <c r="Y12" i="13"/>
  <c r="Q11" i="9"/>
  <c r="R12" i="9"/>
  <c r="L14" i="9"/>
  <c r="Z13" i="13"/>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<sst xmlns="http://schemas.openxmlformats.org/spreadsheetml/2006/main" count="654" uniqueCount="141">
  <si>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</si>
  <si>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</si>
  <si>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</si>
  <si>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</si>
  <si>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</si>
  <si>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</si>
  <si>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</si>
  <si>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</si>
  <si>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</si>
  <si>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</si>
  <si>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</si>
  <si>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</si>
  <si>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</si>
  <si>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</si>
  <si>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</si>
  <si>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</si>
  <si>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</si>
  <si>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</si>
  <si>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</si>
  <si>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</si>
  <si>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</si>
  <si>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</si>
  <si>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</si>
  <si>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</si>
  <si>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</si>
  <si>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</si>
  <si>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</si>
  <si>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</si>
  <si>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</si>
  <si>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</si>
  <si>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</si>
  <si>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</si>
  <si>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</si>
  <si>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</si>
  <si>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</si>
  <si>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</si>
  <si>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</si>
  <si>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</si>
  <si>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</si>
  <si>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</si>
  <si>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</si>
  <si>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</si>
  <si>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</si>
  <si>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</si>
  <si>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</si>
  <si>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</si>
  <si>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</si>
  <si>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</si>
  <si>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</si>
  <si>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</si>
  <si>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</si>
  <si>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</si>
  <si>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</si>
  <si>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</si>
  <si>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</si>
  <si>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</si>
  <si>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</si>
  <si>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</si>
  <si>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</si>
  <si>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</si>
  <si>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</si>
  <si>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</si>
  <si>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</si>
  <si>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</si>
  <si>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</si>
  <si>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</si>
  <si>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</si>
  <si>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</si>
  <si>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</si>
  <si>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</si>
  <si>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</si>
  <si>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</si>
  <si>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</si>
  <si>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</si>
  <si>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</si>
  <si>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</si>
  <si>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</si>
  <si>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</si>
  <si>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</si>
  <si>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</si>
  <si>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</si>
  <si>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</si>
  <si>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</si>
  <si>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</si>
  <si>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</si>
  <si>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</si>
  <si>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</si>
  <si>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</si>
  <si>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</si>
  <si>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</si>
  <si>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</si>
  <si>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</si>
  <si>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</si>
  <si>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</si>
  <si>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</si>
  <si>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</si>
  <si>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</si>
  <si>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</si>
  <si>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</si>
  <si>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</si>
  <si>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</si>
  <si>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</si>
  <si>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</si>
  <si>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</si>
  <si>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</si>
  <si>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</si>
  <si>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</si>
  <si>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</si>
  <si>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</si>
  <si>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</si>
  <si>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</si>
  <si>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</si>
  <si>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</si>
  <si>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</si>
  <si>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</si>
  <si>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</si>
  <si>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</si>
  <si>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</si>
  <si>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</si>
  <si>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</si>
  <si>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</si>
  <si>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</si>
  <si>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</si>
  <si>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</si>
  <si>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</si>
  <si>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</si>
  <si>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</si>
  <si>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</si>
  <si>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</si>
  <si>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</si>
  <si>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</si>
  <si>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</si>
  <si>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</si>
  <si>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</si>
  <si>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</si>
  <si>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</si>
  <si>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Sanilac</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</si>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</sst>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Sanilac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N=47</c:v>
                </c:pt>
                <c:pt idx="3">
                  <c:v>Petitions, total N=57</c:v>
                </c:pt>
                <c:pt idx="4">
                  <c:v>Detentions, total N=3</c:v>
                </c:pt>
                <c:pt idx="5">
                  <c:v>Referrals, total N=80</c:v>
                </c:pt>
                <c:pt idx="6">
                  <c:v>Arrests, total N=30</c:v>
                </c:pt>
                <c:pt idx="7">
                  <c:v>Population, total N=4129</c:v>
                </c:pt>
              </c:strCache>
            </c:strRef>
          </c:cat>
          <c:val>
            <c:numRef>
              <c:f>'Stacked 100%'!$B$7:$B$14</c:f>
              <c:numCache>
                <c:formatCode>0%</c:formatCode>
                <c:ptCount val="8"/>
                <c:pt idx="0">
                  <c:v>0</c:v>
                </c:pt>
                <c:pt idx="1">
                  <c:v>0</c:v>
                </c:pt>
                <c:pt idx="2">
                  <c:v>4.2553191489361701E-2</c:v>
                </c:pt>
                <c:pt idx="3">
                  <c:v>3.5087719298245612E-2</c:v>
                </c:pt>
                <c:pt idx="4">
                  <c:v>0</c:v>
                </c:pt>
                <c:pt idx="5">
                  <c:v>2.5000000000000001E-2</c:v>
                </c:pt>
                <c:pt idx="6">
                  <c:v>0</c:v>
                </c:pt>
                <c:pt idx="7">
                  <c:v>1.4289174134172923E-2</c:v>
                </c:pt>
              </c:numCache>
            </c:numRef>
          </c:val>
          <c:extLst>
            <c:ext xmlns:c16="http://schemas.microsoft.com/office/drawing/2014/chart" uri="{C3380CC4-5D6E-409C-BE32-E72D297353CC}">
              <c16:uniqueId val="{00000000-DAEF-4AC5-9FFA-7D596811D58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N=47</c:v>
                </c:pt>
                <c:pt idx="3">
                  <c:v>Petitions, total N=57</c:v>
                </c:pt>
                <c:pt idx="4">
                  <c:v>Detentions, total N=3</c:v>
                </c:pt>
                <c:pt idx="5">
                  <c:v>Referrals, total N=80</c:v>
                </c:pt>
                <c:pt idx="6">
                  <c:v>Arrests, total N=30</c:v>
                </c:pt>
                <c:pt idx="7">
                  <c:v>Population, total N=4129</c:v>
                </c:pt>
              </c:strCache>
            </c:strRef>
          </c:cat>
          <c:val>
            <c:numRef>
              <c:f>'Stacked 100%'!$C$7:$C$14</c:f>
              <c:numCache>
                <c:formatCode>0%</c:formatCode>
                <c:ptCount val="8"/>
                <c:pt idx="0">
                  <c:v>0</c:v>
                </c:pt>
                <c:pt idx="1">
                  <c:v>0</c:v>
                </c:pt>
                <c:pt idx="2">
                  <c:v>0</c:v>
                </c:pt>
                <c:pt idx="3">
                  <c:v>0</c:v>
                </c:pt>
                <c:pt idx="4">
                  <c:v>0</c:v>
                </c:pt>
                <c:pt idx="5">
                  <c:v>0</c:v>
                </c:pt>
                <c:pt idx="6">
                  <c:v>0</c:v>
                </c:pt>
                <c:pt idx="7">
                  <c:v>5.9578590457737952E-2</c:v>
                </c:pt>
              </c:numCache>
            </c:numRef>
          </c:val>
          <c:extLst>
            <c:ext xmlns:c16="http://schemas.microsoft.com/office/drawing/2014/chart" uri="{C3380CC4-5D6E-409C-BE32-E72D297353CC}">
              <c16:uniqueId val="{00000001-DAEF-4AC5-9FFA-7D596811D58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N=47</c:v>
                </c:pt>
                <c:pt idx="3">
                  <c:v>Petitions, total N=57</c:v>
                </c:pt>
                <c:pt idx="4">
                  <c:v>Detentions, total N=3</c:v>
                </c:pt>
                <c:pt idx="5">
                  <c:v>Referrals, total N=80</c:v>
                </c:pt>
                <c:pt idx="6">
                  <c:v>Arrests, total N=30</c:v>
                </c:pt>
                <c:pt idx="7">
                  <c:v>Population, total N=4129</c:v>
                </c:pt>
              </c:strCache>
            </c:strRef>
          </c:cat>
          <c:val>
            <c:numRef>
              <c:f>'Stacked 100%'!$H$7:$H$14</c:f>
              <c:numCache>
                <c:formatCode>0%</c:formatCode>
                <c:ptCount val="8"/>
                <c:pt idx="0">
                  <c:v>0</c:v>
                </c:pt>
                <c:pt idx="1">
                  <c:v>0</c:v>
                </c:pt>
                <c:pt idx="2">
                  <c:v>0</c:v>
                </c:pt>
                <c:pt idx="3">
                  <c:v>0</c:v>
                </c:pt>
                <c:pt idx="4">
                  <c:v>0</c:v>
                </c:pt>
                <c:pt idx="5">
                  <c:v>0</c:v>
                </c:pt>
                <c:pt idx="6">
                  <c:v>0</c:v>
                </c:pt>
                <c:pt idx="7">
                  <c:v>2.1116052593282951E-6</c:v>
                </c:pt>
              </c:numCache>
            </c:numRef>
          </c:val>
          <c:extLst>
            <c:ext xmlns:c16="http://schemas.microsoft.com/office/drawing/2014/chart" uri="{C3380CC4-5D6E-409C-BE32-E72D297353CC}">
              <c16:uniqueId val="{00000002-DAEF-4AC5-9FFA-7D596811D58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N=47</c:v>
                </c:pt>
                <c:pt idx="3">
                  <c:v>Petitions, total N=57</c:v>
                </c:pt>
                <c:pt idx="4">
                  <c:v>Detentions, total N=3</c:v>
                </c:pt>
                <c:pt idx="5">
                  <c:v>Referrals, total N=80</c:v>
                </c:pt>
                <c:pt idx="6">
                  <c:v>Arrests, total N=30</c:v>
                </c:pt>
                <c:pt idx="7">
                  <c:v>Population, total N=4129</c:v>
                </c:pt>
              </c:strCache>
            </c:strRef>
          </c:cat>
          <c:val>
            <c:numRef>
              <c:f>'Stacked 100%'!$I$7:$I$14</c:f>
              <c:numCache>
                <c:formatCode>0%</c:formatCode>
                <c:ptCount val="8"/>
                <c:pt idx="0">
                  <c:v>0</c:v>
                </c:pt>
                <c:pt idx="1">
                  <c:v>0.66666666666666663</c:v>
                </c:pt>
                <c:pt idx="2">
                  <c:v>0.8936170212765957</c:v>
                </c:pt>
                <c:pt idx="3">
                  <c:v>0.89473684210526316</c:v>
                </c:pt>
                <c:pt idx="4">
                  <c:v>1</c:v>
                </c:pt>
                <c:pt idx="5">
                  <c:v>0.83750000000000002</c:v>
                </c:pt>
                <c:pt idx="6">
                  <c:v>0.7</c:v>
                </c:pt>
                <c:pt idx="7">
                  <c:v>0.91741341729232262</c:v>
                </c:pt>
              </c:numCache>
            </c:numRef>
          </c:val>
          <c:extLst>
            <c:ext xmlns:c16="http://schemas.microsoft.com/office/drawing/2014/chart" uri="{C3380CC4-5D6E-409C-BE32-E72D297353CC}">
              <c16:uniqueId val="{00000003-DAEF-4AC5-9FFA-7D596811D58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N=47</c:v>
                </c:pt>
                <c:pt idx="3">
                  <c:v>Petitions, total N=57</c:v>
                </c:pt>
                <c:pt idx="4">
                  <c:v>Detentions, total N=3</c:v>
                </c:pt>
                <c:pt idx="5">
                  <c:v>Referrals, total N=80</c:v>
                </c:pt>
                <c:pt idx="6">
                  <c:v>Arrests, total N=30</c:v>
                </c:pt>
                <c:pt idx="7">
                  <c:v>Population, total N=4129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AEF-4AC5-9FFA-7D596811D58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4" sqref="F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4129</v>
      </c>
      <c r="C6" s="11">
        <v>3788</v>
      </c>
      <c r="D6" s="11">
        <v>59</v>
      </c>
      <c r="E6" s="11">
        <v>246</v>
      </c>
      <c r="F6" s="11">
        <v>21</v>
      </c>
      <c r="G6" s="11"/>
      <c r="H6" s="11">
        <v>15</v>
      </c>
      <c r="I6" s="11"/>
      <c r="J6" s="91">
        <f>SUM(D6:I6)</f>
        <v>341</v>
      </c>
      <c r="K6" s="92"/>
    </row>
    <row r="7" spans="1:11" ht="15.75" customHeight="1" thickBot="1">
      <c r="A7" s="10" t="s">
        <v>8</v>
      </c>
      <c r="B7" s="11">
        <f t="shared" ref="B7:B15" si="0">SUM(C7:I7)+K7</f>
        <v>30</v>
      </c>
      <c r="C7" s="11">
        <v>21</v>
      </c>
      <c r="D7" s="11">
        <v>0</v>
      </c>
      <c r="E7" s="11">
        <v>0</v>
      </c>
      <c r="F7" s="11">
        <v>0</v>
      </c>
      <c r="G7" s="11">
        <v>0</v>
      </c>
      <c r="H7" s="11">
        <v>0</v>
      </c>
      <c r="I7" s="11"/>
      <c r="J7" s="91">
        <f t="shared" ref="J7:J15" si="1">SUM(D7:I7)</f>
        <v>0</v>
      </c>
      <c r="K7" s="92">
        <v>9</v>
      </c>
    </row>
    <row r="8" spans="1:11" ht="15.75" customHeight="1" thickBot="1">
      <c r="A8" s="10" t="s">
        <v>9</v>
      </c>
      <c r="B8" s="11">
        <f t="shared" si="0"/>
        <v>80</v>
      </c>
      <c r="C8" s="11">
        <v>67</v>
      </c>
      <c r="D8" s="11">
        <v>2</v>
      </c>
      <c r="E8" s="11"/>
      <c r="F8" s="11"/>
      <c r="G8" s="11"/>
      <c r="H8" s="11"/>
      <c r="I8" s="11"/>
      <c r="J8" s="91">
        <f t="shared" si="1"/>
        <v>2</v>
      </c>
      <c r="K8" s="92">
        <v>11</v>
      </c>
    </row>
    <row r="9" spans="1:11" ht="15.75" customHeight="1" thickBot="1">
      <c r="A9" s="10" t="s">
        <v>10</v>
      </c>
      <c r="B9" s="11">
        <f t="shared" si="0"/>
        <v>9</v>
      </c>
      <c r="C9" s="11">
        <v>4</v>
      </c>
      <c r="D9" s="11"/>
      <c r="E9" s="11"/>
      <c r="F9" s="11"/>
      <c r="G9" s="11"/>
      <c r="H9" s="11"/>
      <c r="I9" s="11"/>
      <c r="J9" s="91">
        <f t="shared" si="1"/>
        <v>0</v>
      </c>
      <c r="K9" s="92">
        <v>5</v>
      </c>
    </row>
    <row r="10" spans="1:11" ht="15.75" customHeight="1" thickBot="1">
      <c r="A10" s="10" t="s">
        <v>11</v>
      </c>
      <c r="B10" s="11">
        <f t="shared" si="0"/>
        <v>3</v>
      </c>
      <c r="C10" s="11">
        <v>3</v>
      </c>
      <c r="D10" s="11"/>
      <c r="E10" s="11"/>
      <c r="F10" s="11"/>
      <c r="G10" s="11"/>
      <c r="H10" s="11"/>
      <c r="I10" s="11"/>
      <c r="J10" s="91">
        <f t="shared" si="1"/>
        <v>0</v>
      </c>
      <c r="K10" s="92"/>
    </row>
    <row r="11" spans="1:11" ht="15.75" customHeight="1" thickBot="1">
      <c r="A11" s="10" t="s">
        <v>12</v>
      </c>
      <c r="B11" s="11">
        <f t="shared" si="0"/>
        <v>57</v>
      </c>
      <c r="C11" s="11">
        <v>51</v>
      </c>
      <c r="D11" s="11">
        <v>2</v>
      </c>
      <c r="E11" s="11"/>
      <c r="F11" s="11"/>
      <c r="G11" s="11"/>
      <c r="H11" s="11"/>
      <c r="I11" s="11"/>
      <c r="J11" s="91">
        <f t="shared" si="1"/>
        <v>2</v>
      </c>
      <c r="K11" s="92">
        <v>4</v>
      </c>
    </row>
    <row r="12" spans="1:11" ht="15.75" customHeight="1" thickBot="1">
      <c r="A12" s="10" t="s">
        <v>13</v>
      </c>
      <c r="B12" s="11">
        <f t="shared" si="0"/>
        <v>47</v>
      </c>
      <c r="C12" s="11">
        <v>42</v>
      </c>
      <c r="D12" s="11">
        <v>2</v>
      </c>
      <c r="E12" s="11"/>
      <c r="F12" s="11"/>
      <c r="G12" s="11"/>
      <c r="H12" s="11"/>
      <c r="I12" s="11"/>
      <c r="J12" s="91">
        <f t="shared" si="1"/>
        <v>2</v>
      </c>
      <c r="K12" s="92">
        <v>3</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3</v>
      </c>
      <c r="C14" s="11">
        <v>2</v>
      </c>
      <c r="D14" s="11"/>
      <c r="E14" s="11"/>
      <c r="F14" s="11"/>
      <c r="G14" s="11"/>
      <c r="H14" s="11"/>
      <c r="I14" s="11"/>
      <c r="J14" s="91">
        <f t="shared" si="1"/>
        <v>0</v>
      </c>
      <c r="K14" s="92">
        <v>1</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21</v>
      </c>
      <c r="Q7" s="42">
        <f>C6-C7</f>
        <v>3767</v>
      </c>
      <c r="R7" s="42">
        <f t="shared" ref="R7:R15" si="5">SUM(N7:Q7)</f>
        <v>3788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67</v>
      </c>
      <c r="D8" s="34">
        <f>IF((AND(C67&gt;0,C8&gt;0)),(C8/C67),0)</f>
        <v>319.04761904761904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-46</v>
      </c>
      <c r="R8" s="42">
        <f t="shared" si="5"/>
        <v>21.049999999999997</v>
      </c>
      <c r="S8" s="30">
        <f t="shared" si="6"/>
        <v>236.23362499999996</v>
      </c>
      <c r="T8" s="30">
        <f t="shared" si="7"/>
        <v>-3232.5825000000004</v>
      </c>
      <c r="U8" s="31">
        <f t="shared" si="8"/>
        <v>-7.3078916006010658E-2</v>
      </c>
    </row>
    <row r="9" spans="2:21" ht="18" customHeight="1">
      <c r="B9" s="32" t="str">
        <f>'Data Entry'!A9</f>
        <v xml:space="preserve">4. Cases Diverted </v>
      </c>
      <c r="C9" s="33">
        <f>'Data Entry'!C9</f>
        <v>4</v>
      </c>
      <c r="D9" s="34">
        <f>IF((AND(C68&gt;0,C9&gt;0)),((C9/C68)),0)</f>
        <v>5.9701492537313428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63</v>
      </c>
      <c r="R9" s="42">
        <f t="shared" si="5"/>
        <v>67</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4.4776119402985071</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64</v>
      </c>
      <c r="R10" s="42">
        <f t="shared" si="5"/>
        <v>67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76.119402985074629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42</v>
      </c>
      <c r="D12" s="34">
        <f>IF(((AND(C69&gt;0,C12&gt;0))),(C12/(C69)),0)</f>
        <v>82.35294117647058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42</v>
      </c>
      <c r="Q12" s="42">
        <f>(C69*L69)-C12</f>
        <v>9</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42</v>
      </c>
      <c r="R13" s="42">
        <f t="shared" si="5"/>
        <v>42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40</v>
      </c>
      <c r="R14" s="42">
        <f t="shared" si="5"/>
        <v>42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0</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0.42</v>
      </c>
      <c r="D46" s="49">
        <f>E12/100</f>
        <v>0</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0</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0</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0</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0</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v>
      </c>
      <c r="E70" s="56">
        <f>MAX(C70:D70)</f>
        <v>0.42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Entry'!J6</f>
        <v>341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341</v>
      </c>
      <c r="P7" s="42">
        <f t="shared" ref="P7:P15" si="4">C7</f>
        <v>21</v>
      </c>
      <c r="Q7" s="42">
        <f>C6-C7</f>
        <v>3767</v>
      </c>
      <c r="R7" s="42">
        <f t="shared" ref="R7:R15" si="5">SUM(N7:Q7)</f>
        <v>4129</v>
      </c>
      <c r="S7" s="30">
        <f t="shared" ref="S7:S15" si="6">R7*((((N7*Q7)-(O7*P7))^2))</f>
        <v>211734793809</v>
      </c>
      <c r="T7" s="30">
        <f t="shared" ref="T7:T15" si="7">(N7+O7)*(P7+Q7)*(N7+P7)*(O7+Q7)</f>
        <v>111433065744</v>
      </c>
      <c r="U7" s="31">
        <f t="shared" ref="U7:U15" si="8">IF((S7&gt;0),S7/T7,"- -")</f>
        <v>1.9001074088316614</v>
      </c>
    </row>
    <row r="8" spans="2:21" ht="18" customHeight="1">
      <c r="B8" s="32" t="str">
        <f>'Data Entry'!A8</f>
        <v>3. Refer to Juvenile Court</v>
      </c>
      <c r="C8" s="33">
        <f>'Data Entry'!C8</f>
        <v>67</v>
      </c>
      <c r="D8" s="34">
        <f>IF((AND(C67&gt;0,C8&gt;0)),(C8/C67),0)</f>
        <v>319.04761904761904</v>
      </c>
      <c r="E8" s="33">
        <f>'Data Entry'!J8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67</v>
      </c>
      <c r="Q8" s="42">
        <f>(C$67*L67)-C8</f>
        <v>-46</v>
      </c>
      <c r="R8" s="42">
        <f t="shared" si="5"/>
        <v>21.049999999999997</v>
      </c>
      <c r="S8" s="30">
        <f t="shared" si="6"/>
        <v>31444.963625000004</v>
      </c>
      <c r="T8" s="30">
        <f t="shared" si="7"/>
        <v>-3473.9775000000031</v>
      </c>
      <c r="U8" s="31">
        <f t="shared" si="8"/>
        <v>-9.0515737724265559</v>
      </c>
    </row>
    <row r="9" spans="2:21" ht="18" customHeight="1">
      <c r="B9" s="32" t="str">
        <f>'Data Entry'!A9</f>
        <v xml:space="preserve">4. Cases Diverted </v>
      </c>
      <c r="C9" s="33">
        <f>'Data Entry'!C9</f>
        <v>4</v>
      </c>
      <c r="D9" s="34">
        <f>IF((AND(C68&gt;0,C9&gt;0)),((C9/C68)),0)</f>
        <v>5.9701492537313428</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4</v>
      </c>
      <c r="Q9" s="42">
        <f>(C$68*L68)-C9</f>
        <v>63</v>
      </c>
      <c r="R9" s="42">
        <f t="shared" si="5"/>
        <v>69</v>
      </c>
      <c r="S9" s="30">
        <f t="shared" si="6"/>
        <v>4416</v>
      </c>
      <c r="T9" s="30">
        <f t="shared" si="7"/>
        <v>34840</v>
      </c>
      <c r="U9" s="31">
        <f t="shared" si="8"/>
        <v>0.12675086107921929</v>
      </c>
    </row>
    <row r="10" spans="2:21" ht="18" customHeight="1">
      <c r="B10" s="32" t="str">
        <f>'Data Entry'!A10</f>
        <v>5. Cases Involving Secure Detention</v>
      </c>
      <c r="C10" s="33">
        <f>'Data Entry'!C10</f>
        <v>3</v>
      </c>
      <c r="D10" s="34">
        <f>IF(((AND(C68&gt;0,C10&gt;0))),(C10/(C68)),0)</f>
        <v>4.4776119402985071</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3</v>
      </c>
      <c r="Q10" s="42">
        <f>(C$68*L68)-C10</f>
        <v>64</v>
      </c>
      <c r="R10" s="42">
        <f t="shared" si="5"/>
        <v>69</v>
      </c>
      <c r="S10" s="30">
        <f t="shared" si="6"/>
        <v>2484</v>
      </c>
      <c r="T10" s="30">
        <f t="shared" si="7"/>
        <v>26532</v>
      </c>
      <c r="U10" s="31">
        <f t="shared" si="8"/>
        <v>9.3622795115332433E-2</v>
      </c>
    </row>
    <row r="11" spans="2:21" ht="18" customHeight="1">
      <c r="B11" s="32" t="str">
        <f>'Data Entry'!A11</f>
        <v>6. Cases Petitioned (Charge Filed)</v>
      </c>
      <c r="C11" s="33">
        <f>'Data Entry'!C11</f>
        <v>51</v>
      </c>
      <c r="D11" s="34">
        <f>IF(((AND(C68&gt;0,C11&gt;0))),(C11/(C68)),0)</f>
        <v>76.119402985074629</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51</v>
      </c>
      <c r="Q11" s="42">
        <f>(C$68*L68)-C11</f>
        <v>16</v>
      </c>
      <c r="R11" s="42">
        <f t="shared" si="5"/>
        <v>69</v>
      </c>
      <c r="S11" s="30">
        <f t="shared" si="6"/>
        <v>70656</v>
      </c>
      <c r="T11" s="30">
        <f t="shared" si="7"/>
        <v>113632</v>
      </c>
      <c r="U11" s="31">
        <f t="shared" si="8"/>
        <v>0.62179667699239649</v>
      </c>
    </row>
    <row r="12" spans="2:21" ht="18" customHeight="1">
      <c r="B12" s="32" t="str">
        <f>'Data Entry'!A12</f>
        <v>7. Cases Resulting in Delinquent Findings</v>
      </c>
      <c r="C12" s="33">
        <f>'Data Entry'!C12</f>
        <v>42</v>
      </c>
      <c r="D12" s="34">
        <f>IF(((AND(C69&gt;0,C12&gt;0))),(C12/(C69)),0)</f>
        <v>82.35294117647058</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42</v>
      </c>
      <c r="Q12" s="42">
        <f>(C69*L69)-C12</f>
        <v>9</v>
      </c>
      <c r="R12" s="42">
        <f t="shared" si="5"/>
        <v>53</v>
      </c>
      <c r="S12" s="30">
        <f t="shared" si="6"/>
        <v>17172</v>
      </c>
      <c r="T12" s="30">
        <f t="shared" si="7"/>
        <v>40392</v>
      </c>
      <c r="U12" s="31">
        <f t="shared" si="8"/>
        <v>0.42513368983957217</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42</v>
      </c>
      <c r="R13" s="42">
        <f t="shared" si="5"/>
        <v>44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2</v>
      </c>
      <c r="Q14" s="42">
        <f>(C70*L70)-C14</f>
        <v>40</v>
      </c>
      <c r="R14" s="42">
        <f t="shared" si="5"/>
        <v>44</v>
      </c>
      <c r="S14" s="30">
        <f t="shared" si="6"/>
        <v>704</v>
      </c>
      <c r="T14" s="30">
        <f t="shared" si="7"/>
        <v>7056</v>
      </c>
      <c r="U14" s="31">
        <f t="shared" si="8"/>
        <v>9.9773242630385492E-2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51</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0.34100000000000003</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0.02</v>
      </c>
      <c r="E44" s="56">
        <f>MAX(C44:D44,0)</f>
        <v>0.67</v>
      </c>
      <c r="G44" s="1" t="str">
        <f>B44</f>
        <v>per 100 referrals</v>
      </c>
      <c r="L44" s="57">
        <v>100</v>
      </c>
      <c r="M44" s="57"/>
      <c r="R44" s="49"/>
    </row>
    <row r="45" spans="2:18" ht="15" hidden="1" customHeight="1">
      <c r="B45" s="49" t="s">
        <v>89</v>
      </c>
      <c r="C45" s="49">
        <f>C11/100</f>
        <v>0.51</v>
      </c>
      <c r="D45" s="49">
        <f>E11/100</f>
        <v>0.02</v>
      </c>
      <c r="E45" s="56">
        <f>MAX(C45:D45,0)</f>
        <v>0.51</v>
      </c>
      <c r="G45" s="1" t="str">
        <f>B45</f>
        <v>per 100 youth petitioned</v>
      </c>
      <c r="L45" s="57">
        <v>100</v>
      </c>
      <c r="M45" s="57"/>
      <c r="R45" s="49"/>
    </row>
    <row r="46" spans="2:18" ht="15" hidden="1" customHeight="1">
      <c r="B46" s="49" t="s">
        <v>90</v>
      </c>
      <c r="C46" s="49">
        <f>C12/100</f>
        <v>0.42</v>
      </c>
      <c r="D46" s="49">
        <f>E12/100</f>
        <v>0.02</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0.34100000000000003</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0.02</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0.02</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0.02</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0.34100000000000003</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0.02</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0.02</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0.02</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0.34100000000000003</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0.02</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0.02</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0.02</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0.34100000000000003</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0.02</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0.02</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0.02</v>
      </c>
      <c r="E70" s="56">
        <f>MAX(C70:D70)</f>
        <v>0.42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Sanilac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4129</v>
      </c>
      <c r="D3" s="57">
        <f>'Data Entry'!C6</f>
        <v>3788</v>
      </c>
      <c r="E3" s="57">
        <f>'Data Entry'!D6</f>
        <v>59</v>
      </c>
      <c r="F3" s="57">
        <f>'Data Entry'!E6</f>
        <v>246</v>
      </c>
      <c r="G3" s="57">
        <f>'Data Entry'!F6</f>
        <v>21</v>
      </c>
      <c r="H3" s="57">
        <f>'Data Entry'!G6</f>
        <v>0</v>
      </c>
      <c r="I3" s="57">
        <f>'Data Entry'!H6</f>
        <v>15</v>
      </c>
      <c r="J3" s="57">
        <f>'Data Entry'!I6</f>
        <v>0</v>
      </c>
      <c r="K3" s="57">
        <f>'Data Entry'!J6</f>
        <v>341</v>
      </c>
    </row>
    <row r="4" spans="2:11" ht="15" customHeight="1">
      <c r="B4" s="16" t="s">
        <v>8</v>
      </c>
      <c r="C4" s="1">
        <f>IF((C$3&gt;0),(1000*('Data Entry'!B7/'Data Entry'!B$6)), 0)</f>
        <v>7.2656817631387751</v>
      </c>
      <c r="D4" s="1">
        <f>IF((D$3&gt;0),(1000*('Data Entry'!C7/'Data Entry'!C$6)), 0)</f>
        <v>5.5438225976768747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19.375151368370062</v>
      </c>
      <c r="D5" s="1">
        <f>IF((D$3&gt;0),(1000*('Data Entry'!C8/'Data Entry'!C$6)), 0)</f>
        <v>17.687434002111935</v>
      </c>
      <c r="E5" s="1">
        <f>IF((E$3&gt;0),(1000*('Data Entry'!D8/'Data Entry'!D$6)), 0)</f>
        <v>33.898305084745765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5.8651026392961878</v>
      </c>
    </row>
    <row r="6" spans="2:11" ht="15" customHeight="1">
      <c r="B6" s="16" t="s">
        <v>10</v>
      </c>
      <c r="C6" s="1">
        <f>IF((C$3&gt;0),(1000*('Data Entry'!B9/'Data Entry'!B$6)), 0)</f>
        <v>2.1797045289416324</v>
      </c>
      <c r="D6" s="1">
        <f>IF((D$3&gt;0),(1000*('Data Entry'!C9/'Data Entry'!C$6)), 0)</f>
        <v>1.0559662090813093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0.72656817631387749</v>
      </c>
      <c r="D7" s="1">
        <f>IF((D$3&gt;0),(1000*('Data Entry'!C10/'Data Entry'!C$6)), 0)</f>
        <v>0.79197465681098211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13.804795349963671</v>
      </c>
      <c r="D8" s="1">
        <f>IF((D$3&gt;0),(1000*('Data Entry'!C11/'Data Entry'!C$6)), 0)</f>
        <v>13.463569165786694</v>
      </c>
      <c r="E8" s="1">
        <f>IF((E$3&gt;0),(1000*('Data Entry'!D11/'Data Entry'!D$6)), 0)</f>
        <v>33.898305084745765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5.8651026392961878</v>
      </c>
    </row>
    <row r="9" spans="2:11" ht="15" customHeight="1">
      <c r="B9" s="16" t="s">
        <v>13</v>
      </c>
      <c r="C9" s="1">
        <f>IF((C$3&gt;0),(1000*('Data Entry'!B12/'Data Entry'!B$6)), 0)</f>
        <v>11.382901428917412</v>
      </c>
      <c r="D9" s="1">
        <f>IF((D$3&gt;0),(1000*('Data Entry'!C12/'Data Entry'!C$6)), 0)</f>
        <v>11.087645195353749</v>
      </c>
      <c r="E9" s="1">
        <f>IF((E$3&gt;0),(1000*('Data Entry'!D12/'Data Entry'!D$6)), 0)</f>
        <v>33.898305084745765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5.8651026392961878</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0.72656817631387749</v>
      </c>
      <c r="D11" s="1">
        <f>IF((D$3&gt;0),(1000*('Data Entry'!C14/'Data Entry'!C$6)), 0)</f>
        <v>0.52798310454065467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Sanilac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1.9165190994181633</v>
      </c>
      <c r="E20" s="72" t="str">
        <f t="shared" si="2"/>
        <v>--</v>
      </c>
      <c r="F20" s="72" t="str">
        <f t="shared" si="2"/>
        <v>--</v>
      </c>
      <c r="G20" s="72" t="str">
        <f t="shared" si="2"/>
        <v>--</v>
      </c>
      <c r="H20" s="72" t="str">
        <f t="shared" si="2"/>
        <v>--</v>
      </c>
      <c r="I20" s="72" t="str">
        <f t="shared" si="2"/>
        <v>--</v>
      </c>
      <c r="J20" s="73">
        <f t="shared" si="2"/>
        <v>0.33159714623364112</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2.5177799933532738</v>
      </c>
      <c r="E23" s="72" t="str">
        <f t="shared" si="2"/>
        <v>--</v>
      </c>
      <c r="F23" s="72" t="str">
        <f t="shared" si="2"/>
        <v>--</v>
      </c>
      <c r="G23" s="72" t="str">
        <f t="shared" si="2"/>
        <v>--</v>
      </c>
      <c r="H23" s="72" t="str">
        <f t="shared" si="2"/>
        <v>--</v>
      </c>
      <c r="I23" s="72" t="str">
        <f t="shared" si="2"/>
        <v>--</v>
      </c>
      <c r="J23" s="73">
        <f t="shared" si="2"/>
        <v>0.435627623483411</v>
      </c>
    </row>
    <row r="24" spans="2:10" ht="15" customHeight="1">
      <c r="B24" s="71" t="s">
        <v>13</v>
      </c>
      <c r="C24" s="72">
        <f t="shared" si="2"/>
        <v>1</v>
      </c>
      <c r="D24" s="72">
        <f t="shared" si="2"/>
        <v>3.0573042776432606</v>
      </c>
      <c r="E24" s="72" t="str">
        <f t="shared" si="2"/>
        <v>--</v>
      </c>
      <c r="F24" s="72" t="str">
        <f t="shared" si="2"/>
        <v>--</v>
      </c>
      <c r="G24" s="72" t="str">
        <f t="shared" si="2"/>
        <v>--</v>
      </c>
      <c r="H24" s="72" t="str">
        <f t="shared" si="2"/>
        <v>--</v>
      </c>
      <c r="I24" s="72" t="str">
        <f t="shared" si="2"/>
        <v>--</v>
      </c>
      <c r="J24" s="73">
        <f t="shared" si="2"/>
        <v>0.52897639994414181</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Sanilac</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3788</v>
      </c>
      <c r="D7" s="104">
        <f>'Data Entry'!D6</f>
        <v>59</v>
      </c>
      <c r="E7" s="105"/>
      <c r="F7" s="106">
        <f>'Data Entry'!E6</f>
        <v>246</v>
      </c>
      <c r="G7" s="105"/>
      <c r="H7" s="106">
        <f>'Data Entry'!F6</f>
        <v>21</v>
      </c>
      <c r="I7" s="105"/>
      <c r="J7" s="106">
        <f>'Data Entry'!G6</f>
        <v>0</v>
      </c>
      <c r="K7" s="105"/>
      <c r="L7" s="106">
        <f>'Data Entry'!H6</f>
        <v>15</v>
      </c>
      <c r="M7" s="105"/>
      <c r="N7" s="106">
        <f>'Data Entry'!I6</f>
        <v>0</v>
      </c>
      <c r="O7" s="105"/>
      <c r="P7" s="106">
        <f>'Data Entry'!J6</f>
        <v>341</v>
      </c>
      <c r="Q7" s="107"/>
    </row>
    <row r="8" spans="2:26" s="1" customFormat="1" ht="15" customHeight="1">
      <c r="B8" s="142" t="s">
        <v>8</v>
      </c>
      <c r="C8" s="103">
        <f>'Data Entry'!C7</f>
        <v>21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67</v>
      </c>
      <c r="D9" s="108">
        <f>'Data Entry'!D8</f>
        <v>2</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2</v>
      </c>
      <c r="Q9" s="111" t="str">
        <f>'All Minorities'!G8</f>
        <v>**</v>
      </c>
      <c r="R9"/>
      <c r="T9" s="1">
        <f>'Black or African-American'!L8</f>
        <v>20</v>
      </c>
      <c r="U9" s="1">
        <f>Hispanic!L8</f>
        <v>40</v>
      </c>
      <c r="V9" s="1">
        <f>Asian!L8</f>
        <v>139</v>
      </c>
      <c r="W9" s="1">
        <f>Hawaiian!L8</f>
        <v>139</v>
      </c>
      <c r="X9" s="1">
        <f>'Am Indian'!L8</f>
        <v>139</v>
      </c>
      <c r="Y9" s="1">
        <f>'Other - Mixed'!L8</f>
        <v>139</v>
      </c>
      <c r="Z9" s="1">
        <f>'All Minorities'!L8</f>
        <v>20</v>
      </c>
    </row>
    <row r="10" spans="2:26" s="1" customFormat="1" ht="15" customHeight="1">
      <c r="B10" s="142" t="s">
        <v>10</v>
      </c>
      <c r="C10" s="103">
        <f>'Data Entry'!C9</f>
        <v>4</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51</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42</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Sanilac</v>
      </c>
    </row>
    <row r="6" spans="1:12">
      <c r="A6" s="135" t="str">
        <f>CONCATENATE("Percentage of Minorities at Stages of the Juvenile Justice System, ", A5, " 2024")</f>
        <v>Percentage of Minorities at Stages of the Juvenile Justice System, County: Sanilac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11.10850439882698</v>
      </c>
    </row>
    <row r="8" spans="1:12" ht="25.5" customHeight="1">
      <c r="A8" s="151" t="str">
        <f>CONCATENATE("Confinement, total N=", 'Data Entry'!B14)</f>
        <v>Confinement, total N=3</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0.66666666666666663</v>
      </c>
      <c r="K8" s="96" t="str">
        <f>A8</f>
        <v>Confinement, total N=3</v>
      </c>
      <c r="L8">
        <f>I14/(SUM(B14:G14))</f>
        <v>11.10850439882698</v>
      </c>
    </row>
    <row r="9" spans="1:12">
      <c r="A9" s="128" t="str">
        <f>CONCATENATE("Delinquent Findings, total N=", 'Data Entry'!B12)</f>
        <v>Delinquent Findings, total N=47</v>
      </c>
      <c r="B9" s="150">
        <f>'Data Entry'!D12/'Data Entry'!B12</f>
        <v>4.2553191489361701E-2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0.8936170212765957</v>
      </c>
      <c r="K9" s="96" t="str">
        <f t="shared" si="0"/>
        <v>Delinquent Findings, total N=47</v>
      </c>
      <c r="L9">
        <f>I14/(SUM(B14:G14))</f>
        <v>11.10850439882698</v>
      </c>
    </row>
    <row r="10" spans="1:12">
      <c r="A10" s="128" t="str">
        <f>CONCATENATE("Petitions, total N=", 'Data Entry'!B11)</f>
        <v>Petitions, total N=57</v>
      </c>
      <c r="B10" s="150">
        <f>'Data Entry'!D11/'Data Entry'!B11</f>
        <v>3.5087719298245612E-2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0.89473684210526316</v>
      </c>
      <c r="K10" s="96" t="str">
        <f t="shared" si="0"/>
        <v>Petitions, total N=57</v>
      </c>
      <c r="L10">
        <f>I14/(SUM(B14:G14))</f>
        <v>11.10850439882698</v>
      </c>
    </row>
    <row r="11" spans="1:12">
      <c r="A11" s="128" t="str">
        <f>CONCATENATE("Detentions, total N=", 'Data Entry'!B10)</f>
        <v>Detentions, total N=3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N=3</v>
      </c>
      <c r="L11">
        <f>I14/(SUM(B14:G14))</f>
        <v>11.10850439882698</v>
      </c>
    </row>
    <row r="12" spans="1:12">
      <c r="A12" s="128" t="str">
        <f>CONCATENATE("Referrals, total N=", 'Data Entry'!B8)</f>
        <v>Referrals, total N=80</v>
      </c>
      <c r="B12" s="150">
        <f>'Data Entry'!D8/'Data Entry'!B8</f>
        <v>2.5000000000000001E-2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0.83750000000000002</v>
      </c>
      <c r="K12" s="96" t="str">
        <f t="shared" si="0"/>
        <v>Referrals, total N=80</v>
      </c>
      <c r="L12">
        <f>I14/(SUM(B14:G14))</f>
        <v>11.10850439882698</v>
      </c>
    </row>
    <row r="13" spans="1:12">
      <c r="A13" s="128" t="str">
        <f>CONCATENATE("Arrests, total N=", 'Data Entry'!B7)</f>
        <v>Arrests, total N=30</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v>
      </c>
      <c r="K13" s="96" t="str">
        <f t="shared" si="0"/>
        <v>Arrests, total N=30</v>
      </c>
      <c r="L13">
        <f>I14/(SUM(B14:G14))</f>
        <v>11.10850439882698</v>
      </c>
    </row>
    <row r="14" spans="1:12">
      <c r="A14" s="128" t="str">
        <f>CONCATENATE("Population, total N=", 'Data Entry'!B6)</f>
        <v>Population, total N=4129</v>
      </c>
      <c r="B14" s="150">
        <f>'Data Entry'!D6/'Data Entry'!B6</f>
        <v>1.4289174134172923E-2</v>
      </c>
      <c r="C14" s="150">
        <f>'Data Entry'!E6/'Data Entry'!B6</f>
        <v>5.9578590457737952E-2</v>
      </c>
      <c r="D14" s="150">
        <f>'Data Entry'!F6/'Data Entry'!B6</f>
        <v>5.0859772341971419E-3</v>
      </c>
      <c r="E14" s="150">
        <f>'Data Entry'!G6/'Data Entry'!B6</f>
        <v>0</v>
      </c>
      <c r="F14" s="150">
        <f>'Data Entry'!H6/'Data Entry'!B6</f>
        <v>3.6328408815693874E-3</v>
      </c>
      <c r="G14" s="150">
        <f>'Data Entry'!I6/'Data Entry'!B6</f>
        <v>0</v>
      </c>
      <c r="H14" s="150">
        <f>SUM(D14:G14)/'Data Entry'!B6</f>
        <v>2.1116052593282951E-6</v>
      </c>
      <c r="I14" s="150">
        <f>'Data Entry'!C6/'Data Entry'!B6</f>
        <v>0.91741341729232262</v>
      </c>
      <c r="K14" s="96" t="str">
        <f t="shared" si="0"/>
        <v>Population, total N=4129</v>
      </c>
      <c r="L14">
        <f>I14/(SUM(B14:G14))</f>
        <v>11.10850439882698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Sanilac</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3788</v>
      </c>
      <c r="D7" s="104">
        <f>'Data Entry'!D6</f>
        <v>59</v>
      </c>
      <c r="E7" s="105"/>
      <c r="F7" s="106">
        <f>'Data Entry'!E6</f>
        <v>246</v>
      </c>
      <c r="G7" s="105"/>
      <c r="H7" s="106">
        <f>'Data Entry'!F6</f>
        <v>21</v>
      </c>
      <c r="I7" s="105"/>
      <c r="J7" s="106">
        <f>'Data Entry'!J6</f>
        <v>341</v>
      </c>
      <c r="K7" s="107"/>
    </row>
    <row r="8" spans="2:30" s="1" customFormat="1" ht="15" customHeight="1">
      <c r="B8" s="121" t="s">
        <v>8</v>
      </c>
      <c r="C8" s="103">
        <f>'Data Entry'!C7</f>
        <v>21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67</v>
      </c>
      <c r="D9" s="108">
        <f>'Data Entry'!D8</f>
        <v>2</v>
      </c>
      <c r="E9" s="109" t="str">
        <f>'Black or African-American'!$G8</f>
        <v>**</v>
      </c>
      <c r="F9" s="110">
        <f>'Data Entry'!E8</f>
        <v>0</v>
      </c>
      <c r="G9" s="109" t="str">
        <f>Hispanic!G8</f>
        <v>**</v>
      </c>
      <c r="H9" s="110">
        <f>'Data Entry'!F8</f>
        <v>0</v>
      </c>
      <c r="I9" s="109" t="str">
        <f>Asian!G8</f>
        <v>*</v>
      </c>
      <c r="J9" s="110">
        <f>'Data Entry'!J8</f>
        <v>2</v>
      </c>
      <c r="K9" s="111" t="str">
        <f>'All Minorities'!G8</f>
        <v>**</v>
      </c>
      <c r="L9"/>
      <c r="N9" s="1">
        <f>'Black or African-American'!L8</f>
        <v>20</v>
      </c>
      <c r="O9" s="1">
        <f>Hispanic!L8</f>
        <v>40</v>
      </c>
      <c r="P9" s="1">
        <f>Asian!L8</f>
        <v>139</v>
      </c>
      <c r="Q9" s="1">
        <f>Hawaiian!L8</f>
        <v>139</v>
      </c>
      <c r="R9" s="1">
        <f>'Am Indian'!L8</f>
        <v>139</v>
      </c>
      <c r="S9" s="1">
        <f>'Other - Mixed'!L8</f>
        <v>139</v>
      </c>
      <c r="T9" s="1">
        <f>'All Minorities'!L8</f>
        <v>20</v>
      </c>
    </row>
    <row r="10" spans="2:30" s="1" customFormat="1" ht="15" customHeight="1">
      <c r="B10" s="121" t="s">
        <v>10</v>
      </c>
      <c r="C10" s="103">
        <f>'Data Entry'!C9</f>
        <v>4</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51</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42</v>
      </c>
      <c r="D13" s="108">
        <f>'Data Entry'!D12</f>
        <v>2</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Entry'!D6</f>
        <v>59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59</v>
      </c>
      <c r="P7" s="42">
        <f t="shared" ref="P7:P15" si="2">C7</f>
        <v>21</v>
      </c>
      <c r="Q7" s="42">
        <f>C6-C7</f>
        <v>3767</v>
      </c>
      <c r="R7" s="42">
        <f t="shared" ref="R7:R15" si="3">SUM(N7:Q7)</f>
        <v>3847</v>
      </c>
      <c r="S7" s="30">
        <f t="shared" ref="S7:S15" si="4">R7*((((N7*Q7)-(O7*P7))^2))</f>
        <v>5905610487</v>
      </c>
      <c r="T7" s="30">
        <f t="shared" ref="T7:T15" si="5">(N7+O7)*(P7+Q7)*(N7+P7)*(O7+Q7)</f>
        <v>17956688232</v>
      </c>
      <c r="U7" s="31">
        <f t="shared" ref="U7:U15" si="6">IF((S7&gt;0),S7/T7,"- -")</f>
        <v>0.32888082761696635</v>
      </c>
    </row>
    <row r="8" spans="2:21" ht="18" customHeight="1">
      <c r="B8" s="32" t="str">
        <f>'Data Entry'!A8</f>
        <v>3. Refer to Juvenile Court</v>
      </c>
      <c r="C8" s="33">
        <f>'Data Entry'!C8</f>
        <v>67</v>
      </c>
      <c r="D8" s="34">
        <f>IF((AND(C67&gt;0,C8&gt;0)),(C8/C67),0)</f>
        <v>319.04761904761904</v>
      </c>
      <c r="E8" s="33">
        <f>'Data Entry'!D8</f>
        <v>2</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v>
      </c>
      <c r="O8" s="42">
        <f>((D67*L67)-E8)+0.05</f>
        <v>-1.95</v>
      </c>
      <c r="P8" s="42">
        <f t="shared" si="2"/>
        <v>67</v>
      </c>
      <c r="Q8" s="42">
        <f>(C$67*L67)-C8</f>
        <v>-46</v>
      </c>
      <c r="R8" s="42">
        <f t="shared" si="3"/>
        <v>21.049999999999997</v>
      </c>
      <c r="S8" s="30">
        <f t="shared" si="4"/>
        <v>31444.963625000004</v>
      </c>
      <c r="T8" s="30">
        <f t="shared" si="5"/>
        <v>-3473.9775000000031</v>
      </c>
      <c r="U8" s="31">
        <f t="shared" si="6"/>
        <v>-9.0515737724265559</v>
      </c>
    </row>
    <row r="9" spans="2:21" ht="18" customHeight="1">
      <c r="B9" s="32" t="str">
        <f>'Data Entry'!A9</f>
        <v xml:space="preserve">4. Cases Diverted </v>
      </c>
      <c r="C9" s="33">
        <f>'Data Entry'!C9</f>
        <v>4</v>
      </c>
      <c r="D9" s="34">
        <f>IF((AND(C68&gt;0,C9&gt;0)),((C9/C68)),0)</f>
        <v>5.9701492537313428</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2</v>
      </c>
      <c r="P9" s="42">
        <f t="shared" si="2"/>
        <v>4</v>
      </c>
      <c r="Q9" s="42">
        <f>(C$68*L68)-C9</f>
        <v>63</v>
      </c>
      <c r="R9" s="42">
        <f t="shared" si="3"/>
        <v>69</v>
      </c>
      <c r="S9" s="30">
        <f t="shared" si="4"/>
        <v>4416</v>
      </c>
      <c r="T9" s="30">
        <f t="shared" si="5"/>
        <v>34840</v>
      </c>
      <c r="U9" s="31">
        <f t="shared" si="6"/>
        <v>0.12675086107921929</v>
      </c>
    </row>
    <row r="10" spans="2:21" ht="18" customHeight="1">
      <c r="B10" s="32" t="str">
        <f>'Data Entry'!A10</f>
        <v>5. Cases Involving Secure Detention</v>
      </c>
      <c r="C10" s="33">
        <f>'Data Entry'!C10</f>
        <v>3</v>
      </c>
      <c r="D10" s="34">
        <f>IF(((AND(C68&gt;0,C10&gt;0))),(C10/(C68)),0)</f>
        <v>4.4776119402985071</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v>
      </c>
      <c r="P10" s="42">
        <f t="shared" si="2"/>
        <v>3</v>
      </c>
      <c r="Q10" s="42">
        <f>(C$68*L68)-C10</f>
        <v>64</v>
      </c>
      <c r="R10" s="42">
        <f t="shared" si="3"/>
        <v>69</v>
      </c>
      <c r="S10" s="30">
        <f t="shared" si="4"/>
        <v>2484</v>
      </c>
      <c r="T10" s="30">
        <f t="shared" si="5"/>
        <v>26532</v>
      </c>
      <c r="U10" s="31">
        <f t="shared" si="6"/>
        <v>9.3622795115332433E-2</v>
      </c>
    </row>
    <row r="11" spans="2:21" ht="18" customHeight="1">
      <c r="B11" s="32" t="str">
        <f>'Data Entry'!A11</f>
        <v>6. Cases Petitioned (Charge Filed)</v>
      </c>
      <c r="C11" s="33">
        <f>'Data Entry'!C11</f>
        <v>51</v>
      </c>
      <c r="D11" s="34">
        <f>IF(((AND(C68&gt;0,C11&gt;0))),(C11/(C68)),0)</f>
        <v>76.119402985074629</v>
      </c>
      <c r="E11" s="33">
        <f>'Data Entry'!D11</f>
        <v>2</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0</v>
      </c>
      <c r="P11" s="42">
        <f t="shared" si="2"/>
        <v>51</v>
      </c>
      <c r="Q11" s="42">
        <f>(C$68*L68)-C11</f>
        <v>16</v>
      </c>
      <c r="R11" s="42">
        <f t="shared" si="3"/>
        <v>69</v>
      </c>
      <c r="S11" s="30">
        <f t="shared" si="4"/>
        <v>70656</v>
      </c>
      <c r="T11" s="30">
        <f t="shared" si="5"/>
        <v>113632</v>
      </c>
      <c r="U11" s="31">
        <f t="shared" si="6"/>
        <v>0.62179667699239649</v>
      </c>
    </row>
    <row r="12" spans="2:21" ht="18" customHeight="1">
      <c r="B12" s="32" t="str">
        <f>'Data Entry'!A12</f>
        <v>7. Cases Resulting in Delinquent Findings</v>
      </c>
      <c r="C12" s="33">
        <f>'Data Entry'!C12</f>
        <v>42</v>
      </c>
      <c r="D12" s="34">
        <f>IF(((AND(C69&gt;0,C12&gt;0))),(C12/(C69)),0)</f>
        <v>82.35294117647058</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42</v>
      </c>
      <c r="Q12" s="42">
        <f>(C69*L69)-C12</f>
        <v>9</v>
      </c>
      <c r="R12" s="42">
        <f t="shared" si="3"/>
        <v>53</v>
      </c>
      <c r="S12" s="30">
        <f t="shared" si="4"/>
        <v>17172</v>
      </c>
      <c r="T12" s="30">
        <f t="shared" si="5"/>
        <v>40392</v>
      </c>
      <c r="U12" s="31">
        <f t="shared" si="6"/>
        <v>0.42513368983957217</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v>
      </c>
      <c r="P13" s="42">
        <f t="shared" si="2"/>
        <v>0</v>
      </c>
      <c r="Q13" s="42">
        <f>(C70*L70)-C13</f>
        <v>42</v>
      </c>
      <c r="R13" s="42">
        <f t="shared" si="3"/>
        <v>44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2</v>
      </c>
      <c r="Q14" s="42">
        <f>(C70*L70)-C14</f>
        <v>40</v>
      </c>
      <c r="R14" s="42">
        <f t="shared" si="3"/>
        <v>44</v>
      </c>
      <c r="S14" s="30">
        <f t="shared" si="4"/>
        <v>704</v>
      </c>
      <c r="T14" s="30">
        <f t="shared" si="5"/>
        <v>7056</v>
      </c>
      <c r="U14" s="31">
        <f t="shared" si="6"/>
        <v>9.9773242630385492E-2</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51</v>
      </c>
      <c r="R15" s="42">
        <f t="shared" si="3"/>
        <v>53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5.8999999999999997E-2</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0.02</v>
      </c>
      <c r="E44" s="56">
        <f>MAX(C44:D44,0)</f>
        <v>0.67</v>
      </c>
      <c r="G44" s="1" t="str">
        <f>B44</f>
        <v>per 100 referrals</v>
      </c>
      <c r="L44" s="57">
        <v>100</v>
      </c>
      <c r="M44" s="57"/>
      <c r="R44" s="49"/>
    </row>
    <row r="45" spans="2:18" ht="15" hidden="1" customHeight="1">
      <c r="B45" s="49" t="s">
        <v>89</v>
      </c>
      <c r="C45" s="49">
        <f>C11/100</f>
        <v>0.51</v>
      </c>
      <c r="D45" s="49">
        <f>E11/100</f>
        <v>0.02</v>
      </c>
      <c r="E45" s="56">
        <f>MAX(C45:D45,0)</f>
        <v>0.51</v>
      </c>
      <c r="G45" s="1" t="str">
        <f>B45</f>
        <v>per 100 youth petitioned</v>
      </c>
      <c r="L45" s="57">
        <v>100</v>
      </c>
      <c r="M45" s="57"/>
      <c r="R45" s="49"/>
    </row>
    <row r="46" spans="2:18" ht="15" hidden="1" customHeight="1">
      <c r="B46" s="49" t="s">
        <v>90</v>
      </c>
      <c r="C46" s="49">
        <f>C12/100</f>
        <v>0.42</v>
      </c>
      <c r="D46" s="49">
        <f>E12/100</f>
        <v>0.02</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5.8999999999999997E-2</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0.02</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0.02</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0.02</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5.8999999999999997E-2</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0.02</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0.02</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0.02</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5.8999999999999997E-2</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0.02</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0.02</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0.02</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5.8999999999999997E-2</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0.02</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0.02</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0.02</v>
      </c>
      <c r="E70" s="56">
        <f>MAX(C70:D70)</f>
        <v>0.42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Entry'!F6</f>
        <v>21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21</v>
      </c>
      <c r="P7" s="42">
        <f t="shared" ref="P7:P15" si="4">C7</f>
        <v>21</v>
      </c>
      <c r="Q7" s="42">
        <f>C6-C7</f>
        <v>3767</v>
      </c>
      <c r="R7" s="42">
        <f t="shared" ref="R7:R15" si="5">SUM(N7:Q7)</f>
        <v>3809</v>
      </c>
      <c r="S7" s="30">
        <f t="shared" ref="S7:S15" si="6">R7*((((N7*Q7)-(O7*P7))^2))</f>
        <v>740778129</v>
      </c>
      <c r="T7" s="30">
        <f t="shared" ref="T7:T15" si="7">(N7+O7)*(P7+Q7)*(N7+P7)*(O7+Q7)</f>
        <v>6327884304</v>
      </c>
      <c r="U7" s="31">
        <f t="shared" ref="U7:U15" si="8">IF((S7&gt;0),S7/T7,"- -")</f>
        <v>0.11706568790009914</v>
      </c>
    </row>
    <row r="8" spans="2:21" ht="18" customHeight="1">
      <c r="B8" s="32" t="str">
        <f>'Data Entry'!A8</f>
        <v>3. Refer to Juvenile Court</v>
      </c>
      <c r="C8" s="33">
        <f>'Data Entry'!C8</f>
        <v>67</v>
      </c>
      <c r="D8" s="34">
        <f>IF((AND(C67&gt;0,C8&gt;0)),(C8/C67),0)</f>
        <v>319.04761904761904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-46</v>
      </c>
      <c r="R8" s="42">
        <f t="shared" si="5"/>
        <v>21.049999999999997</v>
      </c>
      <c r="S8" s="30">
        <f t="shared" si="6"/>
        <v>236.23362499999996</v>
      </c>
      <c r="T8" s="30">
        <f t="shared" si="7"/>
        <v>-3232.5825000000004</v>
      </c>
      <c r="U8" s="31">
        <f t="shared" si="8"/>
        <v>-7.3078916006010658E-2</v>
      </c>
    </row>
    <row r="9" spans="2:21" ht="18" customHeight="1">
      <c r="B9" s="32" t="str">
        <f>'Data Entry'!A9</f>
        <v xml:space="preserve">4. Cases Diverted </v>
      </c>
      <c r="C9" s="33">
        <f>'Data Entry'!C9</f>
        <v>4</v>
      </c>
      <c r="D9" s="34">
        <f>IF((AND(C68&gt;0,C9&gt;0)),((C9/C68)),0)</f>
        <v>5.9701492537313428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63</v>
      </c>
      <c r="R9" s="42">
        <f t="shared" si="5"/>
        <v>67</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4.4776119402985071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64</v>
      </c>
      <c r="R10" s="42">
        <f t="shared" si="5"/>
        <v>67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76.119402985074629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42</v>
      </c>
      <c r="D12" s="34">
        <f>IF(((AND(C69&gt;0,C12&gt;0))),(C12/(C69)),0)</f>
        <v>82.35294117647058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42</v>
      </c>
      <c r="Q12" s="42">
        <f>(C69*L69)-C12</f>
        <v>9</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42</v>
      </c>
      <c r="R13" s="42">
        <f t="shared" si="5"/>
        <v>42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40</v>
      </c>
      <c r="R14" s="42">
        <f t="shared" si="5"/>
        <v>42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2.1000000000000001E-2</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0.42</v>
      </c>
      <c r="D46" s="49">
        <f>E12/100</f>
        <v>0</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2.1000000000000001E-2</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2.1000000000000001E-2</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2.1000000000000001E-2</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2.1000000000000001E-2</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v>
      </c>
      <c r="E70" s="56">
        <f>MAX(C70:D70)</f>
        <v>0.42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Entry'!E6</f>
        <v>246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246</v>
      </c>
      <c r="P7" s="42">
        <f t="shared" ref="P7:P15" si="4">C7</f>
        <v>21</v>
      </c>
      <c r="Q7" s="42">
        <f>C6-C7</f>
        <v>3767</v>
      </c>
      <c r="R7" s="42">
        <f t="shared" ref="R7:R15" si="5">SUM(N7:Q7)</f>
        <v>4034</v>
      </c>
      <c r="S7" s="30">
        <f t="shared" ref="S7:S15" si="6">R7*((((N7*Q7)-(O7*P7))^2))</f>
        <v>107657600904</v>
      </c>
      <c r="T7" s="30">
        <f t="shared" ref="T7:T15" si="7">(N7+O7)*(P7+Q7)*(N7+P7)*(O7+Q7)</f>
        <v>78529626504</v>
      </c>
      <c r="U7" s="31">
        <f t="shared" ref="U7:U15" si="8">IF((S7&gt;0),S7/T7,"- -")</f>
        <v>1.3709170117919296</v>
      </c>
    </row>
    <row r="8" spans="2:21" ht="18" customHeight="1">
      <c r="B8" s="32" t="str">
        <f>'Data Entry'!A8</f>
        <v>3. Refer to Juvenile Court</v>
      </c>
      <c r="C8" s="33">
        <f>'Data Entry'!C8</f>
        <v>67</v>
      </c>
      <c r="D8" s="34">
        <f>IF((AND(C67&gt;0,C8&gt;0)),(C8/C67),0)</f>
        <v>319.04761904761904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67</v>
      </c>
      <c r="Q8" s="42">
        <f>(C$67*L67)-C8</f>
        <v>-46</v>
      </c>
      <c r="R8" s="42">
        <f t="shared" si="5"/>
        <v>21.049999999999997</v>
      </c>
      <c r="S8" s="30">
        <f t="shared" si="6"/>
        <v>236.23362499999996</v>
      </c>
      <c r="T8" s="30">
        <f t="shared" si="7"/>
        <v>-3232.5825000000004</v>
      </c>
      <c r="U8" s="31">
        <f t="shared" si="8"/>
        <v>-7.3078916006010658E-2</v>
      </c>
    </row>
    <row r="9" spans="2:21" ht="18" customHeight="1">
      <c r="B9" s="32" t="str">
        <f>'Data Entry'!A9</f>
        <v xml:space="preserve">4. Cases Diverted </v>
      </c>
      <c r="C9" s="33">
        <f>'Data Entry'!C9</f>
        <v>4</v>
      </c>
      <c r="D9" s="34">
        <f>IF((AND(C68&gt;0,C9&gt;0)),((C9/C68)),0)</f>
        <v>5.9701492537313428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63</v>
      </c>
      <c r="R9" s="42">
        <f t="shared" si="5"/>
        <v>67</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4.4776119402985071</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64</v>
      </c>
      <c r="R10" s="42">
        <f t="shared" si="5"/>
        <v>67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76.119402985074629</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42</v>
      </c>
      <c r="D12" s="34">
        <f>IF(((AND(C69&gt;0,C12&gt;0))),(C12/(C69)),0)</f>
        <v>82.35294117647058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42</v>
      </c>
      <c r="Q12" s="42">
        <f>(C69*L69)-C12</f>
        <v>9</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42</v>
      </c>
      <c r="R13" s="42">
        <f t="shared" si="5"/>
        <v>42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40</v>
      </c>
      <c r="R14" s="42">
        <f t="shared" si="5"/>
        <v>42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0.246</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0.42</v>
      </c>
      <c r="D46" s="49">
        <f>E12/100</f>
        <v>0</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0.246</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0.246</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0.246</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0.246</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v>
      </c>
      <c r="E70" s="56">
        <f>MAX(C70:D70)</f>
        <v>0.42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21</v>
      </c>
      <c r="Q7" s="42">
        <f>C6-C7</f>
        <v>3767</v>
      </c>
      <c r="R7" s="42">
        <f t="shared" ref="R7:R15" si="5">SUM(N7:Q7)</f>
        <v>3788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67</v>
      </c>
      <c r="D8" s="34">
        <f>IF((AND(C67&gt;0,C8&gt;0)),(C8/C67),0)</f>
        <v>319.04761904761904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-46</v>
      </c>
      <c r="R8" s="42">
        <f t="shared" si="5"/>
        <v>21.049999999999997</v>
      </c>
      <c r="S8" s="30">
        <f t="shared" si="6"/>
        <v>236.23362499999996</v>
      </c>
      <c r="T8" s="30">
        <f t="shared" si="7"/>
        <v>-3232.5825000000004</v>
      </c>
      <c r="U8" s="31">
        <f t="shared" si="8"/>
        <v>-7.3078916006010658E-2</v>
      </c>
    </row>
    <row r="9" spans="2:21" ht="18" customHeight="1">
      <c r="B9" s="32" t="str">
        <f>'Data Entry'!A9</f>
        <v xml:space="preserve">4. Cases Diverted </v>
      </c>
      <c r="C9" s="33">
        <f>'Data Entry'!C9</f>
        <v>4</v>
      </c>
      <c r="D9" s="34">
        <f>IF((AND(C68&gt;0,C9&gt;0)),((C9/C68)),0)</f>
        <v>5.9701492537313428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63</v>
      </c>
      <c r="R9" s="42">
        <f t="shared" si="5"/>
        <v>67</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4.4776119402985071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64</v>
      </c>
      <c r="R10" s="42">
        <f t="shared" si="5"/>
        <v>67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76.119402985074629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42</v>
      </c>
      <c r="D12" s="34">
        <f>IF(((AND(C69&gt;0,C12&gt;0))),(C12/(C69)),0)</f>
        <v>82.35294117647058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42</v>
      </c>
      <c r="Q12" s="42">
        <f>(C69*L69)-C12</f>
        <v>9</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42</v>
      </c>
      <c r="R13" s="42">
        <f t="shared" si="5"/>
        <v>42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40</v>
      </c>
      <c r="R14" s="42">
        <f t="shared" si="5"/>
        <v>42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0</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0.42</v>
      </c>
      <c r="D46" s="49">
        <f>E12/100</f>
        <v>0</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0</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0</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0</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0</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v>
      </c>
      <c r="E70" s="56">
        <f>MAX(C70:D70)</f>
        <v>0.42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3788</v>
      </c>
      <c r="D6" s="34"/>
      <c r="E6" s="33">
        <f>'Data Entry'!H6</f>
        <v>15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5.5438225976768747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21</v>
      </c>
      <c r="Q7" s="42">
        <f>C6-C7</f>
        <v>3767</v>
      </c>
      <c r="R7" s="42">
        <f t="shared" ref="R7:R15" si="5">SUM(N7:Q7)</f>
        <v>3803</v>
      </c>
      <c r="S7" s="30">
        <f t="shared" ref="S7:S15" si="6">R7*((((N7*Q7)-(O7*P7))^2))</f>
        <v>377352675</v>
      </c>
      <c r="T7" s="30">
        <f t="shared" ref="T7:T15" si="7">(N7+O7)*(P7+Q7)*(N7+P7)*(O7+Q7)</f>
        <v>4512758040</v>
      </c>
      <c r="U7" s="31">
        <f t="shared" ref="U7:U15" si="8">IF((S7&gt;0),S7/T7,"- -")</f>
        <v>8.3619079874266866E-2</v>
      </c>
    </row>
    <row r="8" spans="2:21" ht="18" customHeight="1">
      <c r="B8" s="32" t="str">
        <f>'Data Entry'!A8</f>
        <v>3. Refer to Juvenile Court</v>
      </c>
      <c r="C8" s="33">
        <f>'Data Entry'!C8</f>
        <v>67</v>
      </c>
      <c r="D8" s="34">
        <f>IF((AND(C67&gt;0,C8&gt;0)),(C8/C67),0)</f>
        <v>319.04761904761904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-46</v>
      </c>
      <c r="R8" s="42">
        <f t="shared" si="5"/>
        <v>21.049999999999997</v>
      </c>
      <c r="S8" s="30">
        <f t="shared" si="6"/>
        <v>236.23362499999996</v>
      </c>
      <c r="T8" s="30">
        <f t="shared" si="7"/>
        <v>-3232.5825000000004</v>
      </c>
      <c r="U8" s="31">
        <f t="shared" si="8"/>
        <v>-7.3078916006010658E-2</v>
      </c>
    </row>
    <row r="9" spans="2:21" ht="18" customHeight="1">
      <c r="B9" s="32" t="str">
        <f>'Data Entry'!A9</f>
        <v xml:space="preserve">4. Cases Diverted </v>
      </c>
      <c r="C9" s="33">
        <f>'Data Entry'!C9</f>
        <v>4</v>
      </c>
      <c r="D9" s="34">
        <f>IF((AND(C68&gt;0,C9&gt;0)),((C9/C68)),0)</f>
        <v>5.9701492537313428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63</v>
      </c>
      <c r="R9" s="42">
        <f t="shared" si="5"/>
        <v>67</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4.4776119402985071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64</v>
      </c>
      <c r="R10" s="42">
        <f t="shared" si="5"/>
        <v>67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76.119402985074629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42</v>
      </c>
      <c r="D12" s="34">
        <f>IF(((AND(C69&gt;0,C12&gt;0))),(C12/(C69)),0)</f>
        <v>82.35294117647058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42</v>
      </c>
      <c r="Q12" s="42">
        <f>(C69*L69)-C12</f>
        <v>9</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42</v>
      </c>
      <c r="R13" s="42">
        <f t="shared" si="5"/>
        <v>42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4.7619047619047619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40</v>
      </c>
      <c r="R14" s="42">
        <f t="shared" si="5"/>
        <v>42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3.7879999999999998</v>
      </c>
      <c r="D42" s="56">
        <f>E6/1000</f>
        <v>1.4999999999999999E-2</v>
      </c>
      <c r="E42" s="56">
        <f>MAX(C42:D42)</f>
        <v>3.7879999999999998</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0.42</v>
      </c>
      <c r="D46" s="49">
        <f>E12/100</f>
        <v>0</v>
      </c>
      <c r="E46" s="56">
        <f>MAX(C46:D46)</f>
        <v>0.42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3.7879999999999998</v>
      </c>
      <c r="D48" s="56">
        <f>D42</f>
        <v>1.4999999999999999E-2</v>
      </c>
      <c r="E48" s="56">
        <f>MAX(C48:D48)</f>
        <v>3.7879999999999998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0.42</v>
      </c>
      <c r="D52" s="49">
        <f>IF(($E46&gt;0),D46,D45)</f>
        <v>0</v>
      </c>
      <c r="E52" s="56">
        <f>MAX(C52:D52)</f>
        <v>0.42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3.7879999999999998</v>
      </c>
      <c r="D54" s="56">
        <f>D48</f>
        <v>1.4999999999999999E-2</v>
      </c>
      <c r="E54" s="56">
        <f>MAX(C54:D54)</f>
        <v>3.7879999999999998</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0.42</v>
      </c>
      <c r="D58" s="49">
        <f>IF(($E52&gt;0),D52,D51)</f>
        <v>0</v>
      </c>
      <c r="E58" s="56">
        <f>MAX(C58:D58)</f>
        <v>0.42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3.7879999999999998</v>
      </c>
      <c r="D60" s="56">
        <f>D54</f>
        <v>1.4999999999999999E-2</v>
      </c>
      <c r="E60" s="56">
        <f>MAX(C60:D60)</f>
        <v>3.7879999999999998</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0.42</v>
      </c>
      <c r="D64" s="49">
        <f>IF(($E58&gt;0),D58,D57)</f>
        <v>0</v>
      </c>
      <c r="E64" s="56">
        <f>MAX(C64:D64)</f>
        <v>0.42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3.7879999999999998</v>
      </c>
      <c r="D66" s="56">
        <f>D60</f>
        <v>1.4999999999999999E-2</v>
      </c>
      <c r="E66" s="56">
        <f>MAX(C66:D66)</f>
        <v>3.7879999999999998</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0.42</v>
      </c>
      <c r="D70" s="49">
        <f>IF(($E64&gt;0),D64,D63)</f>
        <v>0</v>
      </c>
      <c r="E70" s="56">
        <f>MAX(C70:D70)</f>
        <v>0.42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U47JMPN4QEAR-1806752177-35395</_dlc_DocId>
    <_dlc_DocIdUrl xmlns="ac3811b5-0f3e-49e2-ba69-f2ffa0c782af">
      <Url>https://michiganphi.sharepoint.com/sites/CMDMC/_layouts/15/DocIdRedir.aspx?ID=U47JMPN4QEAR-1806752177-35395</Url>
      <Description>U47JMPN4QEAR-1806752177-35395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B3CF17-CC85-470B-A6D2-371AA1863BD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C553DAFA-C7CC-4A61-ABA6-587660D7317F}"/>
</file>

<file path=customXml/itemProps3.xml><?xml version="1.0" encoding="utf-8"?>
<ds:datastoreItem xmlns:ds="http://schemas.openxmlformats.org/officeDocument/2006/customXml" ds:itemID="{50E35B2D-373E-4781-AE49-83ED056B4C4E}">
  <ds:schemaRefs>
    <ds:schemaRef ds:uri="http://schemas.microsoft.com/sharepoint/v3/contenttype/forms"/>
  </ds:schemaRefs>
</ds:datastoreItem>
</file>

<file path=customXml/itemProps4.xml><?xml version="1.0" encoding="utf-8"?>
<ds:datastoreItem xmlns:ds="http://schemas.openxmlformats.org/officeDocument/2006/customXml" ds:itemID="{C8B6F988-EAC5-4004-A321-25914B9218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007e5bf9-cb67-4502-82ca-93b160a9fc6e</vt:lpwstr>
  </property>
</Properties>
</file>