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4542F27A-B499-408E-9CA7-AC8AD45E5A2D}" xr6:coauthVersionLast="47" xr6:coauthVersionMax="47" xr10:uidLastSave="{75E25B48-6CAE-4C54-B936-DD8E0E7B939B}"/>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2"/>
  <c r="M66" i="2"/>
  <c r="F27" i="4"/>
  <c r="M66" i="4"/>
  <c r="M66" i="8"/>
  <c r="F27" i="8"/>
  <c r="F27" i="3"/>
  <c r="M66" i="3"/>
  <c r="F27" i="5"/>
  <c r="M66" i="5"/>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E46" i="3"/>
  <c r="E44" i="6"/>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E51" i="2"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L58" i="8" l="1"/>
  <c r="B58" i="8"/>
  <c r="E58" i="5"/>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B64" i="5" l="1"/>
  <c r="L64" i="5"/>
  <c r="C64" i="5"/>
  <c r="D64" i="5"/>
  <c r="E58" i="8"/>
  <c r="L64" i="3"/>
  <c r="B56" i="8"/>
  <c r="L56" i="8"/>
  <c r="C57" i="8"/>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E64" i="5"/>
  <c r="C64" i="8"/>
  <c r="L64" i="8"/>
  <c r="D64" i="8"/>
  <c r="E57" i="8"/>
  <c r="B63" i="8" s="1"/>
  <c r="C63" i="3"/>
  <c r="Q8" i="13"/>
  <c r="I7" i="9"/>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3" i="3" l="1"/>
  <c r="C69" i="3" s="1"/>
  <c r="C63" i="8"/>
  <c r="E64" i="8"/>
  <c r="L63" i="8"/>
  <c r="D63" i="8"/>
  <c r="E63" i="8" s="1"/>
  <c r="D69" i="8" s="1"/>
  <c r="L69" i="7"/>
  <c r="C69" i="7"/>
  <c r="D12" i="7" s="1"/>
  <c r="D70" i="6"/>
  <c r="F13" i="6" s="1"/>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D69" i="3"/>
  <c r="E69" i="3" s="1"/>
  <c r="F29" i="4"/>
  <c r="F13" i="5"/>
  <c r="F33" i="3"/>
  <c r="F13" i="4"/>
  <c r="F33" i="4"/>
  <c r="F10" i="4"/>
  <c r="O10" i="4"/>
  <c r="M67" i="5"/>
  <c r="O11" i="3"/>
  <c r="T11" i="3" s="1"/>
  <c r="O14" i="4"/>
  <c r="Q13" i="4"/>
  <c r="F30" i="3"/>
  <c r="Q9" i="3"/>
  <c r="O10" i="3"/>
  <c r="E68" i="3"/>
  <c r="O9" i="3"/>
  <c r="F31" i="3"/>
  <c r="F29" i="3"/>
  <c r="D14" i="4"/>
  <c r="L70" i="7"/>
  <c r="O14" i="7" s="1"/>
  <c r="M69" i="7"/>
  <c r="B69" i="3"/>
  <c r="M69" i="3" s="1"/>
  <c r="E64" i="2"/>
  <c r="L70" i="2" s="1"/>
  <c r="L67" i="6"/>
  <c r="F10" i="3"/>
  <c r="F11" i="3"/>
  <c r="F34" i="3"/>
  <c r="D67" i="6"/>
  <c r="F8" i="6" s="1"/>
  <c r="L69" i="3"/>
  <c r="Q12" i="3"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D70" i="8" l="1"/>
  <c r="F13" i="8" s="1"/>
  <c r="L70" i="8"/>
  <c r="F14" i="3"/>
  <c r="Q15" i="7"/>
  <c r="B70" i="8"/>
  <c r="M70" i="8" s="1"/>
  <c r="C70" i="8"/>
  <c r="Q13" i="8" s="1"/>
  <c r="O14" i="6"/>
  <c r="D15" i="7"/>
  <c r="O12" i="7"/>
  <c r="Q12" i="7"/>
  <c r="E70" i="3"/>
  <c r="C69" i="6"/>
  <c r="D12" i="6" s="1"/>
  <c r="E69" i="7"/>
  <c r="F14" i="6"/>
  <c r="D13" i="3"/>
  <c r="O15" i="7"/>
  <c r="F12" i="7"/>
  <c r="O13" i="6"/>
  <c r="B69" i="6"/>
  <c r="M69" i="6" s="1"/>
  <c r="D14" i="6"/>
  <c r="E70" i="6"/>
  <c r="O13" i="3"/>
  <c r="Q14" i="3"/>
  <c r="Q13" i="3"/>
  <c r="Q13" i="6"/>
  <c r="Q14" i="6"/>
  <c r="O14" i="3"/>
  <c r="D69" i="6"/>
  <c r="F12" i="6" s="1"/>
  <c r="T10" i="3"/>
  <c r="K10" i="4"/>
  <c r="F8" i="7"/>
  <c r="T9" i="4"/>
  <c r="T11" i="4"/>
  <c r="U11" i="4" s="1"/>
  <c r="J11" i="4" s="1"/>
  <c r="K11" i="4"/>
  <c r="R10" i="4"/>
  <c r="S10" i="4"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K9" i="4"/>
  <c r="R9" i="4"/>
  <c r="S9" i="4" s="1"/>
  <c r="F32" i="2"/>
  <c r="O13" i="8"/>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O12" i="3"/>
  <c r="R12" i="3" s="1"/>
  <c r="S12" i="3" s="1"/>
  <c r="R9" i="3"/>
  <c r="S9" i="3" s="1"/>
  <c r="T9" i="3"/>
  <c r="R14" i="5"/>
  <c r="S14" i="5" s="1"/>
  <c r="U14" i="5" s="1"/>
  <c r="J14" i="5" s="1"/>
  <c r="M14" i="5" s="1"/>
  <c r="C70" i="2"/>
  <c r="D14" i="2" s="1"/>
  <c r="T14" i="5"/>
  <c r="O15" i="3"/>
  <c r="K14" i="5"/>
  <c r="Q15" i="3"/>
  <c r="D70" i="2"/>
  <c r="O14" i="2" s="1"/>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Q14" i="8" l="1"/>
  <c r="F33" i="8"/>
  <c r="F34" i="8"/>
  <c r="R15" i="7"/>
  <c r="S15" i="7" s="1"/>
  <c r="U15" i="7" s="1"/>
  <c r="J15" i="7" s="1"/>
  <c r="E70" i="8"/>
  <c r="Q12" i="6"/>
  <c r="R14" i="6"/>
  <c r="S14" i="6" s="1"/>
  <c r="D15" i="6"/>
  <c r="K12" i="7"/>
  <c r="T12" i="7"/>
  <c r="R12" i="7"/>
  <c r="S12" i="7" s="1"/>
  <c r="U12" i="7" s="1"/>
  <c r="J12" i="7" s="1"/>
  <c r="D14" i="8"/>
  <c r="D13" i="8"/>
  <c r="R13" i="8"/>
  <c r="S13" i="8" s="1"/>
  <c r="K15" i="7"/>
  <c r="L15" i="7" s="1"/>
  <c r="S16" i="16" s="1"/>
  <c r="K14" i="6"/>
  <c r="T13" i="6"/>
  <c r="T15" i="7"/>
  <c r="Q15" i="6"/>
  <c r="U13" i="4"/>
  <c r="J13" i="4" s="1"/>
  <c r="L13" i="4" s="1"/>
  <c r="O14" i="16" s="1"/>
  <c r="F32" i="6"/>
  <c r="U14" i="4"/>
  <c r="J14" i="4" s="1"/>
  <c r="L14" i="4" s="1"/>
  <c r="O15" i="16" s="1"/>
  <c r="T14" i="6"/>
  <c r="R13" i="6"/>
  <c r="S13" i="6" s="1"/>
  <c r="U13" i="6" s="1"/>
  <c r="J13" i="6" s="1"/>
  <c r="M13" i="6" s="1"/>
  <c r="G13" i="6" s="1"/>
  <c r="G13" i="9" s="1"/>
  <c r="U10" i="4"/>
  <c r="J10" i="4" s="1"/>
  <c r="M10" i="4" s="1"/>
  <c r="G10" i="4" s="1"/>
  <c r="G11" i="16" s="1"/>
  <c r="F35" i="6"/>
  <c r="R14" i="3"/>
  <c r="S14" i="3" s="1"/>
  <c r="U14" i="3" s="1"/>
  <c r="J14" i="3" s="1"/>
  <c r="M14" i="3" s="1"/>
  <c r="G14" i="3" s="1"/>
  <c r="I15" i="16" s="1"/>
  <c r="K13" i="3"/>
  <c r="T13" i="3"/>
  <c r="R13" i="3"/>
  <c r="S13" i="3" s="1"/>
  <c r="U13" i="3" s="1"/>
  <c r="J13" i="3" s="1"/>
  <c r="M13" i="3" s="1"/>
  <c r="G13" i="3" s="1"/>
  <c r="U9" i="4"/>
  <c r="J9" i="4" s="1"/>
  <c r="M9" i="4" s="1"/>
  <c r="G9" i="4" s="1"/>
  <c r="T13" i="8"/>
  <c r="K13" i="6"/>
  <c r="R14" i="8"/>
  <c r="S14" i="8" s="1"/>
  <c r="O12" i="6"/>
  <c r="E69" i="6"/>
  <c r="O15" i="6"/>
  <c r="K14" i="3"/>
  <c r="T14" i="3"/>
  <c r="F15" i="6"/>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R13" i="7"/>
  <c r="S13" i="7" s="1"/>
  <c r="Q13" i="2"/>
  <c r="U9" i="3"/>
  <c r="J9" i="3" s="1"/>
  <c r="L9" i="3" s="1"/>
  <c r="K15" i="3"/>
  <c r="T15" i="3"/>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M14" i="4" l="1"/>
  <c r="G14" i="4" s="1"/>
  <c r="G15" i="16" s="1"/>
  <c r="T12" i="6"/>
  <c r="L12" i="7"/>
  <c r="S13" i="16" s="1"/>
  <c r="T15" i="6"/>
  <c r="U13" i="8"/>
  <c r="J13" i="8" s="1"/>
  <c r="M13" i="8" s="1"/>
  <c r="G13" i="8" s="1"/>
  <c r="Q14" i="13" s="1"/>
  <c r="M13" i="4"/>
  <c r="G13" i="4" s="1"/>
  <c r="G14" i="16" s="1"/>
  <c r="N30" i="4"/>
  <c r="K12" i="6"/>
  <c r="D10" i="9"/>
  <c r="L10" i="4"/>
  <c r="O11" i="16" s="1"/>
  <c r="R12" i="6"/>
  <c r="S12" i="6" s="1"/>
  <c r="U12" i="6" s="1"/>
  <c r="J12" i="6" s="1"/>
  <c r="L14" i="3"/>
  <c r="P15" i="16" s="1"/>
  <c r="I15" i="13"/>
  <c r="N30" i="3"/>
  <c r="E14" i="9"/>
  <c r="U13" i="7"/>
  <c r="J13" i="7" s="1"/>
  <c r="M13" i="7" s="1"/>
  <c r="L13" i="3"/>
  <c r="P14" i="16" s="1"/>
  <c r="L13" i="6"/>
  <c r="R14" i="16" s="1"/>
  <c r="M14" i="13"/>
  <c r="G11" i="13"/>
  <c r="L9" i="4"/>
  <c r="O10" i="16" s="1"/>
  <c r="G10" i="16"/>
  <c r="D9" i="9"/>
  <c r="M12" i="7"/>
  <c r="K15" i="6"/>
  <c r="R15" i="6"/>
  <c r="S15" i="6" s="1"/>
  <c r="U15" i="6" s="1"/>
  <c r="J15" i="6" s="1"/>
  <c r="M15" i="6" s="1"/>
  <c r="G15" i="6" s="1"/>
  <c r="G10" i="13"/>
  <c r="U14" i="8"/>
  <c r="J14" i="8" s="1"/>
  <c r="N30" i="8" s="1"/>
  <c r="M13" i="9"/>
  <c r="U14" i="13"/>
  <c r="U12" i="13"/>
  <c r="M11" i="9"/>
  <c r="R12" i="8"/>
  <c r="S12" i="8" s="1"/>
  <c r="T13" i="2"/>
  <c r="U8" i="6"/>
  <c r="J8" i="6" s="1"/>
  <c r="M8" i="6" s="1"/>
  <c r="G8" i="6" s="1"/>
  <c r="M9" i="13" s="1"/>
  <c r="R13" i="2"/>
  <c r="S13" i="2" s="1"/>
  <c r="T15" i="8"/>
  <c r="V11" i="13"/>
  <c r="G14" i="9"/>
  <c r="T12" i="8"/>
  <c r="K12" i="8"/>
  <c r="Q12" i="9"/>
  <c r="R10" i="7"/>
  <c r="S10" i="7" s="1"/>
  <c r="T11" i="7"/>
  <c r="T10" i="7"/>
  <c r="L8" i="2"/>
  <c r="N9" i="16" s="1"/>
  <c r="Y13" i="13"/>
  <c r="K13" i="2"/>
  <c r="R15" i="5"/>
  <c r="S15" i="5" s="1"/>
  <c r="U15" i="5" s="1"/>
  <c r="J15" i="5" s="1"/>
  <c r="M15" i="5" s="1"/>
  <c r="K11" i="7"/>
  <c r="K15" i="8"/>
  <c r="T9" i="7"/>
  <c r="U9" i="7" s="1"/>
  <c r="J9" i="7" s="1"/>
  <c r="M9" i="7" s="1"/>
  <c r="N10" i="9"/>
  <c r="N30" i="6"/>
  <c r="R11" i="7"/>
  <c r="S11" i="7" s="1"/>
  <c r="L14" i="6"/>
  <c r="R15" i="16" s="1"/>
  <c r="K12" i="5"/>
  <c r="L12" i="5" s="1"/>
  <c r="Q13" i="16" s="1"/>
  <c r="T12" i="5"/>
  <c r="K10" i="7"/>
  <c r="R14" i="2"/>
  <c r="S14" i="2" s="1"/>
  <c r="K9" i="7"/>
  <c r="T14" i="2"/>
  <c r="V12" i="13"/>
  <c r="N11" i="9"/>
  <c r="T15" i="5"/>
  <c r="W14" i="13"/>
  <c r="L15" i="3"/>
  <c r="P16" i="16" s="1"/>
  <c r="M9" i="3"/>
  <c r="G9" i="3" s="1"/>
  <c r="I10" i="13" s="1"/>
  <c r="I14" i="13"/>
  <c r="I14" i="16"/>
  <c r="G12" i="13"/>
  <c r="G12" i="16"/>
  <c r="N9" i="9"/>
  <c r="P10" i="16"/>
  <c r="M14" i="7"/>
  <c r="N30" i="7"/>
  <c r="L14" i="7"/>
  <c r="S15" i="16" s="1"/>
  <c r="L8" i="7"/>
  <c r="S9" i="16" s="1"/>
  <c r="O13" i="9"/>
  <c r="O14" i="9"/>
  <c r="V10"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G14" i="13" l="1"/>
  <c r="L12" i="6"/>
  <c r="R13" i="16" s="1"/>
  <c r="U11" i="13"/>
  <c r="D13" i="9"/>
  <c r="L13" i="8"/>
  <c r="T14" i="16" s="1"/>
  <c r="M9" i="9"/>
  <c r="U10" i="13"/>
  <c r="M10" i="9"/>
  <c r="L13" i="7"/>
  <c r="S14" i="16" s="1"/>
  <c r="N13" i="9"/>
  <c r="M12" i="6"/>
  <c r="G12" i="6" s="1"/>
  <c r="G12" i="9" s="1"/>
  <c r="V14" i="13"/>
  <c r="V15" i="13"/>
  <c r="P13" i="9"/>
  <c r="N14" i="9"/>
  <c r="X14" i="13"/>
  <c r="M14" i="8"/>
  <c r="G14" i="8" s="1"/>
  <c r="K15" i="16" s="1"/>
  <c r="L14" i="8"/>
  <c r="T15" i="16" s="1"/>
  <c r="U11" i="7"/>
  <c r="J11" i="7" s="1"/>
  <c r="L11" i="7" s="1"/>
  <c r="S12" i="16" s="1"/>
  <c r="U10" i="7"/>
  <c r="J10" i="7" s="1"/>
  <c r="L10" i="7" s="1"/>
  <c r="S11" i="16" s="1"/>
  <c r="L15" i="6"/>
  <c r="R16" i="16" s="1"/>
  <c r="K14" i="16"/>
  <c r="I13" i="9"/>
  <c r="U14" i="2"/>
  <c r="J14" i="2" s="1"/>
  <c r="M14" i="2" s="1"/>
  <c r="G14" i="2" s="1"/>
  <c r="E15" i="16" s="1"/>
  <c r="U13" i="2"/>
  <c r="J13" i="2" s="1"/>
  <c r="M13" i="2" s="1"/>
  <c r="G13" i="2" s="1"/>
  <c r="E14" i="16" s="1"/>
  <c r="U12" i="8"/>
  <c r="J12" i="8" s="1"/>
  <c r="M12" i="8" s="1"/>
  <c r="G12" i="8" s="1"/>
  <c r="K13" i="16" s="1"/>
  <c r="L8" i="6"/>
  <c r="R9" i="16" s="1"/>
  <c r="L15" i="5"/>
  <c r="Q16" i="16" s="1"/>
  <c r="T9" i="13"/>
  <c r="L8" i="9"/>
  <c r="X15" i="13"/>
  <c r="P14" i="9"/>
  <c r="G8" i="9"/>
  <c r="Q14" i="9"/>
  <c r="Y15" i="13"/>
  <c r="E9" i="13"/>
  <c r="L10" i="2"/>
  <c r="N11" i="16" s="1"/>
  <c r="L11" i="6"/>
  <c r="R12" i="16" s="1"/>
  <c r="V16" i="13"/>
  <c r="N15" i="9"/>
  <c r="I10" i="16"/>
  <c r="C8" i="9"/>
  <c r="E9" i="9"/>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P12" i="9"/>
  <c r="X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Z14" i="13" l="1"/>
  <c r="R13" i="9"/>
  <c r="Q13" i="9"/>
  <c r="Y14" i="13"/>
  <c r="M13" i="13"/>
  <c r="M10" i="7"/>
  <c r="I14" i="9"/>
  <c r="P15" i="9"/>
  <c r="X16" i="13"/>
  <c r="R14" i="9"/>
  <c r="Z15" i="13"/>
  <c r="M11" i="7"/>
  <c r="Q15" i="13"/>
  <c r="L12" i="8"/>
  <c r="T13" i="16" s="1"/>
  <c r="C13" i="9"/>
  <c r="L14" i="2"/>
  <c r="N15" i="16" s="1"/>
  <c r="N30" i="2"/>
  <c r="L13" i="2"/>
  <c r="N14" i="16" s="1"/>
  <c r="E15" i="13"/>
  <c r="C14" i="9"/>
  <c r="E14"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3" i="13" l="1"/>
  <c r="R12" i="9"/>
  <c r="T15" i="13"/>
  <c r="L13" i="9"/>
  <c r="L14" i="9"/>
  <c r="T14"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<sst xmlns="http://schemas.openxmlformats.org/spreadsheetml/2006/main" count="654" uniqueCount="141">
  <si>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</si>
  <si>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</si>
  <si>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</si>
  <si>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</si>
  <si>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</si>
  <si>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</si>
  <si>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</si>
  <si>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</si>
  <si>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</si>
  <si>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</si>
  <si>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</si>
  <si>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</si>
  <si>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</si>
  <si>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</si>
  <si>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</si>
  <si>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</si>
  <si>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</si>
  <si>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</si>
  <si>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</si>
  <si>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</si>
  <si>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</si>
  <si>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</si>
  <si>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</si>
  <si>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</si>
  <si>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</si>
  <si>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</si>
  <si>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</si>
  <si>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</si>
  <si>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</si>
  <si>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</si>
  <si>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</si>
  <si>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</si>
  <si>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</si>
  <si>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</si>
  <si>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</si>
  <si>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</si>
  <si>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</si>
  <si>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</si>
  <si>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</si>
  <si>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</si>
  <si>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</si>
  <si>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</si>
  <si>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</si>
  <si>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</si>
  <si>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</si>
  <si>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</si>
  <si>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</si>
  <si>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</si>
  <si>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</si>
  <si>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</si>
  <si>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</si>
  <si>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</si>
  <si>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</si>
  <si>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</si>
  <si>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</si>
  <si>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</si>
  <si>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</si>
  <si>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</si>
  <si>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</si>
  <si>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</si>
  <si>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</si>
  <si>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</si>
  <si>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</si>
  <si>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</si>
  <si>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</si>
  <si>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</si>
  <si>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</si>
  <si>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</si>
  <si>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</si>
  <si>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</si>
  <si>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</si>
  <si>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</si>
  <si>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</si>
  <si>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</si>
  <si>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</si>
  <si>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</si>
  <si>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</si>
  <si>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</si>
  <si>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</si>
  <si>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</si>
  <si>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</si>
  <si>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</si>
  <si>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</si>
  <si>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</si>
  <si>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</si>
  <si>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</si>
  <si>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</si>
  <si>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</si>
  <si>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</si>
  <si>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</si>
  <si>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</si>
  <si>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</si>
  <si>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</si>
  <si>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</si>
  <si>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</si>
  <si>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</si>
  <si>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</si>
  <si>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</si>
  <si>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</si>
  <si>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</si>
  <si>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</si>
  <si>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</si>
  <si>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</si>
  <si>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</si>
  <si>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</si>
  <si>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</si>
  <si>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</si>
  <si>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</si>
  <si>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</si>
  <si>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</si>
  <si>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</si>
  <si>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</si>
  <si>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</si>
  <si>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</si>
  <si>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</si>
  <si>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</si>
  <si>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</si>
  <si>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</si>
  <si>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</si>
  <si>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</si>
  <si>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</si>
  <si>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</si>
  <si>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</si>
  <si>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</si>
  <si>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</si>
  <si>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</si>
  <si>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</si>
  <si>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</si>
  <si>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</si>
  <si>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</si>
  <si>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</si>
  <si>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</si>
  <si>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</si>
  <si>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</si>
  <si>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</si>
  <si>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</si>
  <si>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St. Joseph</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</si>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</sst>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St. Joseph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N=26</c:v>
                </c:pt>
                <c:pt idx="2">
                  <c:v>Delinquent Findings, total N=29</c:v>
                </c:pt>
                <c:pt idx="3">
                  <c:v>Petitions, total N=49</c:v>
                </c:pt>
                <c:pt idx="4">
                  <c:v>Detentions, total N=21</c:v>
                </c:pt>
                <c:pt idx="5">
                  <c:v>Referrals, total N=141</c:v>
                </c:pt>
                <c:pt idx="6">
                  <c:v>Arrests, total N=45</c:v>
                </c:pt>
                <c:pt idx="7">
                  <c:v>Population, total N=6941</c:v>
                </c:pt>
              </c:strCache>
            </c:strRef>
          </c:cat>
          <c:val>
            <c:numRef>
              <c:f>'Stacked 100%'!$B$7:$B$14</c:f>
              <c:numCache>
                <c:formatCode>0%</c:formatCode>
                <c:ptCount val="8"/>
                <c:pt idx="0">
                  <c:v>0</c:v>
                </c:pt>
                <c:pt idx="1">
                  <c:v>3.8461538461538464E-2</c:v>
                </c:pt>
                <c:pt idx="2">
                  <c:v>0</c:v>
                </c:pt>
                <c:pt idx="3">
                  <c:v>0.12244897959183673</c:v>
                </c:pt>
                <c:pt idx="4">
                  <c:v>0</c:v>
                </c:pt>
                <c:pt idx="5">
                  <c:v>0.19148936170212766</c:v>
                </c:pt>
                <c:pt idx="6">
                  <c:v>0.37777777777777777</c:v>
                </c:pt>
                <c:pt idx="7">
                  <c:v>5.0280939345915571E-2</c:v>
                </c:pt>
              </c:numCache>
            </c:numRef>
          </c:val>
          <c:extLst>
            <c:ext xmlns:c16="http://schemas.microsoft.com/office/drawing/2014/chart" uri="{C3380CC4-5D6E-409C-BE32-E72D297353CC}">
              <c16:uniqueId val="{00000000-B10A-4FDF-A233-03E8B4452036}"/>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N=26</c:v>
                </c:pt>
                <c:pt idx="2">
                  <c:v>Delinquent Findings, total N=29</c:v>
                </c:pt>
                <c:pt idx="3">
                  <c:v>Petitions, total N=49</c:v>
                </c:pt>
                <c:pt idx="4">
                  <c:v>Detentions, total N=21</c:v>
                </c:pt>
                <c:pt idx="5">
                  <c:v>Referrals, total N=141</c:v>
                </c:pt>
                <c:pt idx="6">
                  <c:v>Arrests, total N=45</c:v>
                </c:pt>
                <c:pt idx="7">
                  <c:v>Population, total N=6941</c:v>
                </c:pt>
              </c:strCache>
            </c:strRef>
          </c:cat>
          <c:val>
            <c:numRef>
              <c:f>'Stacked 100%'!$C$7:$C$14</c:f>
              <c:numCache>
                <c:formatCode>0%</c:formatCode>
                <c:ptCount val="8"/>
                <c:pt idx="0">
                  <c:v>0</c:v>
                </c:pt>
                <c:pt idx="1">
                  <c:v>3.8461538461538464E-2</c:v>
                </c:pt>
                <c:pt idx="2">
                  <c:v>0.10344827586206896</c:v>
                </c:pt>
                <c:pt idx="3">
                  <c:v>8.1632653061224483E-2</c:v>
                </c:pt>
                <c:pt idx="4">
                  <c:v>9.5238095238095233E-2</c:v>
                </c:pt>
                <c:pt idx="5">
                  <c:v>7.0921985815602842E-2</c:v>
                </c:pt>
                <c:pt idx="6">
                  <c:v>6.6666666666666666E-2</c:v>
                </c:pt>
                <c:pt idx="7">
                  <c:v>0.1456562454977669</c:v>
                </c:pt>
              </c:numCache>
            </c:numRef>
          </c:val>
          <c:extLst>
            <c:ext xmlns:c16="http://schemas.microsoft.com/office/drawing/2014/chart" uri="{C3380CC4-5D6E-409C-BE32-E72D297353CC}">
              <c16:uniqueId val="{00000001-B10A-4FDF-A233-03E8B4452036}"/>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N=26</c:v>
                </c:pt>
                <c:pt idx="2">
                  <c:v>Delinquent Findings, total N=29</c:v>
                </c:pt>
                <c:pt idx="3">
                  <c:v>Petitions, total N=49</c:v>
                </c:pt>
                <c:pt idx="4">
                  <c:v>Detentions, total N=21</c:v>
                </c:pt>
                <c:pt idx="5">
                  <c:v>Referrals, total N=141</c:v>
                </c:pt>
                <c:pt idx="6">
                  <c:v>Arrests, total N=45</c:v>
                </c:pt>
                <c:pt idx="7">
                  <c:v>Population, total N=6941</c:v>
                </c:pt>
              </c:strCache>
            </c:strRef>
          </c:cat>
          <c:val>
            <c:numRef>
              <c:f>'Stacked 100%'!$H$7:$H$14</c:f>
              <c:numCache>
                <c:formatCode>0%</c:formatCode>
                <c:ptCount val="8"/>
                <c:pt idx="0">
                  <c:v>0</c:v>
                </c:pt>
                <c:pt idx="1">
                  <c:v>0</c:v>
                </c:pt>
                <c:pt idx="2">
                  <c:v>0</c:v>
                </c:pt>
                <c:pt idx="3">
                  <c:v>0</c:v>
                </c:pt>
                <c:pt idx="4">
                  <c:v>0</c:v>
                </c:pt>
                <c:pt idx="5">
                  <c:v>5.0299280720285702E-5</c:v>
                </c:pt>
                <c:pt idx="6">
                  <c:v>0</c:v>
                </c:pt>
                <c:pt idx="7">
                  <c:v>1.6397702486769701E-6</c:v>
                </c:pt>
              </c:numCache>
            </c:numRef>
          </c:val>
          <c:extLst>
            <c:ext xmlns:c16="http://schemas.microsoft.com/office/drawing/2014/chart" uri="{C3380CC4-5D6E-409C-BE32-E72D297353CC}">
              <c16:uniqueId val="{00000002-B10A-4FDF-A233-03E8B4452036}"/>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N=26</c:v>
                </c:pt>
                <c:pt idx="2">
                  <c:v>Delinquent Findings, total N=29</c:v>
                </c:pt>
                <c:pt idx="3">
                  <c:v>Petitions, total N=49</c:v>
                </c:pt>
                <c:pt idx="4">
                  <c:v>Detentions, total N=21</c:v>
                </c:pt>
                <c:pt idx="5">
                  <c:v>Referrals, total N=141</c:v>
                </c:pt>
                <c:pt idx="6">
                  <c:v>Arrests, total N=45</c:v>
                </c:pt>
                <c:pt idx="7">
                  <c:v>Population, total N=6941</c:v>
                </c:pt>
              </c:strCache>
            </c:strRef>
          </c:cat>
          <c:val>
            <c:numRef>
              <c:f>'Stacked 100%'!$I$7:$I$14</c:f>
              <c:numCache>
                <c:formatCode>0%</c:formatCode>
                <c:ptCount val="8"/>
                <c:pt idx="0">
                  <c:v>0</c:v>
                </c:pt>
                <c:pt idx="1">
                  <c:v>0.92307692307692313</c:v>
                </c:pt>
                <c:pt idx="2">
                  <c:v>0.89655172413793105</c:v>
                </c:pt>
                <c:pt idx="3">
                  <c:v>0.79591836734693877</c:v>
                </c:pt>
                <c:pt idx="4">
                  <c:v>0.90476190476190477</c:v>
                </c:pt>
                <c:pt idx="5">
                  <c:v>0.73049645390070927</c:v>
                </c:pt>
                <c:pt idx="6">
                  <c:v>0.55555555555555558</c:v>
                </c:pt>
                <c:pt idx="7">
                  <c:v>0.79268116986025072</c:v>
                </c:pt>
              </c:numCache>
            </c:numRef>
          </c:val>
          <c:extLst>
            <c:ext xmlns:c16="http://schemas.microsoft.com/office/drawing/2014/chart" uri="{C3380CC4-5D6E-409C-BE32-E72D297353CC}">
              <c16:uniqueId val="{00000003-B10A-4FDF-A233-03E8B4452036}"/>
            </c:ext>
          </c:extLst>
        </c:ser>
        <c:dLbls>
          <c:showLegendKey val="0"/>
          <c:showVal val="0"/>
          <c:showCatName val="0"/>
          <c:showSerName val="0"/>
          <c:showPercent val="0"/>
          <c:showBubbleSize val="0"/>
        </c:dLbls>
        <c:gapWidth val="150"/>
        <c:overlap val="100"/>
        <c:axId val="104348288"/>
        <c:axId val="107279872"/>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N=26</c:v>
                </c:pt>
                <c:pt idx="2">
                  <c:v>Delinquent Findings, total N=29</c:v>
                </c:pt>
                <c:pt idx="3">
                  <c:v>Petitions, total N=49</c:v>
                </c:pt>
                <c:pt idx="4">
                  <c:v>Detentions, total N=21</c:v>
                </c:pt>
                <c:pt idx="5">
                  <c:v>Referrals, total N=141</c:v>
                </c:pt>
                <c:pt idx="6">
                  <c:v>Arrests, total N=45</c:v>
                </c:pt>
                <c:pt idx="7">
                  <c:v>Population, total N=6941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B10A-4FDF-A233-03E8B4452036}"/>
            </c:ext>
          </c:extLst>
        </c:ser>
        <c:dLbls>
          <c:showLegendKey val="0"/>
          <c:showVal val="0"/>
          <c:showCatName val="0"/>
          <c:showSerName val="0"/>
          <c:showPercent val="0"/>
          <c:showBubbleSize val="0"/>
        </c:dLbls>
        <c:gapWidth val="150"/>
        <c:overlap val="100"/>
        <c:axId val="107929984"/>
        <c:axId val="107905792"/>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279872"/>
        <c:crosses val="autoZero"/>
        <c:auto val="1"/>
        <c:lblAlgn val="ctr"/>
        <c:lblOffset val="100"/>
        <c:noMultiLvlLbl val="0"/>
      </c:catAx>
      <c:valAx>
        <c:axId val="107279872"/>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905792"/>
        <c:scaling>
          <c:orientation val="minMax"/>
        </c:scaling>
        <c:delete val="1"/>
        <c:axPos val="t"/>
        <c:numFmt formatCode="0%" sourceLinked="1"/>
        <c:majorTickMark val="out"/>
        <c:minorTickMark val="none"/>
        <c:tickLblPos val="nextTo"/>
        <c:crossAx val="107929984"/>
        <c:crosses val="max"/>
        <c:crossBetween val="between"/>
      </c:valAx>
      <c:catAx>
        <c:axId val="107929984"/>
        <c:scaling>
          <c:orientation val="minMax"/>
        </c:scaling>
        <c:delete val="1"/>
        <c:axPos val="l"/>
        <c:numFmt formatCode="General" sourceLinked="1"/>
        <c:majorTickMark val="out"/>
        <c:minorTickMark val="none"/>
        <c:tickLblPos val="nextTo"/>
        <c:crossAx val="107905792"/>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6941</v>
      </c>
      <c r="C6" s="11">
        <v>5502</v>
      </c>
      <c r="D6" s="11">
        <v>349</v>
      </c>
      <c r="E6" s="11">
        <v>1011</v>
      </c>
      <c r="F6" s="11">
        <v>48</v>
      </c>
      <c r="G6" s="11"/>
      <c r="H6" s="11">
        <v>31</v>
      </c>
      <c r="I6" s="11"/>
      <c r="J6" s="91">
        <f>SUM(D6:I6)</f>
        <v>1439</v>
      </c>
      <c r="K6" s="92"/>
    </row>
    <row r="7" spans="1:11" ht="15.75" customHeight="1" thickBot="1">
      <c r="A7" s="10" t="s">
        <v>8</v>
      </c>
      <c r="B7" s="11">
        <f t="shared" ref="B7:B15" si="0">SUM(C7:I7)+K7</f>
        <v>45</v>
      </c>
      <c r="C7" s="11">
        <v>25</v>
      </c>
      <c r="D7" s="11">
        <v>17</v>
      </c>
      <c r="E7" s="11">
        <v>3</v>
      </c>
      <c r="F7" s="11">
        <v>0</v>
      </c>
      <c r="G7" s="11">
        <v>0</v>
      </c>
      <c r="H7" s="11">
        <v>0</v>
      </c>
      <c r="I7" s="11"/>
      <c r="J7" s="91">
        <f t="shared" ref="J7:J15" si="1">SUM(D7:I7)</f>
        <v>20</v>
      </c>
      <c r="K7" s="92">
        <v>0</v>
      </c>
    </row>
    <row r="8" spans="1:11" ht="15.75" customHeight="1" thickBot="1">
      <c r="A8" s="10" t="s">
        <v>9</v>
      </c>
      <c r="B8" s="11">
        <f t="shared" si="0"/>
        <v>141</v>
      </c>
      <c r="C8" s="11">
        <v>103</v>
      </c>
      <c r="D8" s="11">
        <v>27</v>
      </c>
      <c r="E8" s="11">
        <v>10</v>
      </c>
      <c r="F8" s="11"/>
      <c r="G8" s="11"/>
      <c r="H8" s="11"/>
      <c r="I8" s="11">
        <v>1</v>
      </c>
      <c r="J8" s="91">
        <f t="shared" si="1"/>
        <v>38</v>
      </c>
      <c r="K8" s="92"/>
    </row>
    <row r="9" spans="1:11" ht="15.75" customHeight="1" thickBot="1">
      <c r="A9" s="10" t="s">
        <v>10</v>
      </c>
      <c r="B9" s="11">
        <f t="shared" si="0"/>
        <v>18</v>
      </c>
      <c r="C9" s="11">
        <v>17</v>
      </c>
      <c r="D9" s="11"/>
      <c r="E9" s="11">
        <v>1</v>
      </c>
      <c r="F9" s="11"/>
      <c r="G9" s="11"/>
      <c r="H9" s="11"/>
      <c r="I9" s="11"/>
      <c r="J9" s="91">
        <f t="shared" si="1"/>
        <v>1</v>
      </c>
      <c r="K9" s="92"/>
    </row>
    <row r="10" spans="1:11" ht="15.75" customHeight="1" thickBot="1">
      <c r="A10" s="10" t="s">
        <v>11</v>
      </c>
      <c r="B10" s="11">
        <f t="shared" si="0"/>
        <v>21</v>
      </c>
      <c r="C10" s="11">
        <v>19</v>
      </c>
      <c r="D10" s="11"/>
      <c r="E10" s="11">
        <v>2</v>
      </c>
      <c r="F10" s="11"/>
      <c r="G10" s="11"/>
      <c r="H10" s="11"/>
      <c r="I10" s="11"/>
      <c r="J10" s="91">
        <f t="shared" si="1"/>
        <v>2</v>
      </c>
      <c r="K10" s="92"/>
    </row>
    <row r="11" spans="1:11" ht="15.75" customHeight="1" thickBot="1">
      <c r="A11" s="10" t="s">
        <v>12</v>
      </c>
      <c r="B11" s="11">
        <f t="shared" si="0"/>
        <v>49</v>
      </c>
      <c r="C11" s="11">
        <v>39</v>
      </c>
      <c r="D11" s="11">
        <v>6</v>
      </c>
      <c r="E11" s="11">
        <v>4</v>
      </c>
      <c r="F11" s="11"/>
      <c r="G11" s="11"/>
      <c r="H11" s="11"/>
      <c r="I11" s="11"/>
      <c r="J11" s="91">
        <f t="shared" si="1"/>
        <v>10</v>
      </c>
      <c r="K11" s="92"/>
    </row>
    <row r="12" spans="1:11" ht="15.75" customHeight="1" thickBot="1">
      <c r="A12" s="10" t="s">
        <v>13</v>
      </c>
      <c r="B12" s="11">
        <f t="shared" si="0"/>
        <v>29</v>
      </c>
      <c r="C12" s="11">
        <v>26</v>
      </c>
      <c r="D12" s="11"/>
      <c r="E12" s="11">
        <v>3</v>
      </c>
      <c r="F12" s="11"/>
      <c r="G12" s="11"/>
      <c r="H12" s="11"/>
      <c r="I12" s="11"/>
      <c r="J12" s="91">
        <f t="shared" si="1"/>
        <v>3</v>
      </c>
      <c r="K12" s="92"/>
    </row>
    <row r="13" spans="1:11" ht="15.75" customHeight="1" thickBot="1">
      <c r="A13" s="10" t="s">
        <v>133</v>
      </c>
      <c r="B13" s="11">
        <f t="shared" si="0"/>
        <v>7</v>
      </c>
      <c r="C13" s="11">
        <v>5</v>
      </c>
      <c r="D13" s="11"/>
      <c r="E13" s="11">
        <v>2</v>
      </c>
      <c r="F13" s="11"/>
      <c r="G13" s="11"/>
      <c r="H13" s="11"/>
      <c r="I13" s="11"/>
      <c r="J13" s="91">
        <f t="shared" si="1"/>
        <v>2</v>
      </c>
      <c r="K13" s="92"/>
    </row>
    <row r="14" spans="1:11" ht="26.25" customHeight="1" thickBot="1">
      <c r="A14" s="10" t="s">
        <v>123</v>
      </c>
      <c r="B14" s="11">
        <f t="shared" si="0"/>
        <v>26</v>
      </c>
      <c r="C14" s="11">
        <v>24</v>
      </c>
      <c r="D14" s="11">
        <v>1</v>
      </c>
      <c r="E14" s="11">
        <v>1</v>
      </c>
      <c r="F14" s="11"/>
      <c r="G14" s="11"/>
      <c r="H14" s="11"/>
      <c r="I14" s="11"/>
      <c r="J14" s="91">
        <f t="shared" si="1"/>
        <v>2</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Joseph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5502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4.543802253725918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25</v>
      </c>
      <c r="Q7" s="42">
        <f>C6-C7</f>
        <v>5477</v>
      </c>
      <c r="R7" s="42">
        <f t="shared" ref="R7:R15" si="5">SUM(N7:Q7)</f>
        <v>5502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103</v>
      </c>
      <c r="D8" s="34">
        <f>IF((AND(C67&gt;0,C8&gt;0)),(C8/C67),0)</f>
        <v>412</v>
      </c>
      <c r="E8" s="33">
        <f>'Data Entry'!I8</f>
        <v>1</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1</v>
      </c>
      <c r="O8" s="42">
        <f>((D67*L67)-E8)+0.05</f>
        <v>-0.95</v>
      </c>
      <c r="P8" s="42">
        <f t="shared" si="4"/>
        <v>103</v>
      </c>
      <c r="Q8" s="42">
        <f>(C$67*L67)-C8</f>
        <v>-78</v>
      </c>
      <c r="R8" s="42">
        <f t="shared" si="5"/>
        <v>25.049999999999997</v>
      </c>
      <c r="S8" s="30">
        <f t="shared" si="6"/>
        <v>9870.2636249999923</v>
      </c>
      <c r="T8" s="30">
        <f t="shared" si="7"/>
        <v>-10263.500000000009</v>
      </c>
      <c r="U8" s="31">
        <f t="shared" si="8"/>
        <v>-0.9616859380328332</v>
      </c>
    </row>
    <row r="9" spans="2:21" ht="18" customHeight="1">
      <c r="B9" s="32" t="str">
        <f>'Data Entry'!A9</f>
        <v xml:space="preserve">4. Cases Diverted </v>
      </c>
      <c r="C9" s="33">
        <f>'Data Entry'!C9</f>
        <v>17</v>
      </c>
      <c r="D9" s="34">
        <f>IF((AND(C68&gt;0,C9&gt;0)),((C9/C68)),0)</f>
        <v>16.504854368932037</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1</v>
      </c>
      <c r="P9" s="42">
        <f t="shared" si="4"/>
        <v>17</v>
      </c>
      <c r="Q9" s="42">
        <f>(C$68*L68)-C9</f>
        <v>86</v>
      </c>
      <c r="R9" s="42">
        <f t="shared" si="5"/>
        <v>104</v>
      </c>
      <c r="S9" s="30">
        <f t="shared" si="6"/>
        <v>30056</v>
      </c>
      <c r="T9" s="30">
        <f t="shared" si="7"/>
        <v>152337</v>
      </c>
      <c r="U9" s="31">
        <f t="shared" si="8"/>
        <v>0.19729940854815312</v>
      </c>
    </row>
    <row r="10" spans="2:21" ht="18" customHeight="1">
      <c r="B10" s="32" t="str">
        <f>'Data Entry'!A10</f>
        <v>5. Cases Involving Secure Detention</v>
      </c>
      <c r="C10" s="33">
        <f>'Data Entry'!C10</f>
        <v>19</v>
      </c>
      <c r="D10" s="34">
        <f>IF(((AND(C68&gt;0,C10&gt;0))),(C10/(C68)),0)</f>
        <v>18.446601941747574</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19</v>
      </c>
      <c r="Q10" s="42">
        <f>(C$68*L68)-C10</f>
        <v>84</v>
      </c>
      <c r="R10" s="42">
        <f t="shared" si="5"/>
        <v>104</v>
      </c>
      <c r="S10" s="30">
        <f t="shared" si="6"/>
        <v>37544</v>
      </c>
      <c r="T10" s="30">
        <f t="shared" si="7"/>
        <v>166345</v>
      </c>
      <c r="U10" s="31">
        <f t="shared" si="8"/>
        <v>0.22569960022844088</v>
      </c>
    </row>
    <row r="11" spans="2:21" ht="18" customHeight="1">
      <c r="B11" s="32" t="str">
        <f>'Data Entry'!A11</f>
        <v>6. Cases Petitioned (Charge Filed)</v>
      </c>
      <c r="C11" s="33">
        <f>'Data Entry'!C11</f>
        <v>39</v>
      </c>
      <c r="D11" s="34">
        <f>IF(((AND(C68&gt;0,C11&gt;0))),(C11/(C68)),0)</f>
        <v>37.864077669902912</v>
      </c>
      <c r="E11" s="33">
        <f>'Data Entry'!I11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0</v>
      </c>
      <c r="O11" s="42">
        <f>(D$68*L68)-E11</f>
        <v>1</v>
      </c>
      <c r="P11" s="42">
        <f t="shared" si="4"/>
        <v>39</v>
      </c>
      <c r="Q11" s="42">
        <f>(C$68*L68)-C11</f>
        <v>64</v>
      </c>
      <c r="R11" s="42">
        <f t="shared" si="5"/>
        <v>104</v>
      </c>
      <c r="S11" s="30">
        <f t="shared" si="6"/>
        <v>158184</v>
      </c>
      <c r="T11" s="30">
        <f t="shared" si="7"/>
        <v>261105</v>
      </c>
      <c r="U11" s="31">
        <f t="shared" si="8"/>
        <v>0.60582524271844662</v>
      </c>
    </row>
    <row r="12" spans="2:21" ht="18" customHeight="1">
      <c r="B12" s="32" t="str">
        <f>'Data Entry'!A12</f>
        <v>7. Cases Resulting in Delinquent Findings</v>
      </c>
      <c r="C12" s="33">
        <f>'Data Entry'!C12</f>
        <v>26</v>
      </c>
      <c r="D12" s="34">
        <f>IF(((AND(C69&gt;0,C12&gt;0))),(C12/(C69)),0)</f>
        <v>66.666666666666671</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26</v>
      </c>
      <c r="Q12" s="42">
        <f>(C69*L69)-C12</f>
        <v>13</v>
      </c>
      <c r="R12" s="42">
        <f t="shared" si="5"/>
        <v>39</v>
      </c>
      <c r="S12" s="30">
        <f t="shared" si="6"/>
        <v>0</v>
      </c>
      <c r="T12" s="30">
        <f t="shared" si="7"/>
        <v>0</v>
      </c>
      <c r="U12" s="31" t="str">
        <f t="shared" si="8"/>
        <v>- -</v>
      </c>
    </row>
    <row r="13" spans="2:21" ht="18" customHeight="1">
      <c r="B13" s="32" t="str">
        <f>'Data Entry'!A13</f>
        <v>8. Cases Resulting in Probation Placement</v>
      </c>
      <c r="C13" s="33">
        <f>'Data Entry'!C13</f>
        <v>5</v>
      </c>
      <c r="D13" s="34">
        <f>IF(((AND(C70&gt;0,C13&gt;0))),(C13/(C70)),0)</f>
        <v>19.23076923076923</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v>
      </c>
      <c r="Q13" s="42">
        <f>(C70*L70)-C13</f>
        <v>21</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24</v>
      </c>
      <c r="D14" s="34">
        <f>IF(((AND(C70&gt;0,C14&gt;0))), ((C14/(C70))),0)</f>
        <v>92.307692307692307</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24</v>
      </c>
      <c r="Q14" s="42">
        <f>(C70*L70)-C14</f>
        <v>2</v>
      </c>
      <c r="R14" s="42">
        <f t="shared" si="5"/>
        <v>26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39</v>
      </c>
      <c r="R15" s="42">
        <f t="shared" si="5"/>
        <v>39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5.5019999999999998</v>
      </c>
      <c r="D42" s="56">
        <f>E6/1000</f>
        <v>0</v>
      </c>
      <c r="E42" s="56">
        <f>MAX(C42:D42)</f>
        <v>5.5019999999999998</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1.03</v>
      </c>
      <c r="D44" s="56">
        <f>E8/100</f>
        <v>0.01</v>
      </c>
      <c r="E44" s="56">
        <f>MAX(C44:D44,0)</f>
        <v>1.03</v>
      </c>
      <c r="G44" s="1" t="str">
        <f>B44</f>
        <v>per 100 referrals</v>
      </c>
      <c r="L44" s="57">
        <v>100</v>
      </c>
      <c r="M44" s="57"/>
      <c r="R44" s="49"/>
    </row>
    <row r="45" spans="2:18" ht="15" hidden="1" customHeight="1">
      <c r="B45" s="49" t="s">
        <v>89</v>
      </c>
      <c r="C45" s="49">
        <f>C11/100</f>
        <v>0.39</v>
      </c>
      <c r="D45" s="49">
        <f>E11/100</f>
        <v>0</v>
      </c>
      <c r="E45" s="56">
        <f>MAX(C45:D45,0)</f>
        <v>0.39</v>
      </c>
      <c r="G45" s="1" t="str">
        <f>B45</f>
        <v>per 100 youth petitioned</v>
      </c>
      <c r="L45" s="57">
        <v>100</v>
      </c>
      <c r="M45" s="57"/>
      <c r="R45" s="49"/>
    </row>
    <row r="46" spans="2:18" ht="15" hidden="1" customHeight="1">
      <c r="B46" s="49" t="s">
        <v>90</v>
      </c>
      <c r="C46" s="49">
        <f>C12/100</f>
        <v>0.26</v>
      </c>
      <c r="D46" s="49">
        <f>E12/100</f>
        <v>0</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5.5019999999999998</v>
      </c>
      <c r="D48" s="56">
        <f>D42</f>
        <v>0</v>
      </c>
      <c r="E48" s="56">
        <f>MAX(C48:D48)</f>
        <v>5.5019999999999998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1.03</v>
      </c>
      <c r="D50" s="49">
        <f t="shared" si="9"/>
        <v>0.01</v>
      </c>
      <c r="E50" s="49">
        <f>MAX(C50:D50)</f>
        <v>1.03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0.39</v>
      </c>
      <c r="D51" s="49">
        <f>IF(($E45&gt;0),D45,D44)</f>
        <v>0</v>
      </c>
      <c r="E51" s="49">
        <f>MAX(C51:D51)</f>
        <v>0.39</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5.5019999999999998</v>
      </c>
      <c r="D54" s="56">
        <f>D48</f>
        <v>0</v>
      </c>
      <c r="E54" s="56">
        <f>MAX(C54:D54)</f>
        <v>5.5019999999999998</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1.03</v>
      </c>
      <c r="D56" s="49">
        <f t="shared" si="10"/>
        <v>0.01</v>
      </c>
      <c r="E56" s="49">
        <f>MAX(C56:D56)</f>
        <v>1.03</v>
      </c>
      <c r="G56" s="1" t="str">
        <f>G50</f>
        <v>per 100 referrals</v>
      </c>
      <c r="L56" s="58">
        <f>IF(($E50&gt;0),L50,L49)</f>
        <v>100</v>
      </c>
      <c r="M56" s="58"/>
    </row>
    <row r="57" spans="2:18" ht="15" hidden="1" customHeight="1">
      <c r="B57" s="49" t="str">
        <f>IF(($E51&gt;0),B51,B49)</f>
        <v>per 100 youth petitioned</v>
      </c>
      <c r="C57" s="49">
        <f>IF(($E51&gt;0),C51,C50)</f>
        <v>0.39</v>
      </c>
      <c r="D57" s="49">
        <f>IF(($E51&gt;0),D51,D50)</f>
        <v>0</v>
      </c>
      <c r="E57" s="49">
        <f>MAX(C57:D57)</f>
        <v>0.39</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5.5019999999999998</v>
      </c>
      <c r="D60" s="56">
        <f>D54</f>
        <v>0</v>
      </c>
      <c r="E60" s="56">
        <f>MAX(C60:D60)</f>
        <v>5.5019999999999998</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1.03</v>
      </c>
      <c r="D62" s="49">
        <f t="shared" si="11"/>
        <v>0.01</v>
      </c>
      <c r="E62" s="49">
        <f>MAX(C62:D62)</f>
        <v>1.03</v>
      </c>
      <c r="G62" s="1" t="str">
        <f>G56</f>
        <v>per 100 referrals</v>
      </c>
      <c r="L62" s="58">
        <f>IF(($E56&gt;0),L56,L55)</f>
        <v>100</v>
      </c>
      <c r="M62" s="58"/>
    </row>
    <row r="63" spans="2:18" ht="15" hidden="1" customHeight="1">
      <c r="B63" s="49" t="str">
        <f>IF(($E57&gt;0),B57,B55)</f>
        <v>per 100 youth petitioned</v>
      </c>
      <c r="C63" s="49">
        <f>IF(($E57&gt;0),C57,C56)</f>
        <v>0.39</v>
      </c>
      <c r="D63" s="49">
        <f>IF(($E57&gt;0),D57,D56)</f>
        <v>0</v>
      </c>
      <c r="E63" s="49">
        <f>MAX(C63:D63)</f>
        <v>0.39</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5.5019999999999998</v>
      </c>
      <c r="D66" s="56">
        <f>D60</f>
        <v>0</v>
      </c>
      <c r="E66" s="56">
        <f>MAX(C66:D66)</f>
        <v>5.5019999999999998</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1.03</v>
      </c>
      <c r="D68" s="49">
        <f t="shared" si="12"/>
        <v>0.01</v>
      </c>
      <c r="E68" s="49">
        <f>MAX(C68:D68)</f>
        <v>1.03</v>
      </c>
      <c r="G68" s="1" t="str">
        <f>G62</f>
        <v>per 100 referrals</v>
      </c>
      <c r="L68" s="58">
        <f>IF(($E62&gt;0),L62,L61)</f>
        <v>100</v>
      </c>
      <c r="M68" s="58">
        <f>IF((B68=G68),1,2)</f>
        <v>1</v>
      </c>
    </row>
    <row r="69" spans="2:13" ht="15" hidden="1" customHeight="1">
      <c r="B69" s="49" t="str">
        <f>IF(($E63&gt;0),B63,B61)</f>
        <v>per 100 youth petitioned</v>
      </c>
      <c r="C69" s="49">
        <f>IF(($E63&gt;0),C63,C62)</f>
        <v>0.39</v>
      </c>
      <c r="D69" s="49">
        <f>IF(($E63&gt;0),D63,D62)</f>
        <v>0</v>
      </c>
      <c r="E69" s="49">
        <f>MAX(C69:D69)</f>
        <v>0.39</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Joseph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5502</v>
      </c>
      <c r="D6" s="34"/>
      <c r="E6" s="33">
        <f>'Data Entry'!J6</f>
        <v>1439</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4.543802253725918</v>
      </c>
      <c r="E7" s="33">
        <f>'Data Entry'!J7</f>
        <v>20</v>
      </c>
      <c r="F7" s="34">
        <f>IF((AND($E$7&gt;0,$D$66&gt;0)),($E$7/$D$66),0)</f>
        <v>13.898540653231411</v>
      </c>
      <c r="G7" s="39">
        <f t="shared" ref="G7:G15" si="0">IF(L$6=100,"*",IF(M7=FALSE,"--",IF(K7=20,"**",($F7/$D7))))</f>
        <v>3.0587908269631687</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20</v>
      </c>
      <c r="O7" s="42">
        <f>E6-E7</f>
        <v>1419</v>
      </c>
      <c r="P7" s="42">
        <f t="shared" ref="P7:P15" si="4">C7</f>
        <v>25</v>
      </c>
      <c r="Q7" s="42">
        <f>C6-C7</f>
        <v>5477</v>
      </c>
      <c r="R7" s="42">
        <f t="shared" ref="R7:R15" si="5">SUM(N7:Q7)</f>
        <v>6941</v>
      </c>
      <c r="S7" s="30">
        <f t="shared" ref="S7:S15" si="6">R7*((((N7*Q7)-(O7*P7))^2))</f>
        <v>38075717745725</v>
      </c>
      <c r="T7" s="30">
        <f t="shared" ref="T7:T15" si="7">(N7+O7)*(P7+Q7)*(N7+P7)*(O7+Q7)</f>
        <v>2456920740960</v>
      </c>
      <c r="U7" s="31">
        <f t="shared" ref="U7:U15" si="8">IF((S7&gt;0),S7/T7,"- -")</f>
        <v>15.497332539448367</v>
      </c>
    </row>
    <row r="8" spans="2:21" ht="18" customHeight="1">
      <c r="B8" s="32" t="str">
        <f>'Data Entry'!A8</f>
        <v>3. Refer to Juvenile Court</v>
      </c>
      <c r="C8" s="33">
        <f>'Data Entry'!C8</f>
        <v>103</v>
      </c>
      <c r="D8" s="34">
        <f>IF((AND(C67&gt;0,C8&gt;0)),(C8/C67),0)</f>
        <v>412</v>
      </c>
      <c r="E8" s="33">
        <f>'Data Entry'!J8</f>
        <v>38</v>
      </c>
      <c r="F8" s="34">
        <f>IF((AND($E$8&gt;0,$D$67&gt;0)),($E8/$D67),0)</f>
        <v>190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38</v>
      </c>
      <c r="O8" s="42">
        <f>((D67*L67)-E8)+0.05</f>
        <v>-17.95</v>
      </c>
      <c r="P8" s="42">
        <f t="shared" si="4"/>
        <v>103</v>
      </c>
      <c r="Q8" s="42">
        <f>(C$67*L67)-C8</f>
        <v>-78</v>
      </c>
      <c r="R8" s="42">
        <f t="shared" si="5"/>
        <v>45.05</v>
      </c>
      <c r="S8" s="30">
        <f t="shared" si="6"/>
        <v>56022356.488625005</v>
      </c>
      <c r="T8" s="30">
        <f t="shared" si="7"/>
        <v>-6781386.1875</v>
      </c>
      <c r="U8" s="31">
        <f t="shared" si="8"/>
        <v>-8.2611954163427459</v>
      </c>
    </row>
    <row r="9" spans="2:21" ht="18" customHeight="1">
      <c r="B9" s="32" t="str">
        <f>'Data Entry'!A9</f>
        <v xml:space="preserve">4. Cases Diverted </v>
      </c>
      <c r="C9" s="33">
        <f>'Data Entry'!C9</f>
        <v>17</v>
      </c>
      <c r="D9" s="34">
        <f>IF((AND(C68&gt;0,C9&gt;0)),((C9/C68)),0)</f>
        <v>16.504854368932037</v>
      </c>
      <c r="E9" s="33">
        <f>'Data Entry'!J9</f>
        <v>1</v>
      </c>
      <c r="F9" s="34">
        <f>IF((AND($E$9&gt;0,$D$68&gt;0)),(($E$9/$D$68)),0)</f>
        <v>2.6315789473684212</v>
      </c>
      <c r="G9" s="39" t="str">
        <f t="shared" si="0"/>
        <v>**</v>
      </c>
      <c r="H9" s="40"/>
      <c r="I9" s="41"/>
      <c r="J9" s="40">
        <f>IF((ABS($U9)&gt;Defaults!D$7),1,2)</f>
        <v>1</v>
      </c>
      <c r="K9" s="39">
        <f>IF((AND(N9&gt;Defaults!B$12,(N9+O9)&gt;Defaults!B$13, P9 &gt; Defaults!B$12, (P9+Q9) &gt; Defaults!B$13)),1,20)</f>
        <v>20</v>
      </c>
      <c r="L9" s="1">
        <f t="shared" si="1"/>
        <v>20</v>
      </c>
      <c r="M9" s="1" t="b">
        <f t="shared" si="2"/>
        <v>1</v>
      </c>
      <c r="N9" s="42">
        <f t="shared" si="3"/>
        <v>1</v>
      </c>
      <c r="O9" s="42">
        <f>(D$68*L68)-E9</f>
        <v>37</v>
      </c>
      <c r="P9" s="42">
        <f t="shared" si="4"/>
        <v>17</v>
      </c>
      <c r="Q9" s="42">
        <f>(C$68*L68)-C9</f>
        <v>86</v>
      </c>
      <c r="R9" s="42">
        <f t="shared" si="5"/>
        <v>141</v>
      </c>
      <c r="S9" s="30">
        <f t="shared" si="6"/>
        <v>41573709</v>
      </c>
      <c r="T9" s="30">
        <f t="shared" si="7"/>
        <v>8665596</v>
      </c>
      <c r="U9" s="31">
        <f t="shared" si="8"/>
        <v>4.7975591061480367</v>
      </c>
    </row>
    <row r="10" spans="2:21" ht="18" customHeight="1">
      <c r="B10" s="32" t="str">
        <f>'Data Entry'!A10</f>
        <v>5. Cases Involving Secure Detention</v>
      </c>
      <c r="C10" s="33">
        <f>'Data Entry'!C10</f>
        <v>19</v>
      </c>
      <c r="D10" s="34">
        <f>IF(((AND(C68&gt;0,C10&gt;0))),(C10/(C68)),0)</f>
        <v>18.446601941747574</v>
      </c>
      <c r="E10" s="33">
        <f>'Data Entry'!J10</f>
        <v>2</v>
      </c>
      <c r="F10" s="34">
        <f>IF(((AND($E$10&gt;0,$D$68&gt;0))),($E$10/($D$68)),0)</f>
        <v>5.2631578947368425</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2</v>
      </c>
      <c r="O10" s="42">
        <f>(D$68*L68)-E10</f>
        <v>36</v>
      </c>
      <c r="P10" s="42">
        <f t="shared" si="4"/>
        <v>19</v>
      </c>
      <c r="Q10" s="42">
        <f>(C$68*L68)-C10</f>
        <v>84</v>
      </c>
      <c r="R10" s="42">
        <f t="shared" si="5"/>
        <v>141</v>
      </c>
      <c r="S10" s="30">
        <f t="shared" si="6"/>
        <v>37542096</v>
      </c>
      <c r="T10" s="30">
        <f t="shared" si="7"/>
        <v>9863280</v>
      </c>
      <c r="U10" s="31">
        <f t="shared" si="8"/>
        <v>3.8062486312869552</v>
      </c>
    </row>
    <row r="11" spans="2:21" ht="18" customHeight="1">
      <c r="B11" s="32" t="str">
        <f>'Data Entry'!A11</f>
        <v>6. Cases Petitioned (Charge Filed)</v>
      </c>
      <c r="C11" s="33">
        <f>'Data Entry'!C11</f>
        <v>39</v>
      </c>
      <c r="D11" s="34">
        <f>IF(((AND(C68&gt;0,C11&gt;0))),(C11/(C68)),0)</f>
        <v>37.864077669902912</v>
      </c>
      <c r="E11" s="33">
        <f>'Data Entry'!J11</f>
        <v>10</v>
      </c>
      <c r="F11" s="34">
        <f>IF(((AND($E$11&gt;0,$D$68&gt;0))),($E$11/($D$68)),0)</f>
        <v>26.315789473684209</v>
      </c>
      <c r="G11" s="39">
        <f t="shared" si="0"/>
        <v>0.69500674763832659</v>
      </c>
      <c r="H11" s="40"/>
      <c r="I11" s="41"/>
      <c r="J11" s="40">
        <f>IF((ABS($U11)&gt;Defaults!D$7),1,2)</f>
        <v>2</v>
      </c>
      <c r="K11" s="39">
        <f>IF((AND(N11&gt;Defaults!B$12,(N11+O11)&gt;Defaults!B$13, P11 &gt; Defaults!B$12, (P11+Q11) &gt; Defaults!B$13)),1,20)</f>
        <v>1</v>
      </c>
      <c r="L11" s="1">
        <f t="shared" si="1"/>
        <v>2</v>
      </c>
      <c r="M11" s="1" t="b">
        <f t="shared" si="2"/>
        <v>1</v>
      </c>
      <c r="N11" s="42">
        <f t="shared" si="3"/>
        <v>10</v>
      </c>
      <c r="O11" s="42">
        <f>(D$68*L68)-E11</f>
        <v>28</v>
      </c>
      <c r="P11" s="42">
        <f t="shared" si="4"/>
        <v>39</v>
      </c>
      <c r="Q11" s="42">
        <f>(C$68*L68)-C11</f>
        <v>64</v>
      </c>
      <c r="R11" s="42">
        <f t="shared" si="5"/>
        <v>141</v>
      </c>
      <c r="S11" s="30">
        <f t="shared" si="6"/>
        <v>28806864</v>
      </c>
      <c r="T11" s="30">
        <f t="shared" si="7"/>
        <v>17644312</v>
      </c>
      <c r="U11" s="31">
        <f t="shared" si="8"/>
        <v>1.6326430863385322</v>
      </c>
    </row>
    <row r="12" spans="2:21" ht="18" customHeight="1">
      <c r="B12" s="32" t="str">
        <f>'Data Entry'!A12</f>
        <v>7. Cases Resulting in Delinquent Findings</v>
      </c>
      <c r="C12" s="33">
        <f>'Data Entry'!C12</f>
        <v>26</v>
      </c>
      <c r="D12" s="34">
        <f>IF(((AND(C69&gt;0,C12&gt;0))),(C12/(C69)),0)</f>
        <v>66.666666666666671</v>
      </c>
      <c r="E12" s="33">
        <f>'Data Entry'!J12</f>
        <v>3</v>
      </c>
      <c r="F12" s="34">
        <f>IF(((AND($D$69&gt;0,$E$12&gt;0))),(E12/(D69)),0)</f>
        <v>30</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3</v>
      </c>
      <c r="O12" s="42">
        <f>(D69*L69)-E12</f>
        <v>7</v>
      </c>
      <c r="P12" s="42">
        <f t="shared" si="4"/>
        <v>26</v>
      </c>
      <c r="Q12" s="42">
        <f>(C69*L69)-C12</f>
        <v>13</v>
      </c>
      <c r="R12" s="42">
        <f t="shared" si="5"/>
        <v>49</v>
      </c>
      <c r="S12" s="30">
        <f t="shared" si="6"/>
        <v>1002001</v>
      </c>
      <c r="T12" s="30">
        <f t="shared" si="7"/>
        <v>226200</v>
      </c>
      <c r="U12" s="31">
        <f t="shared" si="8"/>
        <v>4.4297126436781609</v>
      </c>
    </row>
    <row r="13" spans="2:21" ht="18" customHeight="1">
      <c r="B13" s="32" t="str">
        <f>'Data Entry'!A13</f>
        <v>8. Cases Resulting in Probation Placement</v>
      </c>
      <c r="C13" s="33">
        <f>'Data Entry'!C13</f>
        <v>5</v>
      </c>
      <c r="D13" s="34">
        <f>IF(((AND(C70&gt;0,C13&gt;0))),(C13/(C70)),0)</f>
        <v>19.23076923076923</v>
      </c>
      <c r="E13" s="33">
        <f>'Data Entry'!J13</f>
        <v>2</v>
      </c>
      <c r="F13" s="34">
        <f>IF(((AND($D$70&gt;0,$E$13&gt;0))),($E$13/($D$70)),0)</f>
        <v>66.666666666666671</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v>
      </c>
      <c r="O13" s="42">
        <f>(D70*L70)-E13</f>
        <v>1</v>
      </c>
      <c r="P13" s="42">
        <f t="shared" si="4"/>
        <v>5</v>
      </c>
      <c r="Q13" s="42">
        <f>(C70*L70)-C13</f>
        <v>21</v>
      </c>
      <c r="R13" s="42">
        <f t="shared" si="5"/>
        <v>29</v>
      </c>
      <c r="S13" s="30">
        <f t="shared" si="6"/>
        <v>39701</v>
      </c>
      <c r="T13" s="30">
        <f t="shared" si="7"/>
        <v>12012</v>
      </c>
      <c r="U13" s="31">
        <f t="shared" si="8"/>
        <v>3.3051115551115551</v>
      </c>
    </row>
    <row r="14" spans="2:21" ht="30.75" customHeight="1">
      <c r="B14" s="32" t="str">
        <f>'Data Entry'!A14</f>
        <v xml:space="preserve">9. Cases Resulting in Confinement in Secure Juvenile Correctional Facilities </v>
      </c>
      <c r="C14" s="33">
        <f>'Data Entry'!C14</f>
        <v>24</v>
      </c>
      <c r="D14" s="34">
        <f>IF(((AND(C70&gt;0,C14&gt;0))), ((C14/(C70))),0)</f>
        <v>92.307692307692307</v>
      </c>
      <c r="E14" s="33">
        <f>'Data Entry'!J14</f>
        <v>2</v>
      </c>
      <c r="F14" s="34">
        <f>IF(((AND($D$70&gt;0,$E$14&gt;0))), (($E$14/($D$70))),0)</f>
        <v>66.666666666666671</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2</v>
      </c>
      <c r="O14" s="42">
        <f>(D70*L70)-E14</f>
        <v>1</v>
      </c>
      <c r="P14" s="42">
        <f t="shared" si="4"/>
        <v>24</v>
      </c>
      <c r="Q14" s="42">
        <f>(C70*L70)-C14</f>
        <v>2</v>
      </c>
      <c r="R14" s="42">
        <f t="shared" si="5"/>
        <v>29</v>
      </c>
      <c r="S14" s="30">
        <f t="shared" si="6"/>
        <v>11600</v>
      </c>
      <c r="T14" s="30">
        <f t="shared" si="7"/>
        <v>6084</v>
      </c>
      <c r="U14" s="31">
        <f t="shared" si="8"/>
        <v>1.9066403681788298</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10</v>
      </c>
      <c r="P15" s="42">
        <f t="shared" si="4"/>
        <v>0</v>
      </c>
      <c r="Q15" s="42">
        <f>(C69*L69)-C15</f>
        <v>39</v>
      </c>
      <c r="R15" s="42">
        <f t="shared" si="5"/>
        <v>49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5.5019999999999998</v>
      </c>
      <c r="D42" s="56">
        <f>E6/1000</f>
        <v>1.4390000000000001</v>
      </c>
      <c r="E42" s="56">
        <f>MAX(C42:D42)</f>
        <v>5.5019999999999998</v>
      </c>
      <c r="G42" s="1" t="str">
        <f>B42</f>
        <v>per 1000 youth</v>
      </c>
      <c r="L42" s="57">
        <v>1000</v>
      </c>
      <c r="M42" s="57"/>
      <c r="R42" s="49"/>
    </row>
    <row r="43" spans="2:18" ht="15" hidden="1" customHeight="1">
      <c r="B43" s="49" t="s">
        <v>87</v>
      </c>
      <c r="C43" s="56">
        <f>C7/100</f>
        <v>0.25</v>
      </c>
      <c r="D43" s="56">
        <f>E7/100</f>
        <v>0.2</v>
      </c>
      <c r="E43" s="56">
        <f>MAX(C43:D43,0)</f>
        <v>0.25</v>
      </c>
      <c r="G43" s="1" t="str">
        <f>B43</f>
        <v>per 100 arrests</v>
      </c>
      <c r="L43" s="57">
        <v>100</v>
      </c>
      <c r="M43" s="57"/>
      <c r="R43" s="49"/>
    </row>
    <row r="44" spans="2:18" ht="15" hidden="1" customHeight="1">
      <c r="B44" s="49" t="s">
        <v>88</v>
      </c>
      <c r="C44" s="56">
        <f>C8/100</f>
        <v>1.03</v>
      </c>
      <c r="D44" s="56">
        <f>E8/100</f>
        <v>0.38</v>
      </c>
      <c r="E44" s="56">
        <f>MAX(C44:D44,0)</f>
        <v>1.03</v>
      </c>
      <c r="G44" s="1" t="str">
        <f>B44</f>
        <v>per 100 referrals</v>
      </c>
      <c r="L44" s="57">
        <v>100</v>
      </c>
      <c r="M44" s="57"/>
      <c r="R44" s="49"/>
    </row>
    <row r="45" spans="2:18" ht="15" hidden="1" customHeight="1">
      <c r="B45" s="49" t="s">
        <v>89</v>
      </c>
      <c r="C45" s="49">
        <f>C11/100</f>
        <v>0.39</v>
      </c>
      <c r="D45" s="49">
        <f>E11/100</f>
        <v>0.1</v>
      </c>
      <c r="E45" s="56">
        <f>MAX(C45:D45,0)</f>
        <v>0.39</v>
      </c>
      <c r="G45" s="1" t="str">
        <f>B45</f>
        <v>per 100 youth petitioned</v>
      </c>
      <c r="L45" s="57">
        <v>100</v>
      </c>
      <c r="M45" s="57"/>
      <c r="R45" s="49"/>
    </row>
    <row r="46" spans="2:18" ht="15" hidden="1" customHeight="1">
      <c r="B46" s="49" t="s">
        <v>90</v>
      </c>
      <c r="C46" s="49">
        <f>C12/100</f>
        <v>0.26</v>
      </c>
      <c r="D46" s="49">
        <f>E12/100</f>
        <v>0.03</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5.5019999999999998</v>
      </c>
      <c r="D48" s="56">
        <f>D42</f>
        <v>1.4390000000000001</v>
      </c>
      <c r="E48" s="56">
        <f>MAX(C48:D48)</f>
        <v>5.5019999999999998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0.2</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1.03</v>
      </c>
      <c r="D50" s="49">
        <f t="shared" si="9"/>
        <v>0.38</v>
      </c>
      <c r="E50" s="49">
        <f>MAX(C50:D50)</f>
        <v>1.03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0.39</v>
      </c>
      <c r="D51" s="49">
        <f>IF(($E45&gt;0),D45,D44)</f>
        <v>0.1</v>
      </c>
      <c r="E51" s="49">
        <f>MAX(C51:D51)</f>
        <v>0.39</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0.03</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5.5019999999999998</v>
      </c>
      <c r="D54" s="56">
        <f>D48</f>
        <v>1.4390000000000001</v>
      </c>
      <c r="E54" s="56">
        <f>MAX(C54:D54)</f>
        <v>5.5019999999999998</v>
      </c>
      <c r="G54" s="1" t="str">
        <f>G48</f>
        <v>per 1000 youth</v>
      </c>
      <c r="L54" s="58">
        <f>L48</f>
        <v>1000</v>
      </c>
      <c r="M54" s="58"/>
    </row>
    <row r="55" spans="2:18" ht="15" hidden="1" customHeight="1">
      <c r="B55" s="49" t="str">
        <f t="shared" ref="B55:D56" si="10">IF(($E49&gt;0),B49,B48)</f>
        <v>per 100 arrests</v>
      </c>
      <c r="C55" s="49">
        <f t="shared" si="10"/>
        <v>0.25</v>
      </c>
      <c r="D55" s="49">
        <f t="shared" si="10"/>
        <v>0.2</v>
      </c>
      <c r="E55" s="49">
        <f>MAX(C55:D55)</f>
        <v>0.25</v>
      </c>
      <c r="G55" s="1" t="str">
        <f>G49</f>
        <v>per 100 arrests</v>
      </c>
      <c r="L55" s="58">
        <f>IF(($E49&gt;0),L49,L48)</f>
        <v>100</v>
      </c>
      <c r="M55" s="58"/>
    </row>
    <row r="56" spans="2:18" ht="15" hidden="1" customHeight="1">
      <c r="B56" s="49" t="str">
        <f t="shared" si="10"/>
        <v>per 100 referrals</v>
      </c>
      <c r="C56" s="49">
        <f t="shared" si="10"/>
        <v>1.03</v>
      </c>
      <c r="D56" s="49">
        <f t="shared" si="10"/>
        <v>0.38</v>
      </c>
      <c r="E56" s="49">
        <f>MAX(C56:D56)</f>
        <v>1.03</v>
      </c>
      <c r="G56" s="1" t="str">
        <f>G50</f>
        <v>per 100 referrals</v>
      </c>
      <c r="L56" s="58">
        <f>IF(($E50&gt;0),L50,L49)</f>
        <v>100</v>
      </c>
      <c r="M56" s="58"/>
    </row>
    <row r="57" spans="2:18" ht="15" hidden="1" customHeight="1">
      <c r="B57" s="49" t="str">
        <f>IF(($E51&gt;0),B51,B49)</f>
        <v>per 100 youth petitioned</v>
      </c>
      <c r="C57" s="49">
        <f>IF(($E51&gt;0),C51,C50)</f>
        <v>0.39</v>
      </c>
      <c r="D57" s="49">
        <f>IF(($E51&gt;0),D51,D50)</f>
        <v>0.1</v>
      </c>
      <c r="E57" s="49">
        <f>MAX(C57:D57)</f>
        <v>0.39</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0.03</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5.5019999999999998</v>
      </c>
      <c r="D60" s="56">
        <f>D54</f>
        <v>1.4390000000000001</v>
      </c>
      <c r="E60" s="56">
        <f>MAX(C60:D60)</f>
        <v>5.5019999999999998</v>
      </c>
      <c r="G60" s="1" t="str">
        <f>G54</f>
        <v>per 1000 youth</v>
      </c>
      <c r="L60" s="58">
        <f>L54</f>
        <v>1000</v>
      </c>
      <c r="M60" s="58"/>
    </row>
    <row r="61" spans="2:18" ht="15" hidden="1" customHeight="1">
      <c r="B61" s="49" t="str">
        <f t="shared" ref="B61:D62" si="11">IF(($E55&gt;0),B55,B54)</f>
        <v>per 100 arrests</v>
      </c>
      <c r="C61" s="49">
        <f t="shared" si="11"/>
        <v>0.25</v>
      </c>
      <c r="D61" s="49">
        <f t="shared" si="11"/>
        <v>0.2</v>
      </c>
      <c r="E61" s="49">
        <f>MAX(C61:D61)</f>
        <v>0.25</v>
      </c>
      <c r="G61" s="1" t="str">
        <f>G55</f>
        <v>per 100 arrests</v>
      </c>
      <c r="L61" s="58">
        <f>IF(($E55&gt;0),L55,L54)</f>
        <v>100</v>
      </c>
      <c r="M61" s="58"/>
    </row>
    <row r="62" spans="2:18" ht="15" hidden="1" customHeight="1">
      <c r="B62" s="49" t="str">
        <f t="shared" si="11"/>
        <v>per 100 referrals</v>
      </c>
      <c r="C62" s="49">
        <f t="shared" si="11"/>
        <v>1.03</v>
      </c>
      <c r="D62" s="49">
        <f t="shared" si="11"/>
        <v>0.38</v>
      </c>
      <c r="E62" s="49">
        <f>MAX(C62:D62)</f>
        <v>1.03</v>
      </c>
      <c r="G62" s="1" t="str">
        <f>G56</f>
        <v>per 100 referrals</v>
      </c>
      <c r="L62" s="58">
        <f>IF(($E56&gt;0),L56,L55)</f>
        <v>100</v>
      </c>
      <c r="M62" s="58"/>
    </row>
    <row r="63" spans="2:18" ht="15" hidden="1" customHeight="1">
      <c r="B63" s="49" t="str">
        <f>IF(($E57&gt;0),B57,B55)</f>
        <v>per 100 youth petitioned</v>
      </c>
      <c r="C63" s="49">
        <f>IF(($E57&gt;0),C57,C56)</f>
        <v>0.39</v>
      </c>
      <c r="D63" s="49">
        <f>IF(($E57&gt;0),D57,D56)</f>
        <v>0.1</v>
      </c>
      <c r="E63" s="49">
        <f>MAX(C63:D63)</f>
        <v>0.39</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0.03</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5.5019999999999998</v>
      </c>
      <c r="D66" s="56">
        <f>D60</f>
        <v>1.4390000000000001</v>
      </c>
      <c r="E66" s="56">
        <f>MAX(C66:D66)</f>
        <v>5.5019999999999998</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0.2</v>
      </c>
      <c r="E67" s="49">
        <f>MAX(C67:D67)</f>
        <v>0.25</v>
      </c>
      <c r="G67" s="1" t="str">
        <f>G61</f>
        <v>per 100 arrests</v>
      </c>
      <c r="L67" s="58">
        <f>IF(($E61&gt;0),L61,L60)</f>
        <v>100</v>
      </c>
      <c r="M67" s="58">
        <f>IF((B67=G67),1,2)</f>
        <v>1</v>
      </c>
    </row>
    <row r="68" spans="2:13" ht="15" hidden="1" customHeight="1">
      <c r="B68" s="49" t="str">
        <f t="shared" si="12"/>
        <v>per 100 referrals</v>
      </c>
      <c r="C68" s="49">
        <f t="shared" si="12"/>
        <v>1.03</v>
      </c>
      <c r="D68" s="49">
        <f t="shared" si="12"/>
        <v>0.38</v>
      </c>
      <c r="E68" s="49">
        <f>MAX(C68:D68)</f>
        <v>1.03</v>
      </c>
      <c r="G68" s="1" t="str">
        <f>G62</f>
        <v>per 100 referrals</v>
      </c>
      <c r="L68" s="58">
        <f>IF(($E62&gt;0),L62,L61)</f>
        <v>100</v>
      </c>
      <c r="M68" s="58">
        <f>IF((B68=G68),1,2)</f>
        <v>1</v>
      </c>
    </row>
    <row r="69" spans="2:13" ht="15" hidden="1" customHeight="1">
      <c r="B69" s="49" t="str">
        <f>IF(($E63&gt;0),B63,B61)</f>
        <v>per 100 youth petitioned</v>
      </c>
      <c r="C69" s="49">
        <f>IF(($E63&gt;0),C63,C62)</f>
        <v>0.39</v>
      </c>
      <c r="D69" s="49">
        <f>IF(($E63&gt;0),D63,D62)</f>
        <v>0.1</v>
      </c>
      <c r="E69" s="49">
        <f>MAX(C69:D69)</f>
        <v>0.39</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0.03</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St. Joseph</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10.720229226361033</v>
      </c>
      <c r="D7" s="72" t="str">
        <f>Hispanic!G7</f>
        <v>**</v>
      </c>
      <c r="E7" s="72" t="str">
        <f>Asian!G7</f>
        <v>*</v>
      </c>
      <c r="F7" s="72" t="str">
        <f>Hawaiian!G7</f>
        <v>*</v>
      </c>
      <c r="G7" s="72" t="str">
        <f>'Am Indian'!G7</f>
        <v>*</v>
      </c>
      <c r="H7" s="72" t="str">
        <f>'Other - Mixed'!G7</f>
        <v>*</v>
      </c>
      <c r="I7" s="73">
        <f>'All Minorities'!G7</f>
        <v>3.0587908269631687</v>
      </c>
      <c r="L7" s="1">
        <f>'Black or African-American'!L7</f>
        <v>1</v>
      </c>
      <c r="M7" s="1">
        <f>Hispanic!L7</f>
        <v>40</v>
      </c>
      <c r="N7" s="1">
        <f>Asian!L7</f>
        <v>139</v>
      </c>
      <c r="O7" s="1" t="e">
        <f>Hawaiian!L7</f>
        <v>#VALUE!</v>
      </c>
      <c r="P7" s="1">
        <f>'Am Indian'!L7</f>
        <v>139</v>
      </c>
      <c r="Q7" s="1" t="e">
        <f>'Other - Mixed'!L7</f>
        <v>#VALUE!</v>
      </c>
      <c r="R7" s="1">
        <f>'All Minorities'!L7</f>
        <v>1</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139</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20</v>
      </c>
      <c r="M9" s="1">
        <f>Hispanic!L9</f>
        <v>40</v>
      </c>
      <c r="N9" s="1" t="e">
        <f>Asian!L9</f>
        <v>#VALUE!</v>
      </c>
      <c r="O9" s="1" t="e">
        <f>Hawaiian!L9</f>
        <v>#VALUE!</v>
      </c>
      <c r="P9" s="1" t="e">
        <f>'Am Indian'!L9</f>
        <v>#VALUE!</v>
      </c>
      <c r="Q9" s="1">
        <f>'Other - Mixed'!L9</f>
        <v>139</v>
      </c>
      <c r="R9" s="1">
        <f>'All Minorities'!L9</f>
        <v>20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20</v>
      </c>
      <c r="M10" s="1">
        <f>Hispanic!L10</f>
        <v>40</v>
      </c>
      <c r="N10" s="1" t="e">
        <f>Asian!L10</f>
        <v>#VALUE!</v>
      </c>
      <c r="O10" s="1" t="e">
        <f>Hawaiian!L10</f>
        <v>#VALUE!</v>
      </c>
      <c r="P10" s="1" t="e">
        <f>'Am Indian'!L10</f>
        <v>#VALUE!</v>
      </c>
      <c r="Q10" s="1">
        <f>'Other - Mixed'!L10</f>
        <v>139</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f>'All Minorities'!G11</f>
        <v>0.69500674763832659</v>
      </c>
      <c r="L11" s="1">
        <f>'Black or African-American'!L11</f>
        <v>40</v>
      </c>
      <c r="M11" s="1">
        <f>Hispanic!L11</f>
        <v>40</v>
      </c>
      <c r="N11" s="1" t="e">
        <f>Asian!L11</f>
        <v>#VALUE!</v>
      </c>
      <c r="O11" s="1" t="e">
        <f>Hawaiian!L11</f>
        <v>#VALUE!</v>
      </c>
      <c r="P11" s="1" t="e">
        <f>'Am Indian'!L11</f>
        <v>#VALUE!</v>
      </c>
      <c r="Q11" s="1">
        <f>'Other - Mixed'!L11</f>
        <v>139</v>
      </c>
      <c r="R11" s="1">
        <f>'All Minorities'!L11</f>
        <v>2</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20</v>
      </c>
      <c r="M12" s="1">
        <f>Hispanic!L12</f>
        <v>40</v>
      </c>
      <c r="N12" s="1" t="e">
        <f>Asian!L12</f>
        <v>#VALUE!</v>
      </c>
      <c r="O12" s="1" t="e">
        <f>Hawaiian!L12</f>
        <v>#VALUE!</v>
      </c>
      <c r="P12" s="1" t="e">
        <f>'Am Indian'!L12</f>
        <v>#VALUE!</v>
      </c>
      <c r="Q12" s="1" t="e">
        <f>'Other - Mixed'!L12</f>
        <v>#VALUE!</v>
      </c>
      <c r="R12" s="1">
        <f>'All Minorities'!L12</f>
        <v>20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f>Hispanic!L13</f>
        <v>40</v>
      </c>
      <c r="N13" s="1" t="e">
        <f>Asian!L13</f>
        <v>#VALUE!</v>
      </c>
      <c r="O13" s="1" t="e">
        <f>Hawaiian!L13</f>
        <v>#VALUE!</v>
      </c>
      <c r="P13" s="1" t="e">
        <f>'Am Indian'!L13</f>
        <v>#VALUE!</v>
      </c>
      <c r="Q13" s="1" t="e">
        <f>'Other - Mixed'!L13</f>
        <v>#VALUE!</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#DIV/0!</v>
      </c>
      <c r="M14" s="1">
        <f>Hispanic!L14</f>
        <v>20</v>
      </c>
      <c r="N14" s="1" t="e">
        <f>Asian!L14</f>
        <v>#VALUE!</v>
      </c>
      <c r="O14" s="1" t="e">
        <f>Hawaiian!L14</f>
        <v>#VALUE!</v>
      </c>
      <c r="P14" s="1" t="e">
        <f>'Am Indian'!L14</f>
        <v>#VALUE!</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6941</v>
      </c>
      <c r="D3" s="57">
        <f>'Data Entry'!C6</f>
        <v>5502</v>
      </c>
      <c r="E3" s="57">
        <f>'Data Entry'!D6</f>
        <v>349</v>
      </c>
      <c r="F3" s="57">
        <f>'Data Entry'!E6</f>
        <v>1011</v>
      </c>
      <c r="G3" s="57">
        <f>'Data Entry'!F6</f>
        <v>48</v>
      </c>
      <c r="H3" s="57">
        <f>'Data Entry'!G6</f>
        <v>0</v>
      </c>
      <c r="I3" s="57">
        <f>'Data Entry'!H6</f>
        <v>31</v>
      </c>
      <c r="J3" s="57">
        <f>'Data Entry'!I6</f>
        <v>0</v>
      </c>
      <c r="K3" s="57">
        <f>'Data Entry'!J6</f>
        <v>1439</v>
      </c>
    </row>
    <row r="4" spans="2:11" ht="15" customHeight="1">
      <c r="B4" s="16" t="s">
        <v>8</v>
      </c>
      <c r="C4" s="1">
        <f>IF((C$3&gt;0),(1000*('Data Entry'!B7/'Data Entry'!B$6)), 0)</f>
        <v>6.4832156749747876</v>
      </c>
      <c r="D4" s="1">
        <f>IF((D$3&gt;0),(1000*('Data Entry'!C7/'Data Entry'!C$6)), 0)</f>
        <v>4.5438022537259171</v>
      </c>
      <c r="E4" s="1">
        <f>IF((E$3&gt;0),(1000*('Data Entry'!D7/'Data Entry'!D$6)), 0)</f>
        <v>48.710601719197705</v>
      </c>
      <c r="F4" s="1">
        <f>IF((F$3&gt;0),(1000*('Data Entry'!E7/'Data Entry'!E$6)), 0)</f>
        <v>2.9673590504451042</v>
      </c>
      <c r="G4" s="1">
        <f>IF((G$3&gt;0),(1000*('Data Entry'!F7/'Data Entry'!F$6)), 0)</f>
        <v>0</v>
      </c>
      <c r="H4" s="1">
        <f>IF((H$3&gt;0),(1000*('Data Entry'!G7/'Data Entry'!G$6)), 0)</f>
        <v>0</v>
      </c>
      <c r="I4" s="1">
        <f>IF((I$3&gt;0),(1000*('Data Entry'!H7/'Data Entry'!H$6)), 0)</f>
        <v>0</v>
      </c>
      <c r="J4" s="1">
        <f>IF((J$3&gt;0),(1000*('Data Entry'!I7/'Data Entry'!I$6)), 0)</f>
        <v>0</v>
      </c>
      <c r="K4" s="1">
        <f>IF((K$3&gt;0),(1000*('Data Entry'!J7/'Data Entry'!J$6)), 0)</f>
        <v>13.898540653231411</v>
      </c>
    </row>
    <row r="5" spans="2:11" ht="15" customHeight="1">
      <c r="B5" s="16" t="s">
        <v>9</v>
      </c>
      <c r="C5" s="1">
        <f>IF((C$3&gt;0),(1000*('Data Entry'!B8/'Data Entry'!B$6)), 0)</f>
        <v>20.314075781587668</v>
      </c>
      <c r="D5" s="1">
        <f>IF((D$3&gt;0),(1000*('Data Entry'!C8/'Data Entry'!C$6)), 0)</f>
        <v>18.72046528535078</v>
      </c>
      <c r="E5" s="1">
        <f>IF((E$3&gt;0),(1000*('Data Entry'!D8/'Data Entry'!D$6)), 0)</f>
        <v>77.363896848137529</v>
      </c>
      <c r="F5" s="1">
        <f>IF((F$3&gt;0),(1000*('Data Entry'!E8/'Data Entry'!E$6)), 0)</f>
        <v>9.8911968348170127</v>
      </c>
      <c r="G5" s="1">
        <f>IF((G$3&gt;0),(1000*('Data Entry'!F8/'Data Entry'!F$6)), 0)</f>
        <v>0</v>
      </c>
      <c r="H5" s="1">
        <f>IF((H$3&gt;0),(1000*('Data Entry'!G8/'Data Entry'!G$6)), 0)</f>
        <v>0</v>
      </c>
      <c r="I5" s="1">
        <f>IF((I$3&gt;0),(1000*('Data Entry'!H8/'Data Entry'!H$6)), 0)</f>
        <v>0</v>
      </c>
      <c r="J5" s="1">
        <f>IF((J$3&gt;0),(1000*('Data Entry'!I8/'Data Entry'!I$6)), 0)</f>
        <v>0</v>
      </c>
      <c r="K5" s="1">
        <f>IF((K$3&gt;0),(1000*('Data Entry'!J8/'Data Entry'!J$6)), 0)</f>
        <v>26.40722724113968</v>
      </c>
    </row>
    <row r="6" spans="2:11" ht="15" customHeight="1">
      <c r="B6" s="16" t="s">
        <v>10</v>
      </c>
      <c r="C6" s="1">
        <f>IF((C$3&gt;0),(1000*('Data Entry'!B9/'Data Entry'!B$6)), 0)</f>
        <v>2.5932862699899153</v>
      </c>
      <c r="D6" s="1">
        <f>IF((D$3&gt;0),(1000*('Data Entry'!C9/'Data Entry'!C$6)), 0)</f>
        <v>3.0897855325336243</v>
      </c>
      <c r="E6" s="1">
        <f>IF((E$3&gt;0),(1000*('Data Entry'!D9/'Data Entry'!D$6)), 0)</f>
        <v>0</v>
      </c>
      <c r="F6" s="1">
        <f>IF((F$3&gt;0),(1000*('Data Entry'!E9/'Data Entry'!E$6)), 0)</f>
        <v>0.98911968348170121</v>
      </c>
      <c r="G6" s="1">
        <f>IF((G$3&gt;0),(1000*('Data Entry'!F9/'Data Entry'!F$6)), 0)</f>
        <v>0</v>
      </c>
      <c r="H6" s="1">
        <f>IF((H$3&gt;0),(1000*('Data Entry'!G9/'Data Entry'!G$6)), 0)</f>
        <v>0</v>
      </c>
      <c r="I6" s="1">
        <f>IF((I$3&gt;0),(1000*('Data Entry'!H9/'Data Entry'!H$6)), 0)</f>
        <v>0</v>
      </c>
      <c r="J6" s="1">
        <f>IF((J$3&gt;0),(1000*('Data Entry'!I9/'Data Entry'!I$6)), 0)</f>
        <v>0</v>
      </c>
      <c r="K6" s="1">
        <f>IF((K$3&gt;0),(1000*('Data Entry'!J9/'Data Entry'!J$6)), 0)</f>
        <v>0.69492703266157052</v>
      </c>
    </row>
    <row r="7" spans="2:11" ht="15" customHeight="1">
      <c r="B7" s="16" t="s">
        <v>11</v>
      </c>
      <c r="C7" s="1">
        <f>IF((C$3&gt;0),(1000*('Data Entry'!B10/'Data Entry'!B$6)), 0)</f>
        <v>3.0255006483215676</v>
      </c>
      <c r="D7" s="1">
        <f>IF((D$3&gt;0),(1000*('Data Entry'!C10/'Data Entry'!C$6)), 0)</f>
        <v>3.4532897128316979</v>
      </c>
      <c r="E7" s="1">
        <f>IF((E$3&gt;0),(1000*('Data Entry'!D10/'Data Entry'!D$6)), 0)</f>
        <v>0</v>
      </c>
      <c r="F7" s="1">
        <f>IF((F$3&gt;0),(1000*('Data Entry'!E10/'Data Entry'!E$6)), 0)</f>
        <v>1.9782393669634024</v>
      </c>
      <c r="G7" s="1">
        <f>IF((G$3&gt;0),(1000*('Data Entry'!F10/'Data Entry'!F$6)), 0)</f>
        <v>0</v>
      </c>
      <c r="H7" s="1">
        <f>IF((H$3&gt;0),(1000*('Data Entry'!G10/'Data Entry'!G$6)), 0)</f>
        <v>0</v>
      </c>
      <c r="I7" s="1">
        <f>IF((I$3&gt;0),(1000*('Data Entry'!H10/'Data Entry'!H$6)), 0)</f>
        <v>0</v>
      </c>
      <c r="J7" s="1">
        <f>IF((J$3&gt;0),(1000*('Data Entry'!I10/'Data Entry'!I$6)), 0)</f>
        <v>0</v>
      </c>
      <c r="K7" s="1">
        <f>IF((K$3&gt;0),(1000*('Data Entry'!J10/'Data Entry'!J$6)), 0)</f>
        <v>1.389854065323141</v>
      </c>
    </row>
    <row r="8" spans="2:11" ht="15" customHeight="1">
      <c r="B8" s="16" t="s">
        <v>95</v>
      </c>
      <c r="C8" s="1">
        <f>IF((C$3&gt;0),(1000*('Data Entry'!B11/'Data Entry'!B$6)), 0)</f>
        <v>7.059501512750324</v>
      </c>
      <c r="D8" s="1">
        <f>IF((D$3&gt;0),(1000*('Data Entry'!C11/'Data Entry'!C$6)), 0)</f>
        <v>7.088331515812432</v>
      </c>
      <c r="E8" s="1">
        <f>IF((E$3&gt;0),(1000*('Data Entry'!D11/'Data Entry'!D$6)), 0)</f>
        <v>17.191977077363898</v>
      </c>
      <c r="F8" s="1">
        <f>IF((F$3&gt;0),(1000*('Data Entry'!E11/'Data Entry'!E$6)), 0)</f>
        <v>3.9564787339268048</v>
      </c>
      <c r="G8" s="1">
        <f>IF((G$3&gt;0),(1000*('Data Entry'!F11/'Data Entry'!F$6)), 0)</f>
        <v>0</v>
      </c>
      <c r="H8" s="1">
        <f>IF((H$3&gt;0),(1000*('Data Entry'!G11/'Data Entry'!G$6)), 0)</f>
        <v>0</v>
      </c>
      <c r="I8" s="1">
        <f>IF((I$3&gt;0),(1000*('Data Entry'!H11/'Data Entry'!H$6)), 0)</f>
        <v>0</v>
      </c>
      <c r="J8" s="1">
        <f>IF((J$3&gt;0),(1000*('Data Entry'!I11/'Data Entry'!I$6)), 0)</f>
        <v>0</v>
      </c>
      <c r="K8" s="1">
        <f>IF((K$3&gt;0),(1000*('Data Entry'!J11/'Data Entry'!J$6)), 0)</f>
        <v>6.9492703266157054</v>
      </c>
    </row>
    <row r="9" spans="2:11" ht="15" customHeight="1">
      <c r="B9" s="16" t="s">
        <v>13</v>
      </c>
      <c r="C9" s="1">
        <f>IF((C$3&gt;0),(1000*('Data Entry'!B12/'Data Entry'!B$6)), 0)</f>
        <v>4.1780723238726409</v>
      </c>
      <c r="D9" s="1">
        <f>IF((D$3&gt;0),(1000*('Data Entry'!C12/'Data Entry'!C$6)), 0)</f>
        <v>4.7255543438749541</v>
      </c>
      <c r="E9" s="1">
        <f>IF((E$3&gt;0),(1000*('Data Entry'!D12/'Data Entry'!D$6)), 0)</f>
        <v>0</v>
      </c>
      <c r="F9" s="1">
        <f>IF((F$3&gt;0),(1000*('Data Entry'!E12/'Data Entry'!E$6)), 0)</f>
        <v>2.9673590504451042</v>
      </c>
      <c r="G9" s="1">
        <f>IF((G$3&gt;0),(1000*('Data Entry'!F12/'Data Entry'!F$6)), 0)</f>
        <v>0</v>
      </c>
      <c r="H9" s="1">
        <f>IF((H$3&gt;0),(1000*('Data Entry'!G12/'Data Entry'!G$6)), 0)</f>
        <v>0</v>
      </c>
      <c r="I9" s="1">
        <f>IF((I$3&gt;0),(1000*('Data Entry'!H12/'Data Entry'!H$6)), 0)</f>
        <v>0</v>
      </c>
      <c r="J9" s="1">
        <f>IF((J$3&gt;0),(1000*('Data Entry'!I12/'Data Entry'!I$6)), 0)</f>
        <v>0</v>
      </c>
      <c r="K9" s="1">
        <f>IF((K$3&gt;0),(1000*('Data Entry'!J12/'Data Entry'!J$6)), 0)</f>
        <v>2.0847810979847115</v>
      </c>
    </row>
    <row r="10" spans="2:11" ht="15" customHeight="1">
      <c r="B10" s="16" t="s">
        <v>14</v>
      </c>
      <c r="C10" s="1">
        <f>IF((C$3&gt;0),(1000*('Data Entry'!B13/'Data Entry'!B$6)), 0)</f>
        <v>1.008500216107189</v>
      </c>
      <c r="D10" s="1">
        <f>IF((D$3&gt;0),(1000*('Data Entry'!C13/'Data Entry'!C$6)), 0)</f>
        <v>0.90876045074518352</v>
      </c>
      <c r="E10" s="1">
        <f>IF((E$3&gt;0),(1000*('Data Entry'!D13/'Data Entry'!D$6)), 0)</f>
        <v>0</v>
      </c>
      <c r="F10" s="1">
        <f>IF((F$3&gt;0),(1000*('Data Entry'!E13/'Data Entry'!E$6)), 0)</f>
        <v>1.9782393669634024</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1.389854065323141</v>
      </c>
    </row>
    <row r="11" spans="2:11" ht="25.5" customHeight="1">
      <c r="B11" s="16" t="s">
        <v>15</v>
      </c>
      <c r="C11" s="1">
        <f>IF((C$3&gt;0),(1000*('Data Entry'!B14/'Data Entry'!B$6)), 0)</f>
        <v>3.7458579455409886</v>
      </c>
      <c r="D11" s="1">
        <f>IF((D$3&gt;0),(1000*('Data Entry'!C14/'Data Entry'!C$6)), 0)</f>
        <v>4.3620501635768809</v>
      </c>
      <c r="E11" s="1">
        <f>IF((E$3&gt;0),(1000*('Data Entry'!D14/'Data Entry'!D$6)), 0)</f>
        <v>2.8653295128939829</v>
      </c>
      <c r="F11" s="1">
        <f>IF((F$3&gt;0),(1000*('Data Entry'!E14/'Data Entry'!E$6)), 0)</f>
        <v>0.98911968348170121</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1.389854065323141</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St. Joseph</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10.720229226361033</v>
      </c>
      <c r="E19" s="72">
        <f t="shared" si="1"/>
        <v>0.65305637982195863</v>
      </c>
      <c r="F19" s="72" t="str">
        <f t="shared" si="1"/>
        <v>--</v>
      </c>
      <c r="G19" s="72" t="str">
        <f t="shared" si="1"/>
        <v>--</v>
      </c>
      <c r="H19" s="72" t="str">
        <f t="shared" si="1"/>
        <v>--</v>
      </c>
      <c r="I19" s="72" t="str">
        <f t="shared" si="1"/>
        <v>--</v>
      </c>
      <c r="J19" s="73">
        <f t="shared" si="1"/>
        <v>3.0587908269631696</v>
      </c>
    </row>
    <row r="20" spans="2:10" ht="15" customHeight="1">
      <c r="B20" s="71" t="s">
        <v>9</v>
      </c>
      <c r="C20" s="72">
        <f t="shared" ref="C20:J27" si="2">IF(AND(($D5&gt;0),(D5&gt;0)), (D5/$D5),"--")</f>
        <v>1</v>
      </c>
      <c r="D20" s="72">
        <f t="shared" si="2"/>
        <v>4.1325840821208999</v>
      </c>
      <c r="E20" s="72">
        <f t="shared" si="2"/>
        <v>0.52836276684624472</v>
      </c>
      <c r="F20" s="72" t="str">
        <f t="shared" si="2"/>
        <v>--</v>
      </c>
      <c r="G20" s="72" t="str">
        <f t="shared" si="2"/>
        <v>--</v>
      </c>
      <c r="H20" s="72" t="str">
        <f t="shared" si="2"/>
        <v>--</v>
      </c>
      <c r="I20" s="72" t="str">
        <f t="shared" si="2"/>
        <v>--</v>
      </c>
      <c r="J20" s="73">
        <f t="shared" si="2"/>
        <v>1.4106074202014613</v>
      </c>
    </row>
    <row r="21" spans="2:10" ht="15" customHeight="1">
      <c r="B21" s="71" t="s">
        <v>10</v>
      </c>
      <c r="C21" s="72">
        <f t="shared" si="2"/>
        <v>1</v>
      </c>
      <c r="D21" s="72" t="str">
        <f t="shared" si="2"/>
        <v>--</v>
      </c>
      <c r="E21" s="72">
        <f t="shared" si="2"/>
        <v>0.32012567638331291</v>
      </c>
      <c r="F21" s="72" t="str">
        <f t="shared" si="2"/>
        <v>--</v>
      </c>
      <c r="G21" s="72" t="str">
        <f t="shared" si="2"/>
        <v>--</v>
      </c>
      <c r="H21" s="72" t="str">
        <f t="shared" si="2"/>
        <v>--</v>
      </c>
      <c r="I21" s="72" t="str">
        <f t="shared" si="2"/>
        <v>--</v>
      </c>
      <c r="J21" s="73">
        <f t="shared" si="2"/>
        <v>0.22491109021788006</v>
      </c>
    </row>
    <row r="22" spans="2:10" ht="15" customHeight="1">
      <c r="B22" s="71" t="s">
        <v>11</v>
      </c>
      <c r="C22" s="72">
        <f t="shared" si="2"/>
        <v>1</v>
      </c>
      <c r="D22" s="72" t="str">
        <f t="shared" si="2"/>
        <v>--</v>
      </c>
      <c r="E22" s="72">
        <f t="shared" si="2"/>
        <v>0.57285647352803359</v>
      </c>
      <c r="F22" s="72" t="str">
        <f t="shared" si="2"/>
        <v>--</v>
      </c>
      <c r="G22" s="72" t="str">
        <f t="shared" si="2"/>
        <v>--</v>
      </c>
      <c r="H22" s="72" t="str">
        <f t="shared" si="2"/>
        <v>--</v>
      </c>
      <c r="I22" s="72" t="str">
        <f t="shared" si="2"/>
        <v>--</v>
      </c>
      <c r="J22" s="73">
        <f t="shared" si="2"/>
        <v>0.40247247723199586</v>
      </c>
    </row>
    <row r="23" spans="2:10" ht="15" customHeight="1">
      <c r="B23" s="71" t="s">
        <v>95</v>
      </c>
      <c r="C23" s="72">
        <f t="shared" si="2"/>
        <v>1</v>
      </c>
      <c r="D23" s="72">
        <f t="shared" si="2"/>
        <v>2.4253912276834915</v>
      </c>
      <c r="E23" s="72">
        <f t="shared" si="2"/>
        <v>0.5581678460016738</v>
      </c>
      <c r="F23" s="72" t="str">
        <f t="shared" si="2"/>
        <v>--</v>
      </c>
      <c r="G23" s="72" t="str">
        <f t="shared" si="2"/>
        <v>--</v>
      </c>
      <c r="H23" s="72" t="str">
        <f t="shared" si="2"/>
        <v>--</v>
      </c>
      <c r="I23" s="72" t="str">
        <f t="shared" si="2"/>
        <v>--</v>
      </c>
      <c r="J23" s="73">
        <f t="shared" si="2"/>
        <v>0.9803816753087079</v>
      </c>
    </row>
    <row r="24" spans="2:10" ht="15" customHeight="1">
      <c r="B24" s="71" t="s">
        <v>13</v>
      </c>
      <c r="C24" s="72">
        <f t="shared" si="2"/>
        <v>1</v>
      </c>
      <c r="D24" s="72" t="str">
        <f t="shared" si="2"/>
        <v>--</v>
      </c>
      <c r="E24" s="72">
        <f t="shared" si="2"/>
        <v>0.62793882675188328</v>
      </c>
      <c r="F24" s="72" t="str">
        <f t="shared" si="2"/>
        <v>--</v>
      </c>
      <c r="G24" s="72" t="str">
        <f t="shared" si="2"/>
        <v>--</v>
      </c>
      <c r="H24" s="72" t="str">
        <f t="shared" si="2"/>
        <v>--</v>
      </c>
      <c r="I24" s="72" t="str">
        <f t="shared" si="2"/>
        <v>--</v>
      </c>
      <c r="J24" s="73">
        <f t="shared" si="2"/>
        <v>0.44117175388891861</v>
      </c>
    </row>
    <row r="25" spans="2:10" ht="15" customHeight="1">
      <c r="B25" s="71" t="s">
        <v>14</v>
      </c>
      <c r="C25" s="72">
        <f t="shared" si="2"/>
        <v>1</v>
      </c>
      <c r="D25" s="72" t="str">
        <f t="shared" si="2"/>
        <v>--</v>
      </c>
      <c r="E25" s="72">
        <f t="shared" si="2"/>
        <v>2.176854599406528</v>
      </c>
      <c r="F25" s="72" t="str">
        <f t="shared" si="2"/>
        <v>--</v>
      </c>
      <c r="G25" s="72" t="str">
        <f t="shared" si="2"/>
        <v>--</v>
      </c>
      <c r="H25" s="72" t="str">
        <f t="shared" si="2"/>
        <v>--</v>
      </c>
      <c r="I25" s="72" t="str">
        <f t="shared" si="2"/>
        <v>--</v>
      </c>
      <c r="J25" s="73">
        <f t="shared" si="2"/>
        <v>1.5293954134815846</v>
      </c>
    </row>
    <row r="26" spans="2:10" ht="25.5" customHeight="1">
      <c r="B26" s="71" t="s">
        <v>15</v>
      </c>
      <c r="C26" s="72">
        <f t="shared" si="2"/>
        <v>1</v>
      </c>
      <c r="D26" s="72">
        <f t="shared" si="2"/>
        <v>0.65687679083094563</v>
      </c>
      <c r="E26" s="72">
        <f t="shared" si="2"/>
        <v>0.22675568743818</v>
      </c>
      <c r="F26" s="72" t="str">
        <f t="shared" si="2"/>
        <v>--</v>
      </c>
      <c r="G26" s="72" t="str">
        <f t="shared" si="2"/>
        <v>--</v>
      </c>
      <c r="H26" s="72" t="str">
        <f t="shared" si="2"/>
        <v>--</v>
      </c>
      <c r="I26" s="72" t="str">
        <f t="shared" si="2"/>
        <v>--</v>
      </c>
      <c r="J26" s="73">
        <f t="shared" si="2"/>
        <v>0.3186240444753301</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St. Joseph</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5502</v>
      </c>
      <c r="D7" s="104">
        <f>'Data Entry'!D6</f>
        <v>349</v>
      </c>
      <c r="E7" s="105"/>
      <c r="F7" s="106">
        <f>'Data Entry'!E6</f>
        <v>1011</v>
      </c>
      <c r="G7" s="105"/>
      <c r="H7" s="106">
        <f>'Data Entry'!F6</f>
        <v>48</v>
      </c>
      <c r="I7" s="105"/>
      <c r="J7" s="106">
        <f>'Data Entry'!G6</f>
        <v>0</v>
      </c>
      <c r="K7" s="105"/>
      <c r="L7" s="106">
        <f>'Data Entry'!H6</f>
        <v>31</v>
      </c>
      <c r="M7" s="105"/>
      <c r="N7" s="106">
        <f>'Data Entry'!I6</f>
        <v>0</v>
      </c>
      <c r="O7" s="105"/>
      <c r="P7" s="106">
        <f>'Data Entry'!J6</f>
        <v>1439</v>
      </c>
      <c r="Q7" s="107"/>
    </row>
    <row r="8" spans="2:26" s="1" customFormat="1" ht="15" customHeight="1">
      <c r="B8" s="142" t="s">
        <v>8</v>
      </c>
      <c r="C8" s="103">
        <f>'Data Entry'!C7</f>
        <v>25</v>
      </c>
      <c r="D8" s="104">
        <f>'Data Entry'!D7</f>
        <v>17</v>
      </c>
      <c r="E8" s="105">
        <f>'Black or African-American'!$G7</f>
        <v>10.720229226361033</v>
      </c>
      <c r="F8" s="106">
        <f>'Data Entry'!E7</f>
        <v>3</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20</v>
      </c>
      <c r="Q8" s="107">
        <f>'All Minorities'!G7</f>
        <v>3.0587908269631687</v>
      </c>
      <c r="R8"/>
      <c r="T8" s="1">
        <f>'Black or African-American'!L7</f>
        <v>1</v>
      </c>
      <c r="U8" s="1">
        <f>Hispanic!L7</f>
        <v>40</v>
      </c>
      <c r="V8" s="1">
        <f>Asian!L7</f>
        <v>139</v>
      </c>
      <c r="W8" s="1" t="e">
        <f>Hawaiian!L7</f>
        <v>#VALUE!</v>
      </c>
      <c r="X8" s="1">
        <f>'Am Indian'!L7</f>
        <v>139</v>
      </c>
      <c r="Y8" s="1" t="e">
        <f>'Other - Mixed'!L7</f>
        <v>#VALUE!</v>
      </c>
      <c r="Z8" s="1">
        <f>'All Minorities'!L7</f>
        <v>1</v>
      </c>
    </row>
    <row r="9" spans="2:26" s="1" customFormat="1" ht="15" customHeight="1">
      <c r="B9" s="142" t="s">
        <v>134</v>
      </c>
      <c r="C9" s="103">
        <f>'Data Entry'!C8</f>
        <v>103</v>
      </c>
      <c r="D9" s="108">
        <f>'Data Entry'!D8</f>
        <v>27</v>
      </c>
      <c r="E9" s="109" t="str">
        <f>'Black or African-American'!$G8</f>
        <v>**</v>
      </c>
      <c r="F9" s="110">
        <f>'Data Entry'!E8</f>
        <v>10</v>
      </c>
      <c r="G9" s="109" t="str">
        <f>Hispanic!G8</f>
        <v>**</v>
      </c>
      <c r="H9" s="110">
        <f>'Data Entry'!F8</f>
        <v>0</v>
      </c>
      <c r="I9" s="109" t="str">
        <f>Asian!G8</f>
        <v>*</v>
      </c>
      <c r="J9" s="110">
        <f>'Data Entry'!G8</f>
        <v>0</v>
      </c>
      <c r="K9" s="109" t="str">
        <f>Hawaiian!G8</f>
        <v>*</v>
      </c>
      <c r="L9" s="110">
        <f>'Data Entry'!H8</f>
        <v>0</v>
      </c>
      <c r="M9" s="109" t="str">
        <f>'Am Indian'!G8</f>
        <v>*</v>
      </c>
      <c r="N9" s="110">
        <f>'Data Entry'!I8</f>
        <v>1</v>
      </c>
      <c r="O9" s="109" t="str">
        <f>'Other - Mixed'!G8</f>
        <v>*</v>
      </c>
      <c r="P9" s="110">
        <f>'Data Entry'!J8</f>
        <v>38</v>
      </c>
      <c r="Q9" s="111" t="str">
        <f>'All Minorities'!G8</f>
        <v>**</v>
      </c>
      <c r="R9"/>
      <c r="T9" s="1">
        <f>'Black or African-American'!L8</f>
        <v>20</v>
      </c>
      <c r="U9" s="1">
        <f>Hispanic!L8</f>
        <v>40</v>
      </c>
      <c r="V9" s="1">
        <f>Asian!L8</f>
        <v>139</v>
      </c>
      <c r="W9" s="1">
        <f>Hawaiian!L8</f>
        <v>139</v>
      </c>
      <c r="X9" s="1">
        <f>'Am Indian'!L8</f>
        <v>139</v>
      </c>
      <c r="Y9" s="1">
        <f>'Other - Mixed'!L8</f>
        <v>139</v>
      </c>
      <c r="Z9" s="1">
        <f>'All Minorities'!L8</f>
        <v>20</v>
      </c>
    </row>
    <row r="10" spans="2:26" s="1" customFormat="1" ht="15" customHeight="1">
      <c r="B10" s="142" t="s">
        <v>10</v>
      </c>
      <c r="C10" s="103">
        <f>'Data Entry'!C9</f>
        <v>17</v>
      </c>
      <c r="D10" s="112">
        <f>'Data Entry'!D9</f>
        <v>0</v>
      </c>
      <c r="E10" s="113" t="str">
        <f>'Black or African-American'!$G9</f>
        <v>**</v>
      </c>
      <c r="F10" s="114">
        <f>'Data Entry'!E9</f>
        <v>1</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1</v>
      </c>
      <c r="Q10" s="115" t="str">
        <f>'All Minorities'!G9</f>
        <v>**</v>
      </c>
      <c r="R10"/>
      <c r="T10" s="1">
        <f>'Black or African-American'!L9</f>
        <v>20</v>
      </c>
      <c r="U10" s="1">
        <f>Hispanic!L9</f>
        <v>40</v>
      </c>
      <c r="V10" s="1" t="e">
        <f>Asian!L9</f>
        <v>#VALUE!</v>
      </c>
      <c r="W10" s="1" t="e">
        <f>Hawaiian!L9</f>
        <v>#VALUE!</v>
      </c>
      <c r="X10" s="1" t="e">
        <f>'Am Indian'!L9</f>
        <v>#VALUE!</v>
      </c>
      <c r="Y10" s="1">
        <f>'Other - Mixed'!L9</f>
        <v>139</v>
      </c>
      <c r="Z10" s="1">
        <f>'All Minorities'!L9</f>
        <v>20</v>
      </c>
    </row>
    <row r="11" spans="2:26" s="1" customFormat="1" ht="15" customHeight="1">
      <c r="B11" s="142" t="s">
        <v>11</v>
      </c>
      <c r="C11" s="103">
        <f>'Data Entry'!C10</f>
        <v>19</v>
      </c>
      <c r="D11" s="108">
        <f>'Data Entry'!D10</f>
        <v>0</v>
      </c>
      <c r="E11" s="109" t="str">
        <f>'Black or African-American'!$G10</f>
        <v>**</v>
      </c>
      <c r="F11" s="110">
        <f>'Data Entry'!E10</f>
        <v>2</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2</v>
      </c>
      <c r="Q11" s="111" t="str">
        <f>'All Minorities'!G10</f>
        <v>**</v>
      </c>
      <c r="R11"/>
      <c r="T11" s="1">
        <f>'Black or African-American'!L10</f>
        <v>20</v>
      </c>
      <c r="U11" s="1">
        <f>Hispanic!L10</f>
        <v>40</v>
      </c>
      <c r="V11" s="1" t="e">
        <f>Asian!L10</f>
        <v>#VALUE!</v>
      </c>
      <c r="W11" s="1" t="e">
        <f>Hawaiian!L10</f>
        <v>#VALUE!</v>
      </c>
      <c r="X11" s="1" t="e">
        <f>'Am Indian'!L10</f>
        <v>#VALUE!</v>
      </c>
      <c r="Y11" s="1">
        <f>'Other - Mixed'!L10</f>
        <v>139</v>
      </c>
      <c r="Z11" s="1">
        <f>'All Minorities'!L10</f>
        <v>40</v>
      </c>
    </row>
    <row r="12" spans="2:26" s="1" customFormat="1" ht="15" customHeight="1">
      <c r="B12" s="142" t="s">
        <v>95</v>
      </c>
      <c r="C12" s="103">
        <f>'Data Entry'!C11</f>
        <v>39</v>
      </c>
      <c r="D12" s="112">
        <f>'Data Entry'!D11</f>
        <v>6</v>
      </c>
      <c r="E12" s="113" t="str">
        <f>'Black or African-American'!$G11</f>
        <v>**</v>
      </c>
      <c r="F12" s="114">
        <f>'Data Entry'!E11</f>
        <v>4</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10</v>
      </c>
      <c r="Q12" s="115">
        <f>'All Minorities'!G11</f>
        <v>0.69500674763832659</v>
      </c>
      <c r="R12"/>
      <c r="T12" s="1">
        <f>'Black or African-American'!L11</f>
        <v>40</v>
      </c>
      <c r="U12" s="1">
        <f>Hispanic!L11</f>
        <v>40</v>
      </c>
      <c r="V12" s="1" t="e">
        <f>Asian!L11</f>
        <v>#VALUE!</v>
      </c>
      <c r="W12" s="1" t="e">
        <f>Hawaiian!L11</f>
        <v>#VALUE!</v>
      </c>
      <c r="X12" s="1" t="e">
        <f>'Am Indian'!L11</f>
        <v>#VALUE!</v>
      </c>
      <c r="Y12" s="1">
        <f>'Other - Mixed'!L11</f>
        <v>139</v>
      </c>
      <c r="Z12" s="1">
        <f>'All Minorities'!L11</f>
        <v>2</v>
      </c>
    </row>
    <row r="13" spans="2:26" s="1" customFormat="1" ht="15" customHeight="1">
      <c r="B13" s="142" t="s">
        <v>13</v>
      </c>
      <c r="C13" s="103">
        <f>'Data Entry'!C12</f>
        <v>26</v>
      </c>
      <c r="D13" s="108">
        <f>'Data Entry'!D12</f>
        <v>0</v>
      </c>
      <c r="E13" s="109" t="str">
        <f>'Black or African-American'!$G12</f>
        <v>**</v>
      </c>
      <c r="F13" s="110">
        <f>'Data Entry'!E12</f>
        <v>3</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3</v>
      </c>
      <c r="Q13" s="111" t="str">
        <f>'All Minorities'!G12</f>
        <v>**</v>
      </c>
      <c r="R13"/>
      <c r="T13" s="1">
        <f>'Black or African-American'!L12</f>
        <v>20</v>
      </c>
      <c r="U13" s="1">
        <f>Hispanic!L12</f>
        <v>40</v>
      </c>
      <c r="V13" s="1" t="e">
        <f>Asian!L12</f>
        <v>#VALUE!</v>
      </c>
      <c r="W13" s="1" t="e">
        <f>Hawaiian!L12</f>
        <v>#VALUE!</v>
      </c>
      <c r="X13" s="1" t="e">
        <f>'Am Indian'!L12</f>
        <v>#VALUE!</v>
      </c>
      <c r="Y13" s="1" t="e">
        <f>'Other - Mixed'!L12</f>
        <v>#VALUE!</v>
      </c>
      <c r="Z13" s="1">
        <f>'All Minorities'!L12</f>
        <v>20</v>
      </c>
    </row>
    <row r="14" spans="2:26" s="1" customFormat="1" ht="15" customHeight="1">
      <c r="B14" s="142" t="s">
        <v>133</v>
      </c>
      <c r="C14" s="103">
        <f>'Data Entry'!C13</f>
        <v>5</v>
      </c>
      <c r="D14" s="112">
        <f>'Data Entry'!D13</f>
        <v>0</v>
      </c>
      <c r="E14" s="113" t="str">
        <f>'Black or African-American'!$G13</f>
        <v>--</v>
      </c>
      <c r="F14" s="114">
        <f>'Data Entry'!E13</f>
        <v>2</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2</v>
      </c>
      <c r="Q14" s="115" t="str">
        <f>'All Minorities'!G13</f>
        <v>**</v>
      </c>
      <c r="R14"/>
      <c r="T14" s="1" t="e">
        <f>'Black or African-American'!L13</f>
        <v>#VALUE!</v>
      </c>
      <c r="U14" s="1">
        <f>Hispanic!L13</f>
        <v>40</v>
      </c>
      <c r="V14" s="1" t="e">
        <f>Asian!L13</f>
        <v>#VALUE!</v>
      </c>
      <c r="W14" s="1" t="e">
        <f>Hawaiian!L13</f>
        <v>#VALUE!</v>
      </c>
      <c r="X14" s="1" t="e">
        <f>'Am Indian'!L13</f>
        <v>#VALUE!</v>
      </c>
      <c r="Y14" s="1" t="e">
        <f>'Other - Mixed'!L13</f>
        <v>#VALUE!</v>
      </c>
      <c r="Z14" s="1">
        <f>'All Minorities'!L13</f>
        <v>40</v>
      </c>
    </row>
    <row r="15" spans="2:26" s="1" customFormat="1" ht="33">
      <c r="B15" s="144" t="s">
        <v>123</v>
      </c>
      <c r="C15" s="103">
        <f>'Data Entry'!C14</f>
        <v>24</v>
      </c>
      <c r="D15" s="108">
        <f>'Data Entry'!D14</f>
        <v>1</v>
      </c>
      <c r="E15" s="109" t="str">
        <f>'Black or African-American'!$G14</f>
        <v>--</v>
      </c>
      <c r="F15" s="110">
        <f>'Data Entry'!E14</f>
        <v>1</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2</v>
      </c>
      <c r="Q15" s="111" t="str">
        <f>'All Minorities'!G14</f>
        <v>**</v>
      </c>
      <c r="R15"/>
      <c r="T15" s="1" t="e">
        <f>'Black or African-American'!L14</f>
        <v>#DIV/0!</v>
      </c>
      <c r="U15" s="1">
        <f>Hispanic!L14</f>
        <v>20</v>
      </c>
      <c r="V15" s="1" t="e">
        <f>Asian!L14</f>
        <v>#VALUE!</v>
      </c>
      <c r="W15" s="1" t="e">
        <f>Hawaiian!L14</f>
        <v>#VALUE!</v>
      </c>
      <c r="X15" s="1" t="e">
        <f>'Am Indian'!L14</f>
        <v>#VALUE!</v>
      </c>
      <c r="Y15" s="1" t="e">
        <f>'Other - Mixed'!L14</f>
        <v>#VALUE!</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St. Joseph</v>
      </c>
    </row>
    <row r="6" spans="1:12">
      <c r="A6" s="135" t="str">
        <f>CONCATENATE("Percentage of Minorities at Stages of the Juvenile Justice System, ", A5, " 2024")</f>
        <v>Percentage of Minorities at Stages of the Juvenile Justice System, County: St. Joseph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3.8234885337039608</v>
      </c>
    </row>
    <row r="8" spans="1:12" ht="25.5" customHeight="1">
      <c r="A8" s="151" t="str">
        <f>CONCATENATE("Confinement, total N=", 'Data Entry'!B14)</f>
        <v>Confinement, total N=26</v>
      </c>
      <c r="B8" s="150">
        <f>'Data Entry'!D14/'Data Entry'!B14</f>
        <v>3.8461538461538464E-2</v>
      </c>
      <c r="C8" s="150">
        <f>'Data Entry'!E14/'Data Entry'!B14</f>
        <v>3.8461538461538464E-2</v>
      </c>
      <c r="D8" s="150">
        <f>'Data Entry'!F14/'Data Entry'!B14</f>
        <v>0</v>
      </c>
      <c r="E8" s="150">
        <f>'Data Entry'!G14/'Data Entry'!B14</f>
        <v>0</v>
      </c>
      <c r="F8" s="150">
        <f>'Data Entry'!H14/'Data Entry'!B14</f>
        <v>0</v>
      </c>
      <c r="G8" s="150">
        <f>'Data Entry'!I14/'Data Entry'!B14</f>
        <v>0</v>
      </c>
      <c r="H8" s="150">
        <f>SUM(D8:G8)/'Data Entry'!B14</f>
        <v>0</v>
      </c>
      <c r="I8" s="150">
        <f>'Data Entry'!C14/'Data Entry'!B14</f>
        <v>0.92307692307692313</v>
      </c>
      <c r="K8" s="96" t="str">
        <f>A8</f>
        <v>Confinement, total N=26</v>
      </c>
      <c r="L8">
        <f>I14/(SUM(B14:G14))</f>
        <v>3.8234885337039608</v>
      </c>
    </row>
    <row r="9" spans="1:12">
      <c r="A9" s="128" t="str">
        <f>CONCATENATE("Delinquent Findings, total N=", 'Data Entry'!B12)</f>
        <v>Delinquent Findings, total N=29</v>
      </c>
      <c r="B9" s="150">
        <f>'Data Entry'!D12/'Data Entry'!B12</f>
        <v>0</v>
      </c>
      <c r="C9" s="150">
        <f>'Data Entry'!E12/'Data Entry'!B12</f>
        <v>0.10344827586206896</v>
      </c>
      <c r="D9" s="150">
        <f>'Data Entry'!F12/'Data Entry'!B12</f>
        <v>0</v>
      </c>
      <c r="E9" s="150">
        <f>'Data Entry'!G12/'Data Entry'!B12</f>
        <v>0</v>
      </c>
      <c r="F9" s="150">
        <f>'Data Entry'!H12/'Data Entry'!B12</f>
        <v>0</v>
      </c>
      <c r="G9" s="150">
        <f>'Data Entry'!I12/'Data Entry'!B12</f>
        <v>0</v>
      </c>
      <c r="H9" s="150">
        <f>SUM(D9:G9)/'Data Entry'!B12</f>
        <v>0</v>
      </c>
      <c r="I9" s="150">
        <f>'Data Entry'!C12/'Data Entry'!B12</f>
        <v>0.89655172413793105</v>
      </c>
      <c r="K9" s="96" t="str">
        <f t="shared" si="0"/>
        <v>Delinquent Findings, total N=29</v>
      </c>
      <c r="L9">
        <f>I14/(SUM(B14:G14))</f>
        <v>3.8234885337039608</v>
      </c>
    </row>
    <row r="10" spans="1:12">
      <c r="A10" s="128" t="str">
        <f>CONCATENATE("Petitions, total N=", 'Data Entry'!B11)</f>
        <v>Petitions, total N=49</v>
      </c>
      <c r="B10" s="150">
        <f>'Data Entry'!D11/'Data Entry'!B11</f>
        <v>0.12244897959183673</v>
      </c>
      <c r="C10" s="150">
        <f>'Data Entry'!E11/'Data Entry'!B11</f>
        <v>8.1632653061224483E-2</v>
      </c>
      <c r="D10" s="150">
        <f>'Data Entry'!F11/'Data Entry'!B11</f>
        <v>0</v>
      </c>
      <c r="E10" s="150">
        <f>'Data Entry'!G11/'Data Entry'!B11</f>
        <v>0</v>
      </c>
      <c r="F10" s="150">
        <f>'Data Entry'!H11/'Data Entry'!B11</f>
        <v>0</v>
      </c>
      <c r="G10" s="150">
        <f>'Data Entry'!I11/'Data Entry'!B11</f>
        <v>0</v>
      </c>
      <c r="H10" s="150">
        <f>SUM(D10:G10)/'Data Entry'!B11</f>
        <v>0</v>
      </c>
      <c r="I10" s="150">
        <f>'Data Entry'!C11/'Data Entry'!B11</f>
        <v>0.79591836734693877</v>
      </c>
      <c r="K10" s="96" t="str">
        <f t="shared" si="0"/>
        <v>Petitions, total N=49</v>
      </c>
      <c r="L10">
        <f>I14/(SUM(B14:G14))</f>
        <v>3.8234885337039608</v>
      </c>
    </row>
    <row r="11" spans="1:12">
      <c r="A11" s="128" t="str">
        <f>CONCATENATE("Detentions, total N=", 'Data Entry'!B10)</f>
        <v>Detentions, total N=21</v>
      </c>
      <c r="B11" s="150">
        <f>'Data Entry'!D10/'Data Entry'!B10</f>
        <v>0</v>
      </c>
      <c r="C11" s="150">
        <f>'Data Entry'!E10/'Data Entry'!B10</f>
        <v>9.5238095238095233E-2</v>
      </c>
      <c r="D11" s="150">
        <f>'Data Entry'!F10/'Data Entry'!B10</f>
        <v>0</v>
      </c>
      <c r="E11" s="150">
        <f>'Data Entry'!G10/'Data Entry'!B10</f>
        <v>0</v>
      </c>
      <c r="F11" s="150">
        <f>'Data Entry'!H10/'Data Entry'!B10</f>
        <v>0</v>
      </c>
      <c r="G11" s="150">
        <f>'Data Entry'!I10/'Data Entry'!B10</f>
        <v>0</v>
      </c>
      <c r="H11" s="150">
        <f>SUM(D11:G11)/'Data Entry'!B10</f>
        <v>0</v>
      </c>
      <c r="I11" s="150">
        <f>'Data Entry'!C10/'Data Entry'!B10</f>
        <v>0.90476190476190477</v>
      </c>
      <c r="K11" s="96" t="str">
        <f t="shared" si="0"/>
        <v>Detentions, total N=21</v>
      </c>
      <c r="L11">
        <f>I14/(SUM(B14:G14))</f>
        <v>3.8234885337039608</v>
      </c>
    </row>
    <row r="12" spans="1:12">
      <c r="A12" s="128" t="str">
        <f>CONCATENATE("Referrals, total N=", 'Data Entry'!B8)</f>
        <v>Referrals, total N=141</v>
      </c>
      <c r="B12" s="150">
        <f>'Data Entry'!D8/'Data Entry'!B8</f>
        <v>0.19148936170212766</v>
      </c>
      <c r="C12" s="150">
        <f>'Data Entry'!E8/'Data Entry'!B8</f>
        <v>7.0921985815602842E-2</v>
      </c>
      <c r="D12" s="150">
        <f>'Data Entry'!F8/'Data Entry'!B8</f>
        <v>0</v>
      </c>
      <c r="E12" s="150">
        <f>'Data Entry'!G8/'Data Entry'!B8</f>
        <v>0</v>
      </c>
      <c r="F12" s="150">
        <f>'Data Entry'!H8/'Data Entry'!B8</f>
        <v>0</v>
      </c>
      <c r="G12" s="150">
        <f>'Data Entry'!I8/'Data Entry'!B8</f>
        <v>7.0921985815602835E-3</v>
      </c>
      <c r="H12" s="150">
        <f>SUM(D12:G12)/'Data Entry'!B8</f>
        <v>5.0299280720285702E-5</v>
      </c>
      <c r="I12" s="150">
        <f>'Data Entry'!C8/'Data Entry'!B8</f>
        <v>0.73049645390070927</v>
      </c>
      <c r="K12" s="96" t="str">
        <f t="shared" si="0"/>
        <v>Referrals, total N=141</v>
      </c>
      <c r="L12">
        <f>I14/(SUM(B14:G14))</f>
        <v>3.8234885337039608</v>
      </c>
    </row>
    <row r="13" spans="1:12">
      <c r="A13" s="128" t="str">
        <f>CONCATENATE("Arrests, total N=", 'Data Entry'!B7)</f>
        <v>Arrests, total N=45</v>
      </c>
      <c r="B13" s="150">
        <f>'Data Entry'!D7/'Data Entry'!B7</f>
        <v>0.37777777777777777</v>
      </c>
      <c r="C13" s="150">
        <f>'Data Entry'!E7/'Data Entry'!B7</f>
        <v>6.6666666666666666E-2</v>
      </c>
      <c r="D13" s="150">
        <f>'Data Entry'!F7/'Data Entry'!B7</f>
        <v>0</v>
      </c>
      <c r="E13" s="150">
        <f>'Data Entry'!G7/'Data Entry'!B7</f>
        <v>0</v>
      </c>
      <c r="F13" s="150">
        <f>'Data Entry'!H7/'Data Entry'!B7</f>
        <v>0</v>
      </c>
      <c r="G13" s="150">
        <f>'Data Entry'!I7/'Data Entry'!B7</f>
        <v>0</v>
      </c>
      <c r="H13" s="150">
        <f>SUM(D13:G13)/'Data Entry'!B7</f>
        <v>0</v>
      </c>
      <c r="I13" s="150">
        <f>'Data Entry'!C7/'Data Entry'!B7</f>
        <v>0.55555555555555558</v>
      </c>
      <c r="K13" s="96" t="str">
        <f t="shared" si="0"/>
        <v>Arrests, total N=45</v>
      </c>
      <c r="L13">
        <f>I14/(SUM(B14:G14))</f>
        <v>3.8234885337039608</v>
      </c>
    </row>
    <row r="14" spans="1:12">
      <c r="A14" s="128" t="str">
        <f>CONCATENATE("Population, total N=", 'Data Entry'!B6)</f>
        <v>Population, total N=6941</v>
      </c>
      <c r="B14" s="150">
        <f>'Data Entry'!D6/'Data Entry'!B6</f>
        <v>5.0280939345915571E-2</v>
      </c>
      <c r="C14" s="150">
        <f>'Data Entry'!E6/'Data Entry'!B6</f>
        <v>0.1456562454977669</v>
      </c>
      <c r="D14" s="150">
        <f>'Data Entry'!F6/'Data Entry'!B6</f>
        <v>6.9154300533064402E-3</v>
      </c>
      <c r="E14" s="150">
        <f>'Data Entry'!G6/'Data Entry'!B6</f>
        <v>0</v>
      </c>
      <c r="F14" s="150">
        <f>'Data Entry'!H6/'Data Entry'!B6</f>
        <v>4.4662152427604089E-3</v>
      </c>
      <c r="G14" s="150">
        <f>'Data Entry'!I6/'Data Entry'!B6</f>
        <v>0</v>
      </c>
      <c r="H14" s="150">
        <f>SUM(D14:G14)/'Data Entry'!B6</f>
        <v>1.6397702486769701E-6</v>
      </c>
      <c r="I14" s="150">
        <f>'Data Entry'!C6/'Data Entry'!B6</f>
        <v>0.79268116986025072</v>
      </c>
      <c r="K14" s="96" t="str">
        <f t="shared" si="0"/>
        <v>Population, total N=6941</v>
      </c>
      <c r="L14">
        <f>I14/(SUM(B14:G14))</f>
        <v>3.8234885337039608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St. Joseph</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5502</v>
      </c>
      <c r="D7" s="104">
        <f>'Data Entry'!D6</f>
        <v>349</v>
      </c>
      <c r="E7" s="105"/>
      <c r="F7" s="106">
        <f>'Data Entry'!E6</f>
        <v>1011</v>
      </c>
      <c r="G7" s="105"/>
      <c r="H7" s="106">
        <f>'Data Entry'!F6</f>
        <v>48</v>
      </c>
      <c r="I7" s="105"/>
      <c r="J7" s="106">
        <f>'Data Entry'!J6</f>
        <v>1439</v>
      </c>
      <c r="K7" s="107"/>
    </row>
    <row r="8" spans="2:30" s="1" customFormat="1" ht="15" customHeight="1">
      <c r="B8" s="121" t="s">
        <v>8</v>
      </c>
      <c r="C8" s="103">
        <f>'Data Entry'!C7</f>
        <v>25</v>
      </c>
      <c r="D8" s="104">
        <f>'Data Entry'!D7</f>
        <v>17</v>
      </c>
      <c r="E8" s="105">
        <f>'Black or African-American'!$G7</f>
        <v>10.720229226361033</v>
      </c>
      <c r="F8" s="106">
        <f>'Data Entry'!E7</f>
        <v>3</v>
      </c>
      <c r="G8" s="105" t="str">
        <f>Hispanic!G7</f>
        <v>**</v>
      </c>
      <c r="H8" s="106">
        <f>'Data Entry'!F7</f>
        <v>0</v>
      </c>
      <c r="I8" s="105" t="str">
        <f>Asian!G7</f>
        <v>*</v>
      </c>
      <c r="J8" s="106">
        <f>'Data Entry'!J7</f>
        <v>20</v>
      </c>
      <c r="K8" s="107">
        <f>'All Minorities'!G7</f>
        <v>3.0587908269631687</v>
      </c>
      <c r="L8"/>
      <c r="N8" s="1">
        <f>'Black or African-American'!L7</f>
        <v>1</v>
      </c>
      <c r="O8" s="1">
        <f>Hispanic!L7</f>
        <v>40</v>
      </c>
      <c r="P8" s="1">
        <f>Asian!L7</f>
        <v>139</v>
      </c>
      <c r="Q8" s="1" t="e">
        <f>Hawaiian!L7</f>
        <v>#VALUE!</v>
      </c>
      <c r="R8" s="1">
        <f>'Am Indian'!L7</f>
        <v>139</v>
      </c>
      <c r="S8" s="1" t="e">
        <f>'Other - Mixed'!L7</f>
        <v>#VALUE!</v>
      </c>
      <c r="T8" s="1">
        <f>'All Minorities'!L7</f>
        <v>1</v>
      </c>
    </row>
    <row r="9" spans="2:30" s="1" customFormat="1" ht="15" customHeight="1">
      <c r="B9" s="121" t="s">
        <v>134</v>
      </c>
      <c r="C9" s="103">
        <f>'Data Entry'!C8</f>
        <v>103</v>
      </c>
      <c r="D9" s="108">
        <f>'Data Entry'!D8</f>
        <v>27</v>
      </c>
      <c r="E9" s="109" t="str">
        <f>'Black or African-American'!$G8</f>
        <v>**</v>
      </c>
      <c r="F9" s="110">
        <f>'Data Entry'!E8</f>
        <v>10</v>
      </c>
      <c r="G9" s="109" t="str">
        <f>Hispanic!G8</f>
        <v>**</v>
      </c>
      <c r="H9" s="110">
        <f>'Data Entry'!F8</f>
        <v>0</v>
      </c>
      <c r="I9" s="109" t="str">
        <f>Asian!G8</f>
        <v>*</v>
      </c>
      <c r="J9" s="110">
        <f>'Data Entry'!J8</f>
        <v>38</v>
      </c>
      <c r="K9" s="111" t="str">
        <f>'All Minorities'!G8</f>
        <v>**</v>
      </c>
      <c r="L9"/>
      <c r="N9" s="1">
        <f>'Black or African-American'!L8</f>
        <v>20</v>
      </c>
      <c r="O9" s="1">
        <f>Hispanic!L8</f>
        <v>40</v>
      </c>
      <c r="P9" s="1">
        <f>Asian!L8</f>
        <v>139</v>
      </c>
      <c r="Q9" s="1">
        <f>Hawaiian!L8</f>
        <v>139</v>
      </c>
      <c r="R9" s="1">
        <f>'Am Indian'!L8</f>
        <v>139</v>
      </c>
      <c r="S9" s="1">
        <f>'Other - Mixed'!L8</f>
        <v>139</v>
      </c>
      <c r="T9" s="1">
        <f>'All Minorities'!L8</f>
        <v>20</v>
      </c>
    </row>
    <row r="10" spans="2:30" s="1" customFormat="1" ht="15" customHeight="1">
      <c r="B10" s="121" t="s">
        <v>10</v>
      </c>
      <c r="C10" s="103">
        <f>'Data Entry'!C9</f>
        <v>17</v>
      </c>
      <c r="D10" s="112">
        <f>'Data Entry'!D9</f>
        <v>0</v>
      </c>
      <c r="E10" s="113" t="str">
        <f>'Black or African-American'!$G9</f>
        <v>**</v>
      </c>
      <c r="F10" s="114">
        <f>'Data Entry'!E9</f>
        <v>1</v>
      </c>
      <c r="G10" s="113" t="str">
        <f>Hispanic!G9</f>
        <v>**</v>
      </c>
      <c r="H10" s="114">
        <f>'Data Entry'!F9</f>
        <v>0</v>
      </c>
      <c r="I10" s="113" t="str">
        <f>Asian!G9</f>
        <v>*</v>
      </c>
      <c r="J10" s="114">
        <f>'Data Entry'!J9</f>
        <v>1</v>
      </c>
      <c r="K10" s="115" t="str">
        <f>'All Minorities'!G9</f>
        <v>**</v>
      </c>
      <c r="L10"/>
      <c r="N10" s="1">
        <f>'Black or African-American'!L9</f>
        <v>20</v>
      </c>
      <c r="O10" s="1">
        <f>Hispanic!L9</f>
        <v>40</v>
      </c>
      <c r="P10" s="1" t="e">
        <f>Asian!L9</f>
        <v>#VALUE!</v>
      </c>
      <c r="Q10" s="1" t="e">
        <f>Hawaiian!L9</f>
        <v>#VALUE!</v>
      </c>
      <c r="R10" s="1" t="e">
        <f>'Am Indian'!L9</f>
        <v>#VALUE!</v>
      </c>
      <c r="S10" s="1">
        <f>'Other - Mixed'!L9</f>
        <v>139</v>
      </c>
      <c r="T10" s="1">
        <f>'All Minorities'!L9</f>
        <v>20</v>
      </c>
    </row>
    <row r="11" spans="2:30" s="1" customFormat="1" ht="15" customHeight="1">
      <c r="B11" s="121" t="s">
        <v>11</v>
      </c>
      <c r="C11" s="103">
        <f>'Data Entry'!C10</f>
        <v>19</v>
      </c>
      <c r="D11" s="108">
        <f>'Data Entry'!D10</f>
        <v>0</v>
      </c>
      <c r="E11" s="109" t="str">
        <f>'Black or African-American'!$G10</f>
        <v>**</v>
      </c>
      <c r="F11" s="110">
        <f>'Data Entry'!E10</f>
        <v>2</v>
      </c>
      <c r="G11" s="109" t="str">
        <f>Hispanic!G10</f>
        <v>**</v>
      </c>
      <c r="H11" s="110">
        <f>'Data Entry'!F10</f>
        <v>0</v>
      </c>
      <c r="I11" s="109" t="str">
        <f>Asian!G10</f>
        <v>*</v>
      </c>
      <c r="J11" s="110">
        <f>'Data Entry'!J10</f>
        <v>2</v>
      </c>
      <c r="K11" s="111" t="str">
        <f>'All Minorities'!G10</f>
        <v>**</v>
      </c>
      <c r="L11"/>
      <c r="N11" s="1">
        <f>'Black or African-American'!L10</f>
        <v>20</v>
      </c>
      <c r="O11" s="1">
        <f>Hispanic!L10</f>
        <v>40</v>
      </c>
      <c r="P11" s="1" t="e">
        <f>Asian!L10</f>
        <v>#VALUE!</v>
      </c>
      <c r="Q11" s="1" t="e">
        <f>Hawaiian!L10</f>
        <v>#VALUE!</v>
      </c>
      <c r="R11" s="1" t="e">
        <f>'Am Indian'!L10</f>
        <v>#VALUE!</v>
      </c>
      <c r="S11" s="1">
        <f>'Other - Mixed'!L10</f>
        <v>139</v>
      </c>
      <c r="T11" s="1">
        <f>'All Minorities'!L10</f>
        <v>40</v>
      </c>
    </row>
    <row r="12" spans="2:30" s="1" customFormat="1" ht="15" customHeight="1">
      <c r="B12" s="121" t="s">
        <v>95</v>
      </c>
      <c r="C12" s="103">
        <f>'Data Entry'!C11</f>
        <v>39</v>
      </c>
      <c r="D12" s="112">
        <f>'Data Entry'!D11</f>
        <v>6</v>
      </c>
      <c r="E12" s="113" t="str">
        <f>'Black or African-American'!$G11</f>
        <v>**</v>
      </c>
      <c r="F12" s="114">
        <f>'Data Entry'!E11</f>
        <v>4</v>
      </c>
      <c r="G12" s="113" t="str">
        <f>Hispanic!G11</f>
        <v>**</v>
      </c>
      <c r="H12" s="114">
        <f>'Data Entry'!F11</f>
        <v>0</v>
      </c>
      <c r="I12" s="113" t="str">
        <f>Asian!G11</f>
        <v>*</v>
      </c>
      <c r="J12" s="114">
        <f>'Data Entry'!J11</f>
        <v>10</v>
      </c>
      <c r="K12" s="115">
        <f>'All Minorities'!G11</f>
        <v>0.69500674763832659</v>
      </c>
      <c r="L12"/>
      <c r="N12" s="1">
        <f>'Black or African-American'!L11</f>
        <v>40</v>
      </c>
      <c r="O12" s="1">
        <f>Hispanic!L11</f>
        <v>40</v>
      </c>
      <c r="P12" s="1" t="e">
        <f>Asian!L11</f>
        <v>#VALUE!</v>
      </c>
      <c r="Q12" s="1" t="e">
        <f>Hawaiian!L11</f>
        <v>#VALUE!</v>
      </c>
      <c r="R12" s="1" t="e">
        <f>'Am Indian'!L11</f>
        <v>#VALUE!</v>
      </c>
      <c r="S12" s="1">
        <f>'Other - Mixed'!L11</f>
        <v>139</v>
      </c>
      <c r="T12" s="1">
        <f>'All Minorities'!L11</f>
        <v>2</v>
      </c>
    </row>
    <row r="13" spans="2:30" s="1" customFormat="1" ht="15" customHeight="1">
      <c r="B13" s="121" t="s">
        <v>13</v>
      </c>
      <c r="C13" s="103">
        <f>'Data Entry'!C12</f>
        <v>26</v>
      </c>
      <c r="D13" s="108">
        <f>'Data Entry'!D12</f>
        <v>0</v>
      </c>
      <c r="E13" s="109" t="str">
        <f>'Black or African-American'!$G12</f>
        <v>**</v>
      </c>
      <c r="F13" s="110">
        <f>'Data Entry'!E12</f>
        <v>3</v>
      </c>
      <c r="G13" s="109" t="str">
        <f>Hispanic!G12</f>
        <v>**</v>
      </c>
      <c r="H13" s="110">
        <f>'Data Entry'!F12</f>
        <v>0</v>
      </c>
      <c r="I13" s="109" t="str">
        <f>Asian!G12</f>
        <v>*</v>
      </c>
      <c r="J13" s="110">
        <f>'Data Entry'!J12</f>
        <v>3</v>
      </c>
      <c r="K13" s="111" t="str">
        <f>'All Minorities'!G12</f>
        <v>**</v>
      </c>
      <c r="L13"/>
      <c r="N13" s="1">
        <f>'Black or African-American'!L12</f>
        <v>20</v>
      </c>
      <c r="O13" s="1">
        <f>Hispanic!L12</f>
        <v>40</v>
      </c>
      <c r="P13" s="1" t="e">
        <f>Asian!L12</f>
        <v>#VALUE!</v>
      </c>
      <c r="Q13" s="1" t="e">
        <f>Hawaiian!L12</f>
        <v>#VALUE!</v>
      </c>
      <c r="R13" s="1" t="e">
        <f>'Am Indian'!L12</f>
        <v>#VALUE!</v>
      </c>
      <c r="S13" s="1" t="e">
        <f>'Other - Mixed'!L12</f>
        <v>#VALUE!</v>
      </c>
      <c r="T13" s="1">
        <f>'All Minorities'!L12</f>
        <v>20</v>
      </c>
      <c r="W13" s="8"/>
      <c r="X13" s="8"/>
      <c r="Y13" s="8"/>
      <c r="Z13" s="8"/>
      <c r="AA13" s="8"/>
      <c r="AB13" s="8"/>
      <c r="AC13" s="8"/>
      <c r="AD13" s="8"/>
    </row>
    <row r="14" spans="2:30" s="1" customFormat="1" ht="15" customHeight="1">
      <c r="B14" s="121" t="s">
        <v>14</v>
      </c>
      <c r="C14" s="103">
        <f>'Data Entry'!C13</f>
        <v>5</v>
      </c>
      <c r="D14" s="112">
        <f>'Data Entry'!D13</f>
        <v>0</v>
      </c>
      <c r="E14" s="113" t="str">
        <f>'Black or African-American'!$G13</f>
        <v>--</v>
      </c>
      <c r="F14" s="114">
        <f>'Data Entry'!E13</f>
        <v>2</v>
      </c>
      <c r="G14" s="113" t="str">
        <f>Hispanic!G13</f>
        <v>**</v>
      </c>
      <c r="H14" s="114">
        <f>'Data Entry'!F13</f>
        <v>0</v>
      </c>
      <c r="I14" s="113" t="str">
        <f>Asian!G13</f>
        <v>*</v>
      </c>
      <c r="J14" s="114">
        <f>'Data Entry'!J13</f>
        <v>2</v>
      </c>
      <c r="K14" s="115" t="str">
        <f>'All Minorities'!G13</f>
        <v>**</v>
      </c>
      <c r="L14"/>
      <c r="N14" s="1" t="e">
        <f>'Black or African-American'!L13</f>
        <v>#VALUE!</v>
      </c>
      <c r="O14" s="1">
        <f>Hispanic!L13</f>
        <v>40</v>
      </c>
      <c r="P14" s="1" t="e">
        <f>Asian!L13</f>
        <v>#VALUE!</v>
      </c>
      <c r="Q14" s="1" t="e">
        <f>Hawaiian!L13</f>
        <v>#VALUE!</v>
      </c>
      <c r="R14" s="1" t="e">
        <f>'Am Indian'!L13</f>
        <v>#VALUE!</v>
      </c>
      <c r="S14" s="1" t="e">
        <f>'Other - Mixed'!L13</f>
        <v>#VALUE!</v>
      </c>
      <c r="T14" s="1">
        <f>'All Minorities'!L13</f>
        <v>40</v>
      </c>
      <c r="W14" s="8"/>
      <c r="X14" s="8"/>
      <c r="Y14" s="8"/>
      <c r="Z14" s="8"/>
      <c r="AA14" s="8"/>
      <c r="AB14" s="8"/>
      <c r="AC14" s="8"/>
      <c r="AD14" s="8"/>
    </row>
    <row r="15" spans="2:30" s="1" customFormat="1" ht="33">
      <c r="B15" s="126" t="s">
        <v>123</v>
      </c>
      <c r="C15" s="103">
        <f>'Data Entry'!C14</f>
        <v>24</v>
      </c>
      <c r="D15" s="108">
        <f>'Data Entry'!D14</f>
        <v>1</v>
      </c>
      <c r="E15" s="109" t="str">
        <f>'Black or African-American'!$G14</f>
        <v>--</v>
      </c>
      <c r="F15" s="110">
        <f>'Data Entry'!E14</f>
        <v>1</v>
      </c>
      <c r="G15" s="109" t="str">
        <f>Hispanic!G14</f>
        <v>**</v>
      </c>
      <c r="H15" s="110">
        <f>'Data Entry'!F14</f>
        <v>0</v>
      </c>
      <c r="I15" s="109" t="str">
        <f>Asian!G14</f>
        <v>*</v>
      </c>
      <c r="J15" s="110">
        <f>'Data Entry'!J14</f>
        <v>2</v>
      </c>
      <c r="K15" s="111" t="str">
        <f>'All Minorities'!G14</f>
        <v>**</v>
      </c>
      <c r="L15"/>
      <c r="N15" s="1" t="e">
        <f>'Black or African-American'!L14</f>
        <v>#DIV/0!</v>
      </c>
      <c r="O15" s="1">
        <f>Hispanic!L14</f>
        <v>20</v>
      </c>
      <c r="P15" s="1" t="e">
        <f>Asian!L14</f>
        <v>#VALUE!</v>
      </c>
      <c r="Q15" s="1" t="e">
        <f>Hawaiian!L14</f>
        <v>#VALUE!</v>
      </c>
      <c r="R15" s="1" t="e">
        <f>'Am Indian'!L14</f>
        <v>#VALUE!</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St. Joseph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5502</v>
      </c>
      <c r="D6" s="34"/>
      <c r="E6" s="33">
        <f>'Data Entry'!D6</f>
        <v>349</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4.543802253725918</v>
      </c>
      <c r="E7" s="33">
        <f>'Data Entry'!D7</f>
        <v>17</v>
      </c>
      <c r="F7" s="34">
        <f>IF((AND($E$7&gt;0,$D$66&gt;0)),($E$7/$D$66),0)</f>
        <v>48.710601719197712</v>
      </c>
      <c r="G7" s="39">
        <f>IF(L$6=100,"*",IF(M7=FALSE,"--",IF(K7=20,"**",($F7/$D7))))</f>
        <v>10.720229226361033</v>
      </c>
      <c r="H7" s="40"/>
      <c r="I7" s="41"/>
      <c r="J7" s="40">
        <f>IF((ABS($U7)&gt;Defaults!D$7),1,2)</f>
        <v>1</v>
      </c>
      <c r="K7" s="39">
        <f>IF((AND(N7&gt;Defaults!B$12,(N7+O7)&gt;Defaults!B$13, P7 &gt; Defaults!B$12, (P7+Q7) &gt; Defaults!B$13)),1,20)</f>
        <v>1</v>
      </c>
      <c r="L7" s="1">
        <f>(J7*K7+L$6)-1</f>
        <v>1</v>
      </c>
      <c r="M7" s="1" t="b">
        <f t="shared" ref="M7:M15" si="0">(ISNUMBER(J7))</f>
        <v>1</v>
      </c>
      <c r="N7" s="42">
        <f t="shared" ref="N7:N15" si="1">E7</f>
        <v>17</v>
      </c>
      <c r="O7" s="42">
        <f>E6-E7</f>
        <v>332</v>
      </c>
      <c r="P7" s="42">
        <f t="shared" ref="P7:P15" si="2">C7</f>
        <v>25</v>
      </c>
      <c r="Q7" s="42">
        <f>C6-C7</f>
        <v>5477</v>
      </c>
      <c r="R7" s="42">
        <f t="shared" ref="R7:R15" si="3">SUM(N7:Q7)</f>
        <v>5851</v>
      </c>
      <c r="S7" s="30">
        <f t="shared" ref="S7:S15" si="4">R7*((((N7*Q7)-(O7*P7))^2))</f>
        <v>42083706480331</v>
      </c>
      <c r="T7" s="30">
        <f t="shared" ref="T7:T15" si="5">(N7+O7)*(P7+Q7)*(N7+P7)*(O7+Q7)</f>
        <v>468486067644</v>
      </c>
      <c r="U7" s="31">
        <f t="shared" ref="U7:U15" si="6">IF((S7&gt;0),S7/T7,"- -")</f>
        <v>89.829152640479762</v>
      </c>
    </row>
    <row r="8" spans="2:21" ht="18" customHeight="1">
      <c r="B8" s="32" t="str">
        <f>'Data Entry'!A8</f>
        <v>3. Refer to Juvenile Court</v>
      </c>
      <c r="C8" s="33">
        <f>'Data Entry'!C8</f>
        <v>103</v>
      </c>
      <c r="D8" s="34">
        <f>IF((AND(C67&gt;0,C8&gt;0)),(C8/C67),0)</f>
        <v>412</v>
      </c>
      <c r="E8" s="33">
        <f>'Data Entry'!D8</f>
        <v>27</v>
      </c>
      <c r="F8" s="34">
        <f>IF((AND($E$8&gt;0,$D$67&gt;0)),($E8/$D67),0)</f>
        <v>158.8235294117647</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27</v>
      </c>
      <c r="O8" s="42">
        <f>((D67*L67)-E8)+0.05</f>
        <v>-9.9499999999999993</v>
      </c>
      <c r="P8" s="42">
        <f t="shared" si="2"/>
        <v>103</v>
      </c>
      <c r="Q8" s="42">
        <f>(C$67*L67)-C8</f>
        <v>-78</v>
      </c>
      <c r="R8" s="42">
        <f t="shared" si="3"/>
        <v>42.05</v>
      </c>
      <c r="S8" s="30">
        <f t="shared" si="4"/>
        <v>49151627.81112501</v>
      </c>
      <c r="T8" s="30">
        <f t="shared" si="5"/>
        <v>-4873529.375</v>
      </c>
      <c r="U8" s="31">
        <f t="shared" si="6"/>
        <v>-10.085427629360501</v>
      </c>
    </row>
    <row r="9" spans="2:21" ht="18" customHeight="1">
      <c r="B9" s="32" t="str">
        <f>'Data Entry'!A9</f>
        <v xml:space="preserve">4. Cases Diverted </v>
      </c>
      <c r="C9" s="33">
        <f>'Data Entry'!C9</f>
        <v>17</v>
      </c>
      <c r="D9" s="34">
        <f>IF((AND(C68&gt;0,C9&gt;0)),((C9/C68)),0)</f>
        <v>16.504854368932037</v>
      </c>
      <c r="E9" s="33">
        <f>'Data Entry'!D9</f>
        <v>0</v>
      </c>
      <c r="F9" s="34">
        <f>IF((AND($E$9&gt;0,$D$68&gt;0)),(($E$9/$D$68)),0)</f>
        <v>0</v>
      </c>
      <c r="G9" s="39" t="str">
        <f t="shared" si="7"/>
        <v>**</v>
      </c>
      <c r="H9" s="40"/>
      <c r="I9" s="41"/>
      <c r="J9" s="40">
        <f>IF((ABS($U9)&gt;Defaults!D$7),1,2)</f>
        <v>1</v>
      </c>
      <c r="K9" s="39">
        <f>IF((AND(N9&gt;Defaults!B$12,(N9+O9)&gt;Defaults!B$13, P9 &gt; Defaults!B$12, (P9+Q9) &gt; Defaults!B$13)),1,20)</f>
        <v>20</v>
      </c>
      <c r="L9" s="1">
        <f t="shared" si="8"/>
        <v>20</v>
      </c>
      <c r="M9" s="1" t="b">
        <f t="shared" si="0"/>
        <v>1</v>
      </c>
      <c r="N9" s="42">
        <f t="shared" si="1"/>
        <v>0</v>
      </c>
      <c r="O9" s="42">
        <f>(D$68*L68)-E9</f>
        <v>27</v>
      </c>
      <c r="P9" s="42">
        <f t="shared" si="2"/>
        <v>17</v>
      </c>
      <c r="Q9" s="42">
        <f>(C$68*L68)-C9</f>
        <v>86</v>
      </c>
      <c r="R9" s="42">
        <f t="shared" si="3"/>
        <v>130</v>
      </c>
      <c r="S9" s="30">
        <f t="shared" si="4"/>
        <v>27388530</v>
      </c>
      <c r="T9" s="30">
        <f t="shared" si="5"/>
        <v>5342301</v>
      </c>
      <c r="U9" s="31">
        <f t="shared" si="6"/>
        <v>5.1267291004381823</v>
      </c>
    </row>
    <row r="10" spans="2:21" ht="18" customHeight="1">
      <c r="B10" s="32" t="str">
        <f>'Data Entry'!A10</f>
        <v>5. Cases Involving Secure Detention</v>
      </c>
      <c r="C10" s="33">
        <f>'Data Entry'!C10</f>
        <v>19</v>
      </c>
      <c r="D10" s="34">
        <f>IF(((AND(C68&gt;0,C10&gt;0))),(C10/(C68)),0)</f>
        <v>18.446601941747574</v>
      </c>
      <c r="E10" s="33">
        <f>'Data Entry'!D10</f>
        <v>0</v>
      </c>
      <c r="F10" s="34">
        <f>IF(((AND($E$10&gt;0,$D$68&gt;0))),($E$10/($D$68)),0)</f>
        <v>0</v>
      </c>
      <c r="G10" s="39" t="str">
        <f t="shared" si="7"/>
        <v>**</v>
      </c>
      <c r="H10" s="40"/>
      <c r="I10" s="41"/>
      <c r="J10" s="40">
        <f>IF((ABS($U10)&gt;Defaults!D$7),1,2)</f>
        <v>1</v>
      </c>
      <c r="K10" s="39">
        <f>IF((AND(N10&gt;Defaults!B$12,(N10+O10)&gt;Defaults!B$13, P10 &gt; Defaults!B$12, (P10+Q10) &gt; Defaults!B$13)),1,20)</f>
        <v>20</v>
      </c>
      <c r="L10" s="1">
        <f t="shared" si="8"/>
        <v>20</v>
      </c>
      <c r="M10" s="1" t="b">
        <f t="shared" si="0"/>
        <v>1</v>
      </c>
      <c r="N10" s="42">
        <f t="shared" si="1"/>
        <v>0</v>
      </c>
      <c r="O10" s="42">
        <f>(D$68*L68)-E10</f>
        <v>27</v>
      </c>
      <c r="P10" s="42">
        <f t="shared" si="2"/>
        <v>19</v>
      </c>
      <c r="Q10" s="42">
        <f>(C$68*L68)-C10</f>
        <v>84</v>
      </c>
      <c r="R10" s="42">
        <f t="shared" si="3"/>
        <v>130</v>
      </c>
      <c r="S10" s="30">
        <f t="shared" si="4"/>
        <v>34211970</v>
      </c>
      <c r="T10" s="30">
        <f t="shared" si="5"/>
        <v>5865129</v>
      </c>
      <c r="U10" s="31">
        <f t="shared" si="6"/>
        <v>5.8331146680661243</v>
      </c>
    </row>
    <row r="11" spans="2:21" ht="18" customHeight="1">
      <c r="B11" s="32" t="str">
        <f>'Data Entry'!A11</f>
        <v>6. Cases Petitioned (Charge Filed)</v>
      </c>
      <c r="C11" s="33">
        <f>'Data Entry'!C11</f>
        <v>39</v>
      </c>
      <c r="D11" s="34">
        <f>IF(((AND(C68&gt;0,C11&gt;0))),(C11/(C68)),0)</f>
        <v>37.864077669902912</v>
      </c>
      <c r="E11" s="33">
        <f>'Data Entry'!D11</f>
        <v>6</v>
      </c>
      <c r="F11" s="34">
        <f>IF(((AND($E$11&gt;0,$D$68&gt;0))),($E$11/($D$68)),0)</f>
        <v>22.222222222222221</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6</v>
      </c>
      <c r="O11" s="42">
        <f>(D$68*L68)-E11</f>
        <v>21</v>
      </c>
      <c r="P11" s="42">
        <f t="shared" si="2"/>
        <v>39</v>
      </c>
      <c r="Q11" s="42">
        <f>(C$68*L68)-C11</f>
        <v>64</v>
      </c>
      <c r="R11" s="42">
        <f t="shared" si="3"/>
        <v>130</v>
      </c>
      <c r="S11" s="30">
        <f t="shared" si="4"/>
        <v>24599250</v>
      </c>
      <c r="T11" s="30">
        <f t="shared" si="5"/>
        <v>10637325</v>
      </c>
      <c r="U11" s="31">
        <f t="shared" si="6"/>
        <v>2.3125409818727922</v>
      </c>
    </row>
    <row r="12" spans="2:21" ht="18" customHeight="1">
      <c r="B12" s="32" t="str">
        <f>'Data Entry'!A12</f>
        <v>7. Cases Resulting in Delinquent Findings</v>
      </c>
      <c r="C12" s="33">
        <f>'Data Entry'!C12</f>
        <v>26</v>
      </c>
      <c r="D12" s="34">
        <f>IF(((AND(C69&gt;0,C12&gt;0))),(C12/(C69)),0)</f>
        <v>66.666666666666671</v>
      </c>
      <c r="E12" s="33">
        <f>'Data Entry'!D12</f>
        <v>0</v>
      </c>
      <c r="F12" s="34">
        <f>IF(((AND($D$69&gt;0,$E$12&gt;0))),(E12/(D69)),0)</f>
        <v>0</v>
      </c>
      <c r="G12" s="39" t="str">
        <f t="shared" si="7"/>
        <v>**</v>
      </c>
      <c r="H12" s="40"/>
      <c r="I12" s="41"/>
      <c r="J12" s="40">
        <f>IF((ABS($U12)&gt;Defaults!D$7),1,2)</f>
        <v>1</v>
      </c>
      <c r="K12" s="39">
        <f>IF((AND(N12&gt;Defaults!B$12,(N12+O12)&gt;Defaults!B$13, P12 &gt; Defaults!B$12, (P12+Q12) &gt; Defaults!B$13)),1,20)</f>
        <v>20</v>
      </c>
      <c r="L12" s="1">
        <f t="shared" si="8"/>
        <v>20</v>
      </c>
      <c r="M12" s="1" t="b">
        <f t="shared" si="0"/>
        <v>1</v>
      </c>
      <c r="N12" s="42">
        <f t="shared" si="1"/>
        <v>0</v>
      </c>
      <c r="O12" s="42">
        <f>(D69*L69)-E12</f>
        <v>6</v>
      </c>
      <c r="P12" s="42">
        <f t="shared" si="2"/>
        <v>26</v>
      </c>
      <c r="Q12" s="42">
        <f>(C69*L69)-C12</f>
        <v>13</v>
      </c>
      <c r="R12" s="42">
        <f t="shared" si="3"/>
        <v>45</v>
      </c>
      <c r="S12" s="30">
        <f t="shared" si="4"/>
        <v>1095120</v>
      </c>
      <c r="T12" s="30">
        <f t="shared" si="5"/>
        <v>115596</v>
      </c>
      <c r="U12" s="31">
        <f t="shared" si="6"/>
        <v>9.473684210526315</v>
      </c>
    </row>
    <row r="13" spans="2:21" ht="18" customHeight="1">
      <c r="B13" s="32" t="str">
        <f>'Data Entry'!A13</f>
        <v>8. Cases Resulting in Probation Placement</v>
      </c>
      <c r="C13" s="33">
        <f>'Data Entry'!C13</f>
        <v>5</v>
      </c>
      <c r="D13" s="34">
        <f>IF(((AND(C70&gt;0,C13&gt;0))),(C13/(C70)),0)</f>
        <v>19.23076923076923</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5</v>
      </c>
      <c r="Q13" s="42">
        <f>(C70*L70)-C13</f>
        <v>21</v>
      </c>
      <c r="R13" s="42">
        <f t="shared" si="3"/>
        <v>26</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24</v>
      </c>
      <c r="D14" s="34">
        <f>IF(((AND(C70&gt;0,C14&gt;0))), ((C14/(C70))),0)</f>
        <v>92.307692307692307</v>
      </c>
      <c r="E14" s="33">
        <f>'Data Entry'!D14</f>
        <v>1</v>
      </c>
      <c r="F14" s="34">
        <f>IF(((AND($D$70&gt;0,$E$14&gt;0))), (($E$14/($D$70))),0)</f>
        <v>0</v>
      </c>
      <c r="G14" s="39" t="str">
        <f t="shared" si="7"/>
        <v>--</v>
      </c>
      <c r="H14" s="40"/>
      <c r="I14" s="41"/>
      <c r="J14" s="40" t="e">
        <f>IF((ABS($U14)&gt;Defaults!D$7),1,2)</f>
        <v>#DIV/0!</v>
      </c>
      <c r="K14" s="39">
        <f>IF((AND(N14&gt;Defaults!B$12,(N14+O14)&gt;Defaults!B$13, P14 &gt; Defaults!B$12, (P14+Q14) &gt; Defaults!B$13)),1,20)</f>
        <v>20</v>
      </c>
      <c r="L14" s="1" t="e">
        <f t="shared" si="8"/>
        <v>#DIV/0!</v>
      </c>
      <c r="M14" s="1" t="b">
        <f t="shared" si="0"/>
        <v>0</v>
      </c>
      <c r="N14" s="42">
        <f t="shared" si="1"/>
        <v>1</v>
      </c>
      <c r="O14" s="42">
        <f>(D70*L70)-E14</f>
        <v>-1</v>
      </c>
      <c r="P14" s="42">
        <f t="shared" si="2"/>
        <v>24</v>
      </c>
      <c r="Q14" s="42">
        <f>(C70*L70)-C14</f>
        <v>2</v>
      </c>
      <c r="R14" s="42">
        <f t="shared" si="3"/>
        <v>26</v>
      </c>
      <c r="S14" s="30">
        <f t="shared" si="4"/>
        <v>17576</v>
      </c>
      <c r="T14" s="30">
        <f t="shared" si="5"/>
        <v>0</v>
      </c>
      <c r="U14" s="31" t="e">
        <f t="shared" si="6"/>
        <v>#DIV/0!</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6</v>
      </c>
      <c r="P15" s="42">
        <f t="shared" si="2"/>
        <v>0</v>
      </c>
      <c r="Q15" s="42">
        <f>(C69*L69)-C15</f>
        <v>39</v>
      </c>
      <c r="R15" s="42">
        <f t="shared" si="3"/>
        <v>45</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5.5019999999999998</v>
      </c>
      <c r="D42" s="56">
        <f>E6/1000</f>
        <v>0.34899999999999998</v>
      </c>
      <c r="E42" s="56">
        <f>MAX(C42:D42)</f>
        <v>5.5019999999999998</v>
      </c>
      <c r="G42" s="1" t="str">
        <f>B42</f>
        <v>per 1000 youth</v>
      </c>
      <c r="L42" s="57">
        <v>1000</v>
      </c>
      <c r="M42" s="57"/>
      <c r="R42" s="49"/>
    </row>
    <row r="43" spans="2:18" ht="15" hidden="1" customHeight="1">
      <c r="B43" s="49" t="s">
        <v>87</v>
      </c>
      <c r="C43" s="56">
        <f>C7/100</f>
        <v>0.25</v>
      </c>
      <c r="D43" s="56">
        <f>E7/100</f>
        <v>0.17</v>
      </c>
      <c r="E43" s="56">
        <f>MAX(C43:D43,0)</f>
        <v>0.25</v>
      </c>
      <c r="G43" s="1" t="str">
        <f>B43</f>
        <v>per 100 arrests</v>
      </c>
      <c r="L43" s="57">
        <v>100</v>
      </c>
      <c r="M43" s="57"/>
      <c r="R43" s="49"/>
    </row>
    <row r="44" spans="2:18" ht="15" hidden="1" customHeight="1">
      <c r="B44" s="49" t="s">
        <v>88</v>
      </c>
      <c r="C44" s="56">
        <f>C8/100</f>
        <v>1.03</v>
      </c>
      <c r="D44" s="56">
        <f>E8/100</f>
        <v>0.27</v>
      </c>
      <c r="E44" s="56">
        <f>MAX(C44:D44,0)</f>
        <v>1.03</v>
      </c>
      <c r="G44" s="1" t="str">
        <f>B44</f>
        <v>per 100 referrals</v>
      </c>
      <c r="L44" s="57">
        <v>100</v>
      </c>
      <c r="M44" s="57"/>
      <c r="R44" s="49"/>
    </row>
    <row r="45" spans="2:18" ht="15" hidden="1" customHeight="1">
      <c r="B45" s="49" t="s">
        <v>89</v>
      </c>
      <c r="C45" s="49">
        <f>C11/100</f>
        <v>0.39</v>
      </c>
      <c r="D45" s="49">
        <f>E11/100</f>
        <v>0.06</v>
      </c>
      <c r="E45" s="56">
        <f>MAX(C45:D45,0)</f>
        <v>0.39</v>
      </c>
      <c r="G45" s="1" t="str">
        <f>B45</f>
        <v>per 100 youth petitioned</v>
      </c>
      <c r="L45" s="57">
        <v>100</v>
      </c>
      <c r="M45" s="57"/>
      <c r="R45" s="49"/>
    </row>
    <row r="46" spans="2:18" ht="15" hidden="1" customHeight="1">
      <c r="B46" s="49" t="s">
        <v>90</v>
      </c>
      <c r="C46" s="49">
        <f>C12/100</f>
        <v>0.26</v>
      </c>
      <c r="D46" s="49">
        <f>E12/100</f>
        <v>0</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5.5019999999999998</v>
      </c>
      <c r="D48" s="56">
        <f>D42</f>
        <v>0.34899999999999998</v>
      </c>
      <c r="E48" s="56">
        <f>MAX(C48:D48)</f>
        <v>5.5019999999999998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0.25</v>
      </c>
      <c r="D49" s="49">
        <f t="shared" si="9"/>
        <v>0.17</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1.03</v>
      </c>
      <c r="D50" s="49">
        <f t="shared" si="9"/>
        <v>0.27</v>
      </c>
      <c r="E50" s="49">
        <f>MAX(C50:D50)</f>
        <v>1.03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0.39</v>
      </c>
      <c r="D51" s="49">
        <f>IF(($E45&gt;0),D45,D44)</f>
        <v>0.06</v>
      </c>
      <c r="E51" s="49">
        <f>MAX(C51:D51)</f>
        <v>0.39</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5.5019999999999998</v>
      </c>
      <c r="D54" s="56">
        <f>D48</f>
        <v>0.34899999999999998</v>
      </c>
      <c r="E54" s="56">
        <f>MAX(C54:D54)</f>
        <v>5.5019999999999998</v>
      </c>
      <c r="G54" s="1" t="str">
        <f>G48</f>
        <v>per 1000 youth</v>
      </c>
      <c r="L54" s="58">
        <f>L48</f>
        <v>1000</v>
      </c>
      <c r="M54" s="58"/>
    </row>
    <row r="55" spans="2:18" ht="15" hidden="1" customHeight="1">
      <c r="B55" s="49" t="str">
        <f t="shared" ref="B55:D56" si="10">IF(($E49&gt;0),B49,B48)</f>
        <v>per 100 arrests</v>
      </c>
      <c r="C55" s="49">
        <f t="shared" si="10"/>
        <v>0.25</v>
      </c>
      <c r="D55" s="49">
        <f t="shared" si="10"/>
        <v>0.17</v>
      </c>
      <c r="E55" s="49">
        <f>MAX(C55:D55)</f>
        <v>0.25</v>
      </c>
      <c r="G55" s="1" t="str">
        <f>G49</f>
        <v>per 100 arrests</v>
      </c>
      <c r="L55" s="58">
        <f>IF(($E49&gt;0),L49,L48)</f>
        <v>100</v>
      </c>
      <c r="M55" s="58"/>
    </row>
    <row r="56" spans="2:18" ht="15" hidden="1" customHeight="1">
      <c r="B56" s="49" t="str">
        <f t="shared" si="10"/>
        <v>per 100 referrals</v>
      </c>
      <c r="C56" s="49">
        <f t="shared" si="10"/>
        <v>1.03</v>
      </c>
      <c r="D56" s="49">
        <f t="shared" si="10"/>
        <v>0.27</v>
      </c>
      <c r="E56" s="49">
        <f>MAX(C56:D56)</f>
        <v>1.03</v>
      </c>
      <c r="G56" s="1" t="str">
        <f>G50</f>
        <v>per 100 referrals</v>
      </c>
      <c r="L56" s="58">
        <f>IF(($E50&gt;0),L50,L49)</f>
        <v>100</v>
      </c>
      <c r="M56" s="58"/>
    </row>
    <row r="57" spans="2:18" ht="15" hidden="1" customHeight="1">
      <c r="B57" s="49" t="str">
        <f>IF(($E51&gt;0),B51,B49)</f>
        <v>per 100 youth petitioned</v>
      </c>
      <c r="C57" s="49">
        <f>IF(($E51&gt;0),C51,C50)</f>
        <v>0.39</v>
      </c>
      <c r="D57" s="49">
        <f>IF(($E51&gt;0),D51,D50)</f>
        <v>0.06</v>
      </c>
      <c r="E57" s="49">
        <f>MAX(C57:D57)</f>
        <v>0.39</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5.5019999999999998</v>
      </c>
      <c r="D60" s="56">
        <f>D54</f>
        <v>0.34899999999999998</v>
      </c>
      <c r="E60" s="56">
        <f>MAX(C60:D60)</f>
        <v>5.5019999999999998</v>
      </c>
      <c r="G60" s="1" t="str">
        <f>G54</f>
        <v>per 1000 youth</v>
      </c>
      <c r="L60" s="58">
        <f>L54</f>
        <v>1000</v>
      </c>
      <c r="M60" s="58"/>
    </row>
    <row r="61" spans="2:18" ht="15" hidden="1" customHeight="1">
      <c r="B61" s="49" t="str">
        <f t="shared" ref="B61:D62" si="11">IF(($E55&gt;0),B55,B54)</f>
        <v>per 100 arrests</v>
      </c>
      <c r="C61" s="49">
        <f t="shared" si="11"/>
        <v>0.25</v>
      </c>
      <c r="D61" s="49">
        <f t="shared" si="11"/>
        <v>0.17</v>
      </c>
      <c r="E61" s="49">
        <f>MAX(C61:D61)</f>
        <v>0.25</v>
      </c>
      <c r="G61" s="1" t="str">
        <f>G55</f>
        <v>per 100 arrests</v>
      </c>
      <c r="L61" s="58">
        <f>IF(($E55&gt;0),L55,L54)</f>
        <v>100</v>
      </c>
      <c r="M61" s="58"/>
    </row>
    <row r="62" spans="2:18" ht="15" hidden="1" customHeight="1">
      <c r="B62" s="49" t="str">
        <f t="shared" si="11"/>
        <v>per 100 referrals</v>
      </c>
      <c r="C62" s="49">
        <f t="shared" si="11"/>
        <v>1.03</v>
      </c>
      <c r="D62" s="49">
        <f t="shared" si="11"/>
        <v>0.27</v>
      </c>
      <c r="E62" s="49">
        <f>MAX(C62:D62)</f>
        <v>1.03</v>
      </c>
      <c r="G62" s="1" t="str">
        <f>G56</f>
        <v>per 100 referrals</v>
      </c>
      <c r="L62" s="58">
        <f>IF(($E56&gt;0),L56,L55)</f>
        <v>100</v>
      </c>
      <c r="M62" s="58"/>
    </row>
    <row r="63" spans="2:18" ht="15" hidden="1" customHeight="1">
      <c r="B63" s="49" t="str">
        <f>IF(($E57&gt;0),B57,B55)</f>
        <v>per 100 youth petitioned</v>
      </c>
      <c r="C63" s="49">
        <f>IF(($E57&gt;0),C57,C56)</f>
        <v>0.39</v>
      </c>
      <c r="D63" s="49">
        <f>IF(($E57&gt;0),D57,D56)</f>
        <v>0.06</v>
      </c>
      <c r="E63" s="49">
        <f>MAX(C63:D63)</f>
        <v>0.39</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5.5019999999999998</v>
      </c>
      <c r="D66" s="56">
        <f>D60</f>
        <v>0.34899999999999998</v>
      </c>
      <c r="E66" s="56">
        <f>MAX(C66:D66)</f>
        <v>5.5019999999999998</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0.17</v>
      </c>
      <c r="E67" s="49">
        <f>MAX(C67:D67)</f>
        <v>0.25</v>
      </c>
      <c r="G67" s="1" t="str">
        <f>G61</f>
        <v>per 100 arrests</v>
      </c>
      <c r="L67" s="58">
        <f>IF(($E61&gt;0),L61,L60)</f>
        <v>100</v>
      </c>
      <c r="M67" s="58">
        <f>IF((B67=G67),1,2)</f>
        <v>1</v>
      </c>
    </row>
    <row r="68" spans="2:13" ht="15" hidden="1" customHeight="1">
      <c r="B68" s="49" t="str">
        <f t="shared" si="12"/>
        <v>per 100 referrals</v>
      </c>
      <c r="C68" s="49">
        <f t="shared" si="12"/>
        <v>1.03</v>
      </c>
      <c r="D68" s="49">
        <f t="shared" si="12"/>
        <v>0.27</v>
      </c>
      <c r="E68" s="49">
        <f>MAX(C68:D68)</f>
        <v>1.03</v>
      </c>
      <c r="G68" s="1" t="str">
        <f>G62</f>
        <v>per 100 referrals</v>
      </c>
      <c r="L68" s="58">
        <f>IF(($E62&gt;0),L62,L61)</f>
        <v>100</v>
      </c>
      <c r="M68" s="58">
        <f>IF((B68=G68),1,2)</f>
        <v>1</v>
      </c>
    </row>
    <row r="69" spans="2:13" ht="15" hidden="1" customHeight="1">
      <c r="B69" s="49" t="str">
        <f>IF(($E63&gt;0),B63,B61)</f>
        <v>per 100 youth petitioned</v>
      </c>
      <c r="C69" s="49">
        <f>IF(($E63&gt;0),C63,C62)</f>
        <v>0.39</v>
      </c>
      <c r="D69" s="49">
        <f>IF(($E63&gt;0),D63,D62)</f>
        <v>0.06</v>
      </c>
      <c r="E69" s="49">
        <f>MAX(C69:D69)</f>
        <v>0.39</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Joseph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5502</v>
      </c>
      <c r="D6" s="34"/>
      <c r="E6" s="33">
        <f>'Data Entry'!F6</f>
        <v>48</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4.543802253725918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48</v>
      </c>
      <c r="P7" s="42">
        <f t="shared" ref="P7:P15" si="4">C7</f>
        <v>25</v>
      </c>
      <c r="Q7" s="42">
        <f>C6-C7</f>
        <v>5477</v>
      </c>
      <c r="R7" s="42">
        <f t="shared" ref="R7:R15" si="5">SUM(N7:Q7)</f>
        <v>5550</v>
      </c>
      <c r="S7" s="30">
        <f t="shared" ref="S7:S15" si="6">R7*((((N7*Q7)-(O7*P7))^2))</f>
        <v>7992000000</v>
      </c>
      <c r="T7" s="30">
        <f t="shared" ref="T7:T15" si="7">(N7+O7)*(P7+Q7)*(N7+P7)*(O7+Q7)</f>
        <v>36478260000</v>
      </c>
      <c r="U7" s="31">
        <f t="shared" ref="U7:U15" si="8">IF((S7&gt;0),S7/T7,"- -")</f>
        <v>0.2190893973561239</v>
      </c>
    </row>
    <row r="8" spans="2:21" ht="18" customHeight="1">
      <c r="B8" s="32" t="str">
        <f>'Data Entry'!A8</f>
        <v>3. Refer to Juvenile Court</v>
      </c>
      <c r="C8" s="33">
        <f>'Data Entry'!C8</f>
        <v>103</v>
      </c>
      <c r="D8" s="34">
        <f>IF((AND(C67&gt;0,C8&gt;0)),(C8/C67),0)</f>
        <v>412</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103</v>
      </c>
      <c r="Q8" s="42">
        <f>(C$67*L67)-C8</f>
        <v>-78</v>
      </c>
      <c r="R8" s="42">
        <f t="shared" si="5"/>
        <v>25.049999999999997</v>
      </c>
      <c r="S8" s="30">
        <f t="shared" si="6"/>
        <v>664.38862500000005</v>
      </c>
      <c r="T8" s="30">
        <f t="shared" si="7"/>
        <v>-10036.0625</v>
      </c>
      <c r="U8" s="31">
        <f t="shared" si="8"/>
        <v>-6.6200128287363699E-2</v>
      </c>
    </row>
    <row r="9" spans="2:21" ht="18" customHeight="1">
      <c r="B9" s="32" t="str">
        <f>'Data Entry'!A9</f>
        <v xml:space="preserve">4. Cases Diverted </v>
      </c>
      <c r="C9" s="33">
        <f>'Data Entry'!C9</f>
        <v>17</v>
      </c>
      <c r="D9" s="34">
        <f>IF((AND(C68&gt;0,C9&gt;0)),((C9/C68)),0)</f>
        <v>16.504854368932037</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17</v>
      </c>
      <c r="Q9" s="42">
        <f>(C$68*L68)-C9</f>
        <v>86</v>
      </c>
      <c r="R9" s="42">
        <f t="shared" si="5"/>
        <v>103</v>
      </c>
      <c r="S9" s="30">
        <f t="shared" si="6"/>
        <v>0</v>
      </c>
      <c r="T9" s="30">
        <f t="shared" si="7"/>
        <v>0</v>
      </c>
      <c r="U9" s="31" t="str">
        <f t="shared" si="8"/>
        <v>- -</v>
      </c>
    </row>
    <row r="10" spans="2:21" ht="18" customHeight="1">
      <c r="B10" s="32" t="str">
        <f>'Data Entry'!A10</f>
        <v>5. Cases Involving Secure Detention</v>
      </c>
      <c r="C10" s="33">
        <f>'Data Entry'!C10</f>
        <v>19</v>
      </c>
      <c r="D10" s="34">
        <f>IF(((AND(C68&gt;0,C10&gt;0))),(C10/(C68)),0)</f>
        <v>18.446601941747574</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19</v>
      </c>
      <c r="Q10" s="42">
        <f>(C$68*L68)-C10</f>
        <v>84</v>
      </c>
      <c r="R10" s="42">
        <f t="shared" si="5"/>
        <v>103</v>
      </c>
      <c r="S10" s="30">
        <f t="shared" si="6"/>
        <v>0</v>
      </c>
      <c r="T10" s="30">
        <f t="shared" si="7"/>
        <v>0</v>
      </c>
      <c r="U10" s="31" t="str">
        <f t="shared" si="8"/>
        <v>- -</v>
      </c>
    </row>
    <row r="11" spans="2:21" ht="18" customHeight="1">
      <c r="B11" s="32" t="str">
        <f>'Data Entry'!A11</f>
        <v>6. Cases Petitioned (Charge Filed)</v>
      </c>
      <c r="C11" s="33">
        <f>'Data Entry'!C11</f>
        <v>39</v>
      </c>
      <c r="D11" s="34">
        <f>IF(((AND(C68&gt;0,C11&gt;0))),(C11/(C68)),0)</f>
        <v>37.864077669902912</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39</v>
      </c>
      <c r="Q11" s="42">
        <f>(C$68*L68)-C11</f>
        <v>64</v>
      </c>
      <c r="R11" s="42">
        <f t="shared" si="5"/>
        <v>103</v>
      </c>
      <c r="S11" s="30">
        <f t="shared" si="6"/>
        <v>0</v>
      </c>
      <c r="T11" s="30">
        <f t="shared" si="7"/>
        <v>0</v>
      </c>
      <c r="U11" s="31" t="str">
        <f t="shared" si="8"/>
        <v>- -</v>
      </c>
    </row>
    <row r="12" spans="2:21" ht="18" customHeight="1">
      <c r="B12" s="32" t="str">
        <f>'Data Entry'!A12</f>
        <v>7. Cases Resulting in Delinquent Findings</v>
      </c>
      <c r="C12" s="33">
        <f>'Data Entry'!C12</f>
        <v>26</v>
      </c>
      <c r="D12" s="34">
        <f>IF(((AND(C69&gt;0,C12&gt;0))),(C12/(C69)),0)</f>
        <v>66.666666666666671</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26</v>
      </c>
      <c r="Q12" s="42">
        <f>(C69*L69)-C12</f>
        <v>13</v>
      </c>
      <c r="R12" s="42">
        <f t="shared" si="5"/>
        <v>39</v>
      </c>
      <c r="S12" s="30">
        <f t="shared" si="6"/>
        <v>0</v>
      </c>
      <c r="T12" s="30">
        <f t="shared" si="7"/>
        <v>0</v>
      </c>
      <c r="U12" s="31" t="str">
        <f t="shared" si="8"/>
        <v>- -</v>
      </c>
    </row>
    <row r="13" spans="2:21" ht="18" customHeight="1">
      <c r="B13" s="32" t="str">
        <f>'Data Entry'!A13</f>
        <v>8. Cases Resulting in Probation Placement</v>
      </c>
      <c r="C13" s="33">
        <f>'Data Entry'!C13</f>
        <v>5</v>
      </c>
      <c r="D13" s="34">
        <f>IF(((AND(C70&gt;0,C13&gt;0))),(C13/(C70)),0)</f>
        <v>19.23076923076923</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v>
      </c>
      <c r="Q13" s="42">
        <f>(C70*L70)-C13</f>
        <v>21</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24</v>
      </c>
      <c r="D14" s="34">
        <f>IF(((AND(C70&gt;0,C14&gt;0))), ((C14/(C70))),0)</f>
        <v>92.307692307692307</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24</v>
      </c>
      <c r="Q14" s="42">
        <f>(C70*L70)-C14</f>
        <v>2</v>
      </c>
      <c r="R14" s="42">
        <f t="shared" si="5"/>
        <v>26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39</v>
      </c>
      <c r="R15" s="42">
        <f t="shared" si="5"/>
        <v>39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5.5019999999999998</v>
      </c>
      <c r="D42" s="56">
        <f>E6/1000</f>
        <v>4.8000000000000001E-2</v>
      </c>
      <c r="E42" s="56">
        <f>MAX(C42:D42)</f>
        <v>5.5019999999999998</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1.03</v>
      </c>
      <c r="D44" s="56">
        <f>E8/100</f>
        <v>0</v>
      </c>
      <c r="E44" s="56">
        <f>MAX(C44:D44,0)</f>
        <v>1.03</v>
      </c>
      <c r="G44" s="1" t="str">
        <f>B44</f>
        <v>per 100 referrals</v>
      </c>
      <c r="L44" s="57">
        <v>100</v>
      </c>
      <c r="M44" s="57"/>
      <c r="R44" s="49"/>
    </row>
    <row r="45" spans="2:18" ht="15" hidden="1" customHeight="1">
      <c r="B45" s="49" t="s">
        <v>89</v>
      </c>
      <c r="C45" s="49">
        <f>C11/100</f>
        <v>0.39</v>
      </c>
      <c r="D45" s="49">
        <f>E11/100</f>
        <v>0</v>
      </c>
      <c r="E45" s="56">
        <f>MAX(C45:D45,0)</f>
        <v>0.39</v>
      </c>
      <c r="G45" s="1" t="str">
        <f>B45</f>
        <v>per 100 youth petitioned</v>
      </c>
      <c r="L45" s="57">
        <v>100</v>
      </c>
      <c r="M45" s="57"/>
      <c r="R45" s="49"/>
    </row>
    <row r="46" spans="2:18" ht="15" hidden="1" customHeight="1">
      <c r="B46" s="49" t="s">
        <v>90</v>
      </c>
      <c r="C46" s="49">
        <f>C12/100</f>
        <v>0.26</v>
      </c>
      <c r="D46" s="49">
        <f>E12/100</f>
        <v>0</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5.5019999999999998</v>
      </c>
      <c r="D48" s="56">
        <f>D42</f>
        <v>4.8000000000000001E-2</v>
      </c>
      <c r="E48" s="56">
        <f>MAX(C48:D48)</f>
        <v>5.5019999999999998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1.03</v>
      </c>
      <c r="D50" s="49">
        <f t="shared" si="9"/>
        <v>0</v>
      </c>
      <c r="E50" s="49">
        <f>MAX(C50:D50)</f>
        <v>1.03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0.39</v>
      </c>
      <c r="D51" s="49">
        <f>IF(($E45&gt;0),D45,D44)</f>
        <v>0</v>
      </c>
      <c r="E51" s="49">
        <f>MAX(C51:D51)</f>
        <v>0.39</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5.5019999999999998</v>
      </c>
      <c r="D54" s="56">
        <f>D48</f>
        <v>4.8000000000000001E-2</v>
      </c>
      <c r="E54" s="56">
        <f>MAX(C54:D54)</f>
        <v>5.5019999999999998</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1.03</v>
      </c>
      <c r="D56" s="49">
        <f t="shared" si="10"/>
        <v>0</v>
      </c>
      <c r="E56" s="49">
        <f>MAX(C56:D56)</f>
        <v>1.03</v>
      </c>
      <c r="G56" s="1" t="str">
        <f>G50</f>
        <v>per 100 referrals</v>
      </c>
      <c r="L56" s="58">
        <f>IF(($E50&gt;0),L50,L49)</f>
        <v>100</v>
      </c>
      <c r="M56" s="58"/>
    </row>
    <row r="57" spans="2:18" ht="15" hidden="1" customHeight="1">
      <c r="B57" s="49" t="str">
        <f>IF(($E51&gt;0),B51,B49)</f>
        <v>per 100 youth petitioned</v>
      </c>
      <c r="C57" s="49">
        <f>IF(($E51&gt;0),C51,C50)</f>
        <v>0.39</v>
      </c>
      <c r="D57" s="49">
        <f>IF(($E51&gt;0),D51,D50)</f>
        <v>0</v>
      </c>
      <c r="E57" s="49">
        <f>MAX(C57:D57)</f>
        <v>0.39</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5.5019999999999998</v>
      </c>
      <c r="D60" s="56">
        <f>D54</f>
        <v>4.8000000000000001E-2</v>
      </c>
      <c r="E60" s="56">
        <f>MAX(C60:D60)</f>
        <v>5.5019999999999998</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1.03</v>
      </c>
      <c r="D62" s="49">
        <f t="shared" si="11"/>
        <v>0</v>
      </c>
      <c r="E62" s="49">
        <f>MAX(C62:D62)</f>
        <v>1.03</v>
      </c>
      <c r="G62" s="1" t="str">
        <f>G56</f>
        <v>per 100 referrals</v>
      </c>
      <c r="L62" s="58">
        <f>IF(($E56&gt;0),L56,L55)</f>
        <v>100</v>
      </c>
      <c r="M62" s="58"/>
    </row>
    <row r="63" spans="2:18" ht="15" hidden="1" customHeight="1">
      <c r="B63" s="49" t="str">
        <f>IF(($E57&gt;0),B57,B55)</f>
        <v>per 100 youth petitioned</v>
      </c>
      <c r="C63" s="49">
        <f>IF(($E57&gt;0),C57,C56)</f>
        <v>0.39</v>
      </c>
      <c r="D63" s="49">
        <f>IF(($E57&gt;0),D57,D56)</f>
        <v>0</v>
      </c>
      <c r="E63" s="49">
        <f>MAX(C63:D63)</f>
        <v>0.39</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5.5019999999999998</v>
      </c>
      <c r="D66" s="56">
        <f>D60</f>
        <v>4.8000000000000001E-2</v>
      </c>
      <c r="E66" s="56">
        <f>MAX(C66:D66)</f>
        <v>5.5019999999999998</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1.03</v>
      </c>
      <c r="D68" s="49">
        <f t="shared" si="12"/>
        <v>0</v>
      </c>
      <c r="E68" s="49">
        <f>MAX(C68:D68)</f>
        <v>1.03</v>
      </c>
      <c r="G68" s="1" t="str">
        <f>G62</f>
        <v>per 100 referrals</v>
      </c>
      <c r="L68" s="58">
        <f>IF(($E62&gt;0),L62,L61)</f>
        <v>100</v>
      </c>
      <c r="M68" s="58">
        <f>IF((B68=G68),1,2)</f>
        <v>1</v>
      </c>
    </row>
    <row r="69" spans="2:13" ht="15" hidden="1" customHeight="1">
      <c r="B69" s="49" t="str">
        <f>IF(($E63&gt;0),B63,B61)</f>
        <v>per 100 youth petitioned</v>
      </c>
      <c r="C69" s="49">
        <f>IF(($E63&gt;0),C63,C62)</f>
        <v>0.39</v>
      </c>
      <c r="D69" s="49">
        <f>IF(($E63&gt;0),D63,D62)</f>
        <v>0</v>
      </c>
      <c r="E69" s="49">
        <f>MAX(C69:D69)</f>
        <v>0.39</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Joseph</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5502</v>
      </c>
      <c r="D6" s="34"/>
      <c r="E6" s="33">
        <f>'Data Entry'!E6</f>
        <v>1011</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4.543802253725918</v>
      </c>
      <c r="E7" s="33">
        <f>'Data Entry'!E7</f>
        <v>3</v>
      </c>
      <c r="F7" s="34">
        <f>IF((AND($E$7&gt;0,$D$66&gt;0)),($E$7/$D$66),0)</f>
        <v>2.9673590504451042</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3</v>
      </c>
      <c r="O7" s="42">
        <f>E6-E7</f>
        <v>1008</v>
      </c>
      <c r="P7" s="42">
        <f t="shared" ref="P7:P15" si="4">C7</f>
        <v>25</v>
      </c>
      <c r="Q7" s="42">
        <f>C6-C7</f>
        <v>5477</v>
      </c>
      <c r="R7" s="42">
        <f t="shared" ref="R7:R15" si="5">SUM(N7:Q7)</f>
        <v>6513</v>
      </c>
      <c r="S7" s="30">
        <f t="shared" ref="S7:S15" si="6">R7*((((N7*Q7)-(O7*P7))^2))</f>
        <v>500819486193</v>
      </c>
      <c r="T7" s="30">
        <f t="shared" ref="T7:T15" si="7">(N7+O7)*(P7+Q7)*(N7+P7)*(O7+Q7)</f>
        <v>1010042744760</v>
      </c>
      <c r="U7" s="31">
        <f t="shared" ref="U7:U15" si="8">IF((S7&gt;0),S7/T7,"- -")</f>
        <v>0.49583989270870071</v>
      </c>
    </row>
    <row r="8" spans="2:21" ht="18" customHeight="1">
      <c r="B8" s="32" t="str">
        <f>'Data Entry'!A8</f>
        <v>3. Refer to Juvenile Court</v>
      </c>
      <c r="C8" s="33">
        <f>'Data Entry'!C8</f>
        <v>103</v>
      </c>
      <c r="D8" s="34">
        <f>IF((AND(C67&gt;0,C8&gt;0)),(C8/C67),0)</f>
        <v>412</v>
      </c>
      <c r="E8" s="33">
        <f>'Data Entry'!E8</f>
        <v>10</v>
      </c>
      <c r="F8" s="34">
        <f>IF((AND($E$8&gt;0,$D$67&gt;0)),($E8/$D67),0)</f>
        <v>333.33333333333337</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10</v>
      </c>
      <c r="O8" s="42">
        <f>((D67*L67)-E8)+0.05</f>
        <v>-6.95</v>
      </c>
      <c r="P8" s="42">
        <f t="shared" si="4"/>
        <v>103</v>
      </c>
      <c r="Q8" s="42">
        <f>(C$67*L67)-C8</f>
        <v>-78</v>
      </c>
      <c r="R8" s="42">
        <f t="shared" si="5"/>
        <v>28.049999999999997</v>
      </c>
      <c r="S8" s="30">
        <f t="shared" si="6"/>
        <v>115431.99112499991</v>
      </c>
      <c r="T8" s="30">
        <f t="shared" si="7"/>
        <v>-731950.4375</v>
      </c>
      <c r="U8" s="31">
        <f t="shared" si="8"/>
        <v>-0.15770465486606108</v>
      </c>
    </row>
    <row r="9" spans="2:21" ht="18" customHeight="1">
      <c r="B9" s="32" t="str">
        <f>'Data Entry'!A9</f>
        <v xml:space="preserve">4. Cases Diverted </v>
      </c>
      <c r="C9" s="33">
        <f>'Data Entry'!C9</f>
        <v>17</v>
      </c>
      <c r="D9" s="34">
        <f>IF((AND(C68&gt;0,C9&gt;0)),((C9/C68)),0)</f>
        <v>16.504854368932037</v>
      </c>
      <c r="E9" s="33">
        <f>'Data Entry'!E9</f>
        <v>1</v>
      </c>
      <c r="F9" s="34">
        <f>IF((AND($E$9&gt;0,$D$68&gt;0)),(($E$9/$D$68)),0)</f>
        <v>10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9</v>
      </c>
      <c r="P9" s="42">
        <f t="shared" si="4"/>
        <v>17</v>
      </c>
      <c r="Q9" s="42">
        <f>(C$68*L68)-C9</f>
        <v>86</v>
      </c>
      <c r="R9" s="42">
        <f t="shared" si="5"/>
        <v>113</v>
      </c>
      <c r="S9" s="30">
        <f t="shared" si="6"/>
        <v>507257</v>
      </c>
      <c r="T9" s="30">
        <f t="shared" si="7"/>
        <v>1761300</v>
      </c>
      <c r="U9" s="31">
        <f t="shared" si="8"/>
        <v>0.28800147618236532</v>
      </c>
    </row>
    <row r="10" spans="2:21" ht="18" customHeight="1">
      <c r="B10" s="32" t="str">
        <f>'Data Entry'!A10</f>
        <v>5. Cases Involving Secure Detention</v>
      </c>
      <c r="C10" s="33">
        <f>'Data Entry'!C10</f>
        <v>19</v>
      </c>
      <c r="D10" s="34">
        <f>IF(((AND(C68&gt;0,C10&gt;0))),(C10/(C68)),0)</f>
        <v>18.446601941747574</v>
      </c>
      <c r="E10" s="33">
        <f>'Data Entry'!E10</f>
        <v>2</v>
      </c>
      <c r="F10" s="34">
        <f>IF(((AND($E$10&gt;0,$D$68&gt;0))),($E$10/($D$68)),0)</f>
        <v>20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2</v>
      </c>
      <c r="O10" s="42">
        <f>(D$68*L68)-E10</f>
        <v>8</v>
      </c>
      <c r="P10" s="42">
        <f t="shared" si="4"/>
        <v>19</v>
      </c>
      <c r="Q10" s="42">
        <f>(C$68*L68)-C10</f>
        <v>84</v>
      </c>
      <c r="R10" s="42">
        <f t="shared" si="5"/>
        <v>113</v>
      </c>
      <c r="S10" s="30">
        <f t="shared" si="6"/>
        <v>28928</v>
      </c>
      <c r="T10" s="30">
        <f t="shared" si="7"/>
        <v>1989960</v>
      </c>
      <c r="U10" s="31">
        <f t="shared" si="8"/>
        <v>1.4536975617600353E-2</v>
      </c>
    </row>
    <row r="11" spans="2:21" ht="18" customHeight="1">
      <c r="B11" s="32" t="str">
        <f>'Data Entry'!A11</f>
        <v>6. Cases Petitioned (Charge Filed)</v>
      </c>
      <c r="C11" s="33">
        <f>'Data Entry'!C11</f>
        <v>39</v>
      </c>
      <c r="D11" s="34">
        <f>IF(((AND(C68&gt;0,C11&gt;0))),(C11/(C68)),0)</f>
        <v>37.864077669902912</v>
      </c>
      <c r="E11" s="33">
        <f>'Data Entry'!E11</f>
        <v>4</v>
      </c>
      <c r="F11" s="34">
        <f>IF(((AND($E$11&gt;0,$D$68&gt;0))),($E$11/($D$68)),0)</f>
        <v>40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4</v>
      </c>
      <c r="O11" s="42">
        <f>(D$68*L68)-E11</f>
        <v>6</v>
      </c>
      <c r="P11" s="42">
        <f t="shared" si="4"/>
        <v>39</v>
      </c>
      <c r="Q11" s="42">
        <f>(C$68*L68)-C11</f>
        <v>64</v>
      </c>
      <c r="R11" s="42">
        <f t="shared" si="5"/>
        <v>113</v>
      </c>
      <c r="S11" s="30">
        <f t="shared" si="6"/>
        <v>54692</v>
      </c>
      <c r="T11" s="30">
        <f t="shared" si="7"/>
        <v>3100300</v>
      </c>
      <c r="U11" s="31">
        <f t="shared" si="8"/>
        <v>1.7640873463858335E-2</v>
      </c>
    </row>
    <row r="12" spans="2:21" ht="18" customHeight="1">
      <c r="B12" s="32" t="str">
        <f>'Data Entry'!A12</f>
        <v>7. Cases Resulting in Delinquent Findings</v>
      </c>
      <c r="C12" s="33">
        <f>'Data Entry'!C12</f>
        <v>26</v>
      </c>
      <c r="D12" s="34">
        <f>IF(((AND(C69&gt;0,C12&gt;0))),(C12/(C69)),0)</f>
        <v>66.666666666666671</v>
      </c>
      <c r="E12" s="33">
        <f>'Data Entry'!E12</f>
        <v>3</v>
      </c>
      <c r="F12" s="34">
        <f>IF(((AND($D$69&gt;0,$E$12&gt;0))),(E12/(D69)),0)</f>
        <v>75</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3</v>
      </c>
      <c r="O12" s="42">
        <f>(D69*L69)-E12</f>
        <v>1</v>
      </c>
      <c r="P12" s="42">
        <f t="shared" si="4"/>
        <v>26</v>
      </c>
      <c r="Q12" s="42">
        <f>(C69*L69)-C12</f>
        <v>13</v>
      </c>
      <c r="R12" s="42">
        <f t="shared" si="5"/>
        <v>43</v>
      </c>
      <c r="S12" s="30">
        <f t="shared" si="6"/>
        <v>7267</v>
      </c>
      <c r="T12" s="30">
        <f t="shared" si="7"/>
        <v>63336</v>
      </c>
      <c r="U12" s="31">
        <f t="shared" si="8"/>
        <v>0.11473727422003284</v>
      </c>
    </row>
    <row r="13" spans="2:21" ht="18" customHeight="1">
      <c r="B13" s="32" t="str">
        <f>'Data Entry'!A13</f>
        <v>8. Cases Resulting in Probation Placement</v>
      </c>
      <c r="C13" s="33">
        <f>'Data Entry'!C13</f>
        <v>5</v>
      </c>
      <c r="D13" s="34">
        <f>IF(((AND(C70&gt;0,C13&gt;0))),(C13/(C70)),0)</f>
        <v>19.23076923076923</v>
      </c>
      <c r="E13" s="33">
        <f>'Data Entry'!E13</f>
        <v>2</v>
      </c>
      <c r="F13" s="34">
        <f>IF(((AND($D$70&gt;0,$E$13&gt;0))),($E$13/($D$70)),0)</f>
        <v>66.666666666666671</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v>
      </c>
      <c r="O13" s="42">
        <f>(D70*L70)-E13</f>
        <v>1</v>
      </c>
      <c r="P13" s="42">
        <f t="shared" si="4"/>
        <v>5</v>
      </c>
      <c r="Q13" s="42">
        <f>(C70*L70)-C13</f>
        <v>21</v>
      </c>
      <c r="R13" s="42">
        <f t="shared" si="5"/>
        <v>29</v>
      </c>
      <c r="S13" s="30">
        <f t="shared" si="6"/>
        <v>39701</v>
      </c>
      <c r="T13" s="30">
        <f t="shared" si="7"/>
        <v>12012</v>
      </c>
      <c r="U13" s="31">
        <f t="shared" si="8"/>
        <v>3.3051115551115551</v>
      </c>
    </row>
    <row r="14" spans="2:21" ht="30.75" customHeight="1">
      <c r="B14" s="32" t="str">
        <f>'Data Entry'!A14</f>
        <v xml:space="preserve">9. Cases Resulting in Confinement in Secure Juvenile Correctional Facilities </v>
      </c>
      <c r="C14" s="33">
        <f>'Data Entry'!C14</f>
        <v>24</v>
      </c>
      <c r="D14" s="34">
        <f>IF(((AND(C70&gt;0,C14&gt;0))), ((C14/(C70))),0)</f>
        <v>92.307692307692307</v>
      </c>
      <c r="E14" s="33">
        <f>'Data Entry'!E14</f>
        <v>1</v>
      </c>
      <c r="F14" s="34">
        <f>IF(((AND($D$70&gt;0,$E$14&gt;0))), (($E$14/($D$70))),0)</f>
        <v>33.333333333333336</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1</v>
      </c>
      <c r="O14" s="42">
        <f>(D70*L70)-E14</f>
        <v>2</v>
      </c>
      <c r="P14" s="42">
        <f t="shared" si="4"/>
        <v>24</v>
      </c>
      <c r="Q14" s="42">
        <f>(C70*L70)-C14</f>
        <v>2</v>
      </c>
      <c r="R14" s="42">
        <f t="shared" si="5"/>
        <v>29</v>
      </c>
      <c r="S14" s="30">
        <f t="shared" si="6"/>
        <v>61364</v>
      </c>
      <c r="T14" s="30">
        <f t="shared" si="7"/>
        <v>7800</v>
      </c>
      <c r="U14" s="31">
        <f t="shared" si="8"/>
        <v>7.8671794871794871</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39</v>
      </c>
      <c r="R15" s="42">
        <f t="shared" si="5"/>
        <v>43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5.5019999999999998</v>
      </c>
      <c r="D42" s="56">
        <f>E6/1000</f>
        <v>1.0109999999999999</v>
      </c>
      <c r="E42" s="56">
        <f>MAX(C42:D42)</f>
        <v>5.5019999999999998</v>
      </c>
      <c r="G42" s="1" t="str">
        <f>B42</f>
        <v>per 1000 youth</v>
      </c>
      <c r="L42" s="57">
        <v>1000</v>
      </c>
      <c r="M42" s="57"/>
      <c r="R42" s="49"/>
    </row>
    <row r="43" spans="2:18" ht="15" hidden="1" customHeight="1">
      <c r="B43" s="49" t="s">
        <v>87</v>
      </c>
      <c r="C43" s="56">
        <f>C7/100</f>
        <v>0.25</v>
      </c>
      <c r="D43" s="56">
        <f>E7/100</f>
        <v>0.03</v>
      </c>
      <c r="E43" s="56">
        <f>MAX(C43:D43,0)</f>
        <v>0.25</v>
      </c>
      <c r="G43" s="1" t="str">
        <f>B43</f>
        <v>per 100 arrests</v>
      </c>
      <c r="L43" s="57">
        <v>100</v>
      </c>
      <c r="M43" s="57"/>
      <c r="R43" s="49"/>
    </row>
    <row r="44" spans="2:18" ht="15" hidden="1" customHeight="1">
      <c r="B44" s="49" t="s">
        <v>88</v>
      </c>
      <c r="C44" s="56">
        <f>C8/100</f>
        <v>1.03</v>
      </c>
      <c r="D44" s="56">
        <f>E8/100</f>
        <v>0.1</v>
      </c>
      <c r="E44" s="56">
        <f>MAX(C44:D44,0)</f>
        <v>1.03</v>
      </c>
      <c r="G44" s="1" t="str">
        <f>B44</f>
        <v>per 100 referrals</v>
      </c>
      <c r="L44" s="57">
        <v>100</v>
      </c>
      <c r="M44" s="57"/>
      <c r="R44" s="49"/>
    </row>
    <row r="45" spans="2:18" ht="15" hidden="1" customHeight="1">
      <c r="B45" s="49" t="s">
        <v>89</v>
      </c>
      <c r="C45" s="49">
        <f>C11/100</f>
        <v>0.39</v>
      </c>
      <c r="D45" s="49">
        <f>E11/100</f>
        <v>0.04</v>
      </c>
      <c r="E45" s="56">
        <f>MAX(C45:D45,0)</f>
        <v>0.39</v>
      </c>
      <c r="G45" s="1" t="str">
        <f>B45</f>
        <v>per 100 youth petitioned</v>
      </c>
      <c r="L45" s="57">
        <v>100</v>
      </c>
      <c r="M45" s="57"/>
      <c r="R45" s="49"/>
    </row>
    <row r="46" spans="2:18" ht="15" hidden="1" customHeight="1">
      <c r="B46" s="49" t="s">
        <v>90</v>
      </c>
      <c r="C46" s="49">
        <f>C12/100</f>
        <v>0.26</v>
      </c>
      <c r="D46" s="49">
        <f>E12/100</f>
        <v>0.03</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5.5019999999999998</v>
      </c>
      <c r="D48" s="56">
        <f>D42</f>
        <v>1.0109999999999999</v>
      </c>
      <c r="E48" s="56">
        <f>MAX(C48:D48)</f>
        <v>5.5019999999999998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0.03</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1.03</v>
      </c>
      <c r="D50" s="49">
        <f t="shared" si="9"/>
        <v>0.1</v>
      </c>
      <c r="E50" s="49">
        <f>MAX(C50:D50)</f>
        <v>1.03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0.39</v>
      </c>
      <c r="D51" s="49">
        <f>IF(($E45&gt;0),D45,D44)</f>
        <v>0.04</v>
      </c>
      <c r="E51" s="49">
        <f>MAX(C51:D51)</f>
        <v>0.39</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0.03</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5.5019999999999998</v>
      </c>
      <c r="D54" s="56">
        <f>D48</f>
        <v>1.0109999999999999</v>
      </c>
      <c r="E54" s="56">
        <f>MAX(C54:D54)</f>
        <v>5.5019999999999998</v>
      </c>
      <c r="G54" s="1" t="str">
        <f>G48</f>
        <v>per 1000 youth</v>
      </c>
      <c r="L54" s="58">
        <f>L48</f>
        <v>1000</v>
      </c>
      <c r="M54" s="58"/>
    </row>
    <row r="55" spans="2:18" ht="15" hidden="1" customHeight="1">
      <c r="B55" s="49" t="str">
        <f t="shared" ref="B55:D56" si="10">IF(($E49&gt;0),B49,B48)</f>
        <v>per 100 arrests</v>
      </c>
      <c r="C55" s="49">
        <f t="shared" si="10"/>
        <v>0.25</v>
      </c>
      <c r="D55" s="49">
        <f t="shared" si="10"/>
        <v>0.03</v>
      </c>
      <c r="E55" s="49">
        <f>MAX(C55:D55)</f>
        <v>0.25</v>
      </c>
      <c r="G55" s="1" t="str">
        <f>G49</f>
        <v>per 100 arrests</v>
      </c>
      <c r="L55" s="58">
        <f>IF(($E49&gt;0),L49,L48)</f>
        <v>100</v>
      </c>
      <c r="M55" s="58"/>
    </row>
    <row r="56" spans="2:18" ht="15" hidden="1" customHeight="1">
      <c r="B56" s="49" t="str">
        <f t="shared" si="10"/>
        <v>per 100 referrals</v>
      </c>
      <c r="C56" s="49">
        <f t="shared" si="10"/>
        <v>1.03</v>
      </c>
      <c r="D56" s="49">
        <f t="shared" si="10"/>
        <v>0.1</v>
      </c>
      <c r="E56" s="49">
        <f>MAX(C56:D56)</f>
        <v>1.03</v>
      </c>
      <c r="G56" s="1" t="str">
        <f>G50</f>
        <v>per 100 referrals</v>
      </c>
      <c r="L56" s="58">
        <f>IF(($E50&gt;0),L50,L49)</f>
        <v>100</v>
      </c>
      <c r="M56" s="58"/>
    </row>
    <row r="57" spans="2:18" ht="15" hidden="1" customHeight="1">
      <c r="B57" s="49" t="str">
        <f>IF(($E51&gt;0),B51,B49)</f>
        <v>per 100 youth petitioned</v>
      </c>
      <c r="C57" s="49">
        <f>IF(($E51&gt;0),C51,C50)</f>
        <v>0.39</v>
      </c>
      <c r="D57" s="49">
        <f>IF(($E51&gt;0),D51,D50)</f>
        <v>0.04</v>
      </c>
      <c r="E57" s="49">
        <f>MAX(C57:D57)</f>
        <v>0.39</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0.03</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5.5019999999999998</v>
      </c>
      <c r="D60" s="56">
        <f>D54</f>
        <v>1.0109999999999999</v>
      </c>
      <c r="E60" s="56">
        <f>MAX(C60:D60)</f>
        <v>5.5019999999999998</v>
      </c>
      <c r="G60" s="1" t="str">
        <f>G54</f>
        <v>per 1000 youth</v>
      </c>
      <c r="L60" s="58">
        <f>L54</f>
        <v>1000</v>
      </c>
      <c r="M60" s="58"/>
    </row>
    <row r="61" spans="2:18" ht="15" hidden="1" customHeight="1">
      <c r="B61" s="49" t="str">
        <f t="shared" ref="B61:D62" si="11">IF(($E55&gt;0),B55,B54)</f>
        <v>per 100 arrests</v>
      </c>
      <c r="C61" s="49">
        <f t="shared" si="11"/>
        <v>0.25</v>
      </c>
      <c r="D61" s="49">
        <f t="shared" si="11"/>
        <v>0.03</v>
      </c>
      <c r="E61" s="49">
        <f>MAX(C61:D61)</f>
        <v>0.25</v>
      </c>
      <c r="G61" s="1" t="str">
        <f>G55</f>
        <v>per 100 arrests</v>
      </c>
      <c r="L61" s="58">
        <f>IF(($E55&gt;0),L55,L54)</f>
        <v>100</v>
      </c>
      <c r="M61" s="58"/>
    </row>
    <row r="62" spans="2:18" ht="15" hidden="1" customHeight="1">
      <c r="B62" s="49" t="str">
        <f t="shared" si="11"/>
        <v>per 100 referrals</v>
      </c>
      <c r="C62" s="49">
        <f t="shared" si="11"/>
        <v>1.03</v>
      </c>
      <c r="D62" s="49">
        <f t="shared" si="11"/>
        <v>0.1</v>
      </c>
      <c r="E62" s="49">
        <f>MAX(C62:D62)</f>
        <v>1.03</v>
      </c>
      <c r="G62" s="1" t="str">
        <f>G56</f>
        <v>per 100 referrals</v>
      </c>
      <c r="L62" s="58">
        <f>IF(($E56&gt;0),L56,L55)</f>
        <v>100</v>
      </c>
      <c r="M62" s="58"/>
    </row>
    <row r="63" spans="2:18" ht="15" hidden="1" customHeight="1">
      <c r="B63" s="49" t="str">
        <f>IF(($E57&gt;0),B57,B55)</f>
        <v>per 100 youth petitioned</v>
      </c>
      <c r="C63" s="49">
        <f>IF(($E57&gt;0),C57,C56)</f>
        <v>0.39</v>
      </c>
      <c r="D63" s="49">
        <f>IF(($E57&gt;0),D57,D56)</f>
        <v>0.04</v>
      </c>
      <c r="E63" s="49">
        <f>MAX(C63:D63)</f>
        <v>0.39</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0.03</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5.5019999999999998</v>
      </c>
      <c r="D66" s="56">
        <f>D60</f>
        <v>1.0109999999999999</v>
      </c>
      <c r="E66" s="56">
        <f>MAX(C66:D66)</f>
        <v>5.5019999999999998</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0.03</v>
      </c>
      <c r="E67" s="49">
        <f>MAX(C67:D67)</f>
        <v>0.25</v>
      </c>
      <c r="G67" s="1" t="str">
        <f>G61</f>
        <v>per 100 arrests</v>
      </c>
      <c r="L67" s="58">
        <f>IF(($E61&gt;0),L61,L60)</f>
        <v>100</v>
      </c>
      <c r="M67" s="58">
        <f>IF((B67=G67),1,2)</f>
        <v>1</v>
      </c>
    </row>
    <row r="68" spans="2:13" ht="15" hidden="1" customHeight="1">
      <c r="B68" s="49" t="str">
        <f t="shared" si="12"/>
        <v>per 100 referrals</v>
      </c>
      <c r="C68" s="49">
        <f t="shared" si="12"/>
        <v>1.03</v>
      </c>
      <c r="D68" s="49">
        <f t="shared" si="12"/>
        <v>0.1</v>
      </c>
      <c r="E68" s="49">
        <f>MAX(C68:D68)</f>
        <v>1.03</v>
      </c>
      <c r="G68" s="1" t="str">
        <f>G62</f>
        <v>per 100 referrals</v>
      </c>
      <c r="L68" s="58">
        <f>IF(($E62&gt;0),L62,L61)</f>
        <v>100</v>
      </c>
      <c r="M68" s="58">
        <f>IF((B68=G68),1,2)</f>
        <v>1</v>
      </c>
    </row>
    <row r="69" spans="2:13" ht="15" hidden="1" customHeight="1">
      <c r="B69" s="49" t="str">
        <f>IF(($E63&gt;0),B63,B61)</f>
        <v>per 100 youth petitioned</v>
      </c>
      <c r="C69" s="49">
        <f>IF(($E63&gt;0),C63,C62)</f>
        <v>0.39</v>
      </c>
      <c r="D69" s="49">
        <f>IF(($E63&gt;0),D63,D62)</f>
        <v>0.04</v>
      </c>
      <c r="E69" s="49">
        <f>MAX(C69:D69)</f>
        <v>0.39</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0.03</v>
      </c>
      <c r="E70" s="56">
        <f>MAX(C70:D70)</f>
        <v>0.26</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Joseph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5502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4.543802253725918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25</v>
      </c>
      <c r="Q7" s="42">
        <f>C6-C7</f>
        <v>5477</v>
      </c>
      <c r="R7" s="42">
        <f t="shared" ref="R7:R15" si="5">SUM(N7:Q7)</f>
        <v>5502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103</v>
      </c>
      <c r="D8" s="34">
        <f>IF((AND(C67&gt;0,C8&gt;0)),(C8/C67),0)</f>
        <v>412</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103</v>
      </c>
      <c r="Q8" s="42">
        <f>(C$67*L67)-C8</f>
        <v>-78</v>
      </c>
      <c r="R8" s="42">
        <f t="shared" si="5"/>
        <v>25.049999999999997</v>
      </c>
      <c r="S8" s="30">
        <f t="shared" si="6"/>
        <v>664.38862500000005</v>
      </c>
      <c r="T8" s="30">
        <f t="shared" si="7"/>
        <v>-10036.0625</v>
      </c>
      <c r="U8" s="31">
        <f t="shared" si="8"/>
        <v>-6.6200128287363699E-2</v>
      </c>
    </row>
    <row r="9" spans="2:21" ht="18" customHeight="1">
      <c r="B9" s="32" t="str">
        <f>'Data Entry'!A9</f>
        <v xml:space="preserve">4. Cases Diverted </v>
      </c>
      <c r="C9" s="33">
        <f>'Data Entry'!C9</f>
        <v>17</v>
      </c>
      <c r="D9" s="34">
        <f>IF((AND(C68&gt;0,C9&gt;0)),((C9/C68)),0)</f>
        <v>16.504854368932037</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17</v>
      </c>
      <c r="Q9" s="42">
        <f>(C$68*L68)-C9</f>
        <v>86</v>
      </c>
      <c r="R9" s="42">
        <f t="shared" si="5"/>
        <v>103</v>
      </c>
      <c r="S9" s="30">
        <f t="shared" si="6"/>
        <v>0</v>
      </c>
      <c r="T9" s="30">
        <f t="shared" si="7"/>
        <v>0</v>
      </c>
      <c r="U9" s="31" t="str">
        <f t="shared" si="8"/>
        <v>- -</v>
      </c>
    </row>
    <row r="10" spans="2:21" ht="18" customHeight="1">
      <c r="B10" s="32" t="str">
        <f>'Data Entry'!A10</f>
        <v>5. Cases Involving Secure Detention</v>
      </c>
      <c r="C10" s="33">
        <f>'Data Entry'!C10</f>
        <v>19</v>
      </c>
      <c r="D10" s="34">
        <f>IF(((AND(C68&gt;0,C10&gt;0))),(C10/(C68)),0)</f>
        <v>18.446601941747574</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19</v>
      </c>
      <c r="Q10" s="42">
        <f>(C$68*L68)-C10</f>
        <v>84</v>
      </c>
      <c r="R10" s="42">
        <f t="shared" si="5"/>
        <v>103</v>
      </c>
      <c r="S10" s="30">
        <f t="shared" si="6"/>
        <v>0</v>
      </c>
      <c r="T10" s="30">
        <f t="shared" si="7"/>
        <v>0</v>
      </c>
      <c r="U10" s="31" t="str">
        <f t="shared" si="8"/>
        <v>- -</v>
      </c>
    </row>
    <row r="11" spans="2:21" ht="18" customHeight="1">
      <c r="B11" s="32" t="str">
        <f>'Data Entry'!A11</f>
        <v>6. Cases Petitioned (Charge Filed)</v>
      </c>
      <c r="C11" s="33">
        <f>'Data Entry'!C11</f>
        <v>39</v>
      </c>
      <c r="D11" s="34">
        <f>IF(((AND(C68&gt;0,C11&gt;0))),(C11/(C68)),0)</f>
        <v>37.864077669902912</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39</v>
      </c>
      <c r="Q11" s="42">
        <f>(C$68*L68)-C11</f>
        <v>64</v>
      </c>
      <c r="R11" s="42">
        <f t="shared" si="5"/>
        <v>103</v>
      </c>
      <c r="S11" s="30">
        <f t="shared" si="6"/>
        <v>0</v>
      </c>
      <c r="T11" s="30">
        <f t="shared" si="7"/>
        <v>0</v>
      </c>
      <c r="U11" s="31" t="str">
        <f t="shared" si="8"/>
        <v>- -</v>
      </c>
    </row>
    <row r="12" spans="2:21" ht="18" customHeight="1">
      <c r="B12" s="32" t="str">
        <f>'Data Entry'!A12</f>
        <v>7. Cases Resulting in Delinquent Findings</v>
      </c>
      <c r="C12" s="33">
        <f>'Data Entry'!C12</f>
        <v>26</v>
      </c>
      <c r="D12" s="34">
        <f>IF(((AND(C69&gt;0,C12&gt;0))),(C12/(C69)),0)</f>
        <v>66.666666666666671</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26</v>
      </c>
      <c r="Q12" s="42">
        <f>(C69*L69)-C12</f>
        <v>13</v>
      </c>
      <c r="R12" s="42">
        <f t="shared" si="5"/>
        <v>39</v>
      </c>
      <c r="S12" s="30">
        <f t="shared" si="6"/>
        <v>0</v>
      </c>
      <c r="T12" s="30">
        <f t="shared" si="7"/>
        <v>0</v>
      </c>
      <c r="U12" s="31" t="str">
        <f t="shared" si="8"/>
        <v>- -</v>
      </c>
    </row>
    <row r="13" spans="2:21" ht="18" customHeight="1">
      <c r="B13" s="32" t="str">
        <f>'Data Entry'!A13</f>
        <v>8. Cases Resulting in Probation Placement</v>
      </c>
      <c r="C13" s="33">
        <f>'Data Entry'!C13</f>
        <v>5</v>
      </c>
      <c r="D13" s="34">
        <f>IF(((AND(C70&gt;0,C13&gt;0))),(C13/(C70)),0)</f>
        <v>19.23076923076923</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v>
      </c>
      <c r="Q13" s="42">
        <f>(C70*L70)-C13</f>
        <v>21</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24</v>
      </c>
      <c r="D14" s="34">
        <f>IF(((AND(C70&gt;0,C14&gt;0))), ((C14/(C70))),0)</f>
        <v>92.307692307692307</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24</v>
      </c>
      <c r="Q14" s="42">
        <f>(C70*L70)-C14</f>
        <v>2</v>
      </c>
      <c r="R14" s="42">
        <f t="shared" si="5"/>
        <v>26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39</v>
      </c>
      <c r="R15" s="42">
        <f t="shared" si="5"/>
        <v>39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5.5019999999999998</v>
      </c>
      <c r="D42" s="56">
        <f>E6/1000</f>
        <v>0</v>
      </c>
      <c r="E42" s="56">
        <f>MAX(C42:D42)</f>
        <v>5.5019999999999998</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1.03</v>
      </c>
      <c r="D44" s="56">
        <f>E8/100</f>
        <v>0</v>
      </c>
      <c r="E44" s="56">
        <f>MAX(C44:D44,0)</f>
        <v>1.03</v>
      </c>
      <c r="G44" s="1" t="str">
        <f>B44</f>
        <v>per 100 referrals</v>
      </c>
      <c r="L44" s="57">
        <v>100</v>
      </c>
      <c r="M44" s="57"/>
      <c r="R44" s="49"/>
    </row>
    <row r="45" spans="2:18" ht="15" hidden="1" customHeight="1">
      <c r="B45" s="49" t="s">
        <v>89</v>
      </c>
      <c r="C45" s="49">
        <f>C11/100</f>
        <v>0.39</v>
      </c>
      <c r="D45" s="49">
        <f>E11/100</f>
        <v>0</v>
      </c>
      <c r="E45" s="56">
        <f>MAX(C45:D45,0)</f>
        <v>0.39</v>
      </c>
      <c r="G45" s="1" t="str">
        <f>B45</f>
        <v>per 100 youth petitioned</v>
      </c>
      <c r="L45" s="57">
        <v>100</v>
      </c>
      <c r="M45" s="57"/>
      <c r="R45" s="49"/>
    </row>
    <row r="46" spans="2:18" ht="15" hidden="1" customHeight="1">
      <c r="B46" s="49" t="s">
        <v>90</v>
      </c>
      <c r="C46" s="49">
        <f>C12/100</f>
        <v>0.26</v>
      </c>
      <c r="D46" s="49">
        <f>E12/100</f>
        <v>0</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5.5019999999999998</v>
      </c>
      <c r="D48" s="56">
        <f>D42</f>
        <v>0</v>
      </c>
      <c r="E48" s="56">
        <f>MAX(C48:D48)</f>
        <v>5.5019999999999998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1.03</v>
      </c>
      <c r="D50" s="49">
        <f t="shared" si="9"/>
        <v>0</v>
      </c>
      <c r="E50" s="49">
        <f>MAX(C50:D50)</f>
        <v>1.03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0.39</v>
      </c>
      <c r="D51" s="49">
        <f>IF(($E45&gt;0),D45,D44)</f>
        <v>0</v>
      </c>
      <c r="E51" s="49">
        <f>MAX(C51:D51)</f>
        <v>0.39</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5.5019999999999998</v>
      </c>
      <c r="D54" s="56">
        <f>D48</f>
        <v>0</v>
      </c>
      <c r="E54" s="56">
        <f>MAX(C54:D54)</f>
        <v>5.5019999999999998</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1.03</v>
      </c>
      <c r="D56" s="49">
        <f t="shared" si="10"/>
        <v>0</v>
      </c>
      <c r="E56" s="49">
        <f>MAX(C56:D56)</f>
        <v>1.03</v>
      </c>
      <c r="G56" s="1" t="str">
        <f>G50</f>
        <v>per 100 referrals</v>
      </c>
      <c r="L56" s="58">
        <f>IF(($E50&gt;0),L50,L49)</f>
        <v>100</v>
      </c>
      <c r="M56" s="58"/>
    </row>
    <row r="57" spans="2:18" ht="15" hidden="1" customHeight="1">
      <c r="B57" s="49" t="str">
        <f>IF(($E51&gt;0),B51,B49)</f>
        <v>per 100 youth petitioned</v>
      </c>
      <c r="C57" s="49">
        <f>IF(($E51&gt;0),C51,C50)</f>
        <v>0.39</v>
      </c>
      <c r="D57" s="49">
        <f>IF(($E51&gt;0),D51,D50)</f>
        <v>0</v>
      </c>
      <c r="E57" s="49">
        <f>MAX(C57:D57)</f>
        <v>0.39</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5.5019999999999998</v>
      </c>
      <c r="D60" s="56">
        <f>D54</f>
        <v>0</v>
      </c>
      <c r="E60" s="56">
        <f>MAX(C60:D60)</f>
        <v>5.5019999999999998</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1.03</v>
      </c>
      <c r="D62" s="49">
        <f t="shared" si="11"/>
        <v>0</v>
      </c>
      <c r="E62" s="49">
        <f>MAX(C62:D62)</f>
        <v>1.03</v>
      </c>
      <c r="G62" s="1" t="str">
        <f>G56</f>
        <v>per 100 referrals</v>
      </c>
      <c r="L62" s="58">
        <f>IF(($E56&gt;0),L56,L55)</f>
        <v>100</v>
      </c>
      <c r="M62" s="58"/>
    </row>
    <row r="63" spans="2:18" ht="15" hidden="1" customHeight="1">
      <c r="B63" s="49" t="str">
        <f>IF(($E57&gt;0),B57,B55)</f>
        <v>per 100 youth petitioned</v>
      </c>
      <c r="C63" s="49">
        <f>IF(($E57&gt;0),C57,C56)</f>
        <v>0.39</v>
      </c>
      <c r="D63" s="49">
        <f>IF(($E57&gt;0),D57,D56)</f>
        <v>0</v>
      </c>
      <c r="E63" s="49">
        <f>MAX(C63:D63)</f>
        <v>0.39</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5.5019999999999998</v>
      </c>
      <c r="D66" s="56">
        <f>D60</f>
        <v>0</v>
      </c>
      <c r="E66" s="56">
        <f>MAX(C66:D66)</f>
        <v>5.5019999999999998</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1.03</v>
      </c>
      <c r="D68" s="49">
        <f t="shared" si="12"/>
        <v>0</v>
      </c>
      <c r="E68" s="49">
        <f>MAX(C68:D68)</f>
        <v>1.03</v>
      </c>
      <c r="G68" s="1" t="str">
        <f>G62</f>
        <v>per 100 referrals</v>
      </c>
      <c r="L68" s="58">
        <f>IF(($E62&gt;0),L62,L61)</f>
        <v>100</v>
      </c>
      <c r="M68" s="58">
        <f>IF((B68=G68),1,2)</f>
        <v>1</v>
      </c>
    </row>
    <row r="69" spans="2:13" ht="15" hidden="1" customHeight="1">
      <c r="B69" s="49" t="str">
        <f>IF(($E63&gt;0),B63,B61)</f>
        <v>per 100 youth petitioned</v>
      </c>
      <c r="C69" s="49">
        <f>IF(($E63&gt;0),C63,C62)</f>
        <v>0.39</v>
      </c>
      <c r="D69" s="49">
        <f>IF(($E63&gt;0),D63,D62)</f>
        <v>0</v>
      </c>
      <c r="E69" s="49">
        <f>MAX(C69:D69)</f>
        <v>0.39</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Joseph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5502</v>
      </c>
      <c r="D6" s="34"/>
      <c r="E6" s="33">
        <f>'Data Entry'!H6</f>
        <v>31</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4.543802253725918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31</v>
      </c>
      <c r="P7" s="42">
        <f t="shared" ref="P7:P15" si="4">C7</f>
        <v>25</v>
      </c>
      <c r="Q7" s="42">
        <f>C6-C7</f>
        <v>5477</v>
      </c>
      <c r="R7" s="42">
        <f t="shared" ref="R7:R15" si="5">SUM(N7:Q7)</f>
        <v>5533</v>
      </c>
      <c r="S7" s="30">
        <f t="shared" ref="S7:S15" si="6">R7*((((N7*Q7)-(O7*P7))^2))</f>
        <v>3323258125</v>
      </c>
      <c r="T7" s="30">
        <f t="shared" ref="T7:T15" si="7">(N7+O7)*(P7+Q7)*(N7+P7)*(O7+Q7)</f>
        <v>23486387400</v>
      </c>
      <c r="U7" s="31">
        <f t="shared" ref="U7:U15" si="8">IF((S7&gt;0),S7/T7,"- -")</f>
        <v>0.14149720297128371</v>
      </c>
    </row>
    <row r="8" spans="2:21" ht="18" customHeight="1">
      <c r="B8" s="32" t="str">
        <f>'Data Entry'!A8</f>
        <v>3. Refer to Juvenile Court</v>
      </c>
      <c r="C8" s="33">
        <f>'Data Entry'!C8</f>
        <v>103</v>
      </c>
      <c r="D8" s="34">
        <f>IF((AND(C67&gt;0,C8&gt;0)),(C8/C67),0)</f>
        <v>412</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103</v>
      </c>
      <c r="Q8" s="42">
        <f>(C$67*L67)-C8</f>
        <v>-78</v>
      </c>
      <c r="R8" s="42">
        <f t="shared" si="5"/>
        <v>25.049999999999997</v>
      </c>
      <c r="S8" s="30">
        <f t="shared" si="6"/>
        <v>664.38862500000005</v>
      </c>
      <c r="T8" s="30">
        <f t="shared" si="7"/>
        <v>-10036.0625</v>
      </c>
      <c r="U8" s="31">
        <f t="shared" si="8"/>
        <v>-6.6200128287363699E-2</v>
      </c>
    </row>
    <row r="9" spans="2:21" ht="18" customHeight="1">
      <c r="B9" s="32" t="str">
        <f>'Data Entry'!A9</f>
        <v xml:space="preserve">4. Cases Diverted </v>
      </c>
      <c r="C9" s="33">
        <f>'Data Entry'!C9</f>
        <v>17</v>
      </c>
      <c r="D9" s="34">
        <f>IF((AND(C68&gt;0,C9&gt;0)),((C9/C68)),0)</f>
        <v>16.504854368932037</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17</v>
      </c>
      <c r="Q9" s="42">
        <f>(C$68*L68)-C9</f>
        <v>86</v>
      </c>
      <c r="R9" s="42">
        <f t="shared" si="5"/>
        <v>103</v>
      </c>
      <c r="S9" s="30">
        <f t="shared" si="6"/>
        <v>0</v>
      </c>
      <c r="T9" s="30">
        <f t="shared" si="7"/>
        <v>0</v>
      </c>
      <c r="U9" s="31" t="str">
        <f t="shared" si="8"/>
        <v>- -</v>
      </c>
    </row>
    <row r="10" spans="2:21" ht="18" customHeight="1">
      <c r="B10" s="32" t="str">
        <f>'Data Entry'!A10</f>
        <v>5. Cases Involving Secure Detention</v>
      </c>
      <c r="C10" s="33">
        <f>'Data Entry'!C10</f>
        <v>19</v>
      </c>
      <c r="D10" s="34">
        <f>IF(((AND(C68&gt;0,C10&gt;0))),(C10/(C68)),0)</f>
        <v>18.446601941747574</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19</v>
      </c>
      <c r="Q10" s="42">
        <f>(C$68*L68)-C10</f>
        <v>84</v>
      </c>
      <c r="R10" s="42">
        <f t="shared" si="5"/>
        <v>103</v>
      </c>
      <c r="S10" s="30">
        <f t="shared" si="6"/>
        <v>0</v>
      </c>
      <c r="T10" s="30">
        <f t="shared" si="7"/>
        <v>0</v>
      </c>
      <c r="U10" s="31" t="str">
        <f t="shared" si="8"/>
        <v>- -</v>
      </c>
    </row>
    <row r="11" spans="2:21" ht="18" customHeight="1">
      <c r="B11" s="32" t="str">
        <f>'Data Entry'!A11</f>
        <v>6. Cases Petitioned (Charge Filed)</v>
      </c>
      <c r="C11" s="33">
        <f>'Data Entry'!C11</f>
        <v>39</v>
      </c>
      <c r="D11" s="34">
        <f>IF(((AND(C68&gt;0,C11&gt;0))),(C11/(C68)),0)</f>
        <v>37.864077669902912</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39</v>
      </c>
      <c r="Q11" s="42">
        <f>(C$68*L68)-C11</f>
        <v>64</v>
      </c>
      <c r="R11" s="42">
        <f t="shared" si="5"/>
        <v>103</v>
      </c>
      <c r="S11" s="30">
        <f t="shared" si="6"/>
        <v>0</v>
      </c>
      <c r="T11" s="30">
        <f t="shared" si="7"/>
        <v>0</v>
      </c>
      <c r="U11" s="31" t="str">
        <f t="shared" si="8"/>
        <v>- -</v>
      </c>
    </row>
    <row r="12" spans="2:21" ht="18" customHeight="1">
      <c r="B12" s="32" t="str">
        <f>'Data Entry'!A12</f>
        <v>7. Cases Resulting in Delinquent Findings</v>
      </c>
      <c r="C12" s="33">
        <f>'Data Entry'!C12</f>
        <v>26</v>
      </c>
      <c r="D12" s="34">
        <f>IF(((AND(C69&gt;0,C12&gt;0))),(C12/(C69)),0)</f>
        <v>66.666666666666671</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26</v>
      </c>
      <c r="Q12" s="42">
        <f>(C69*L69)-C12</f>
        <v>13</v>
      </c>
      <c r="R12" s="42">
        <f t="shared" si="5"/>
        <v>39</v>
      </c>
      <c r="S12" s="30">
        <f t="shared" si="6"/>
        <v>0</v>
      </c>
      <c r="T12" s="30">
        <f t="shared" si="7"/>
        <v>0</v>
      </c>
      <c r="U12" s="31" t="str">
        <f t="shared" si="8"/>
        <v>- -</v>
      </c>
    </row>
    <row r="13" spans="2:21" ht="18" customHeight="1">
      <c r="B13" s="32" t="str">
        <f>'Data Entry'!A13</f>
        <v>8. Cases Resulting in Probation Placement</v>
      </c>
      <c r="C13" s="33">
        <f>'Data Entry'!C13</f>
        <v>5</v>
      </c>
      <c r="D13" s="34">
        <f>IF(((AND(C70&gt;0,C13&gt;0))),(C13/(C70)),0)</f>
        <v>19.23076923076923</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v>
      </c>
      <c r="Q13" s="42">
        <f>(C70*L70)-C13</f>
        <v>21</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24</v>
      </c>
      <c r="D14" s="34">
        <f>IF(((AND(C70&gt;0,C14&gt;0))), ((C14/(C70))),0)</f>
        <v>92.307692307692307</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24</v>
      </c>
      <c r="Q14" s="42">
        <f>(C70*L70)-C14</f>
        <v>2</v>
      </c>
      <c r="R14" s="42">
        <f t="shared" si="5"/>
        <v>26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39</v>
      </c>
      <c r="R15" s="42">
        <f t="shared" si="5"/>
        <v>39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5.5019999999999998</v>
      </c>
      <c r="D42" s="56">
        <f>E6/1000</f>
        <v>3.1E-2</v>
      </c>
      <c r="E42" s="56">
        <f>MAX(C42:D42)</f>
        <v>5.5019999999999998</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1.03</v>
      </c>
      <c r="D44" s="56">
        <f>E8/100</f>
        <v>0</v>
      </c>
      <c r="E44" s="56">
        <f>MAX(C44:D44,0)</f>
        <v>1.03</v>
      </c>
      <c r="G44" s="1" t="str">
        <f>B44</f>
        <v>per 100 referrals</v>
      </c>
      <c r="L44" s="57">
        <v>100</v>
      </c>
      <c r="M44" s="57"/>
      <c r="R44" s="49"/>
    </row>
    <row r="45" spans="2:18" ht="15" hidden="1" customHeight="1">
      <c r="B45" s="49" t="s">
        <v>89</v>
      </c>
      <c r="C45" s="49">
        <f>C11/100</f>
        <v>0.39</v>
      </c>
      <c r="D45" s="49">
        <f>E11/100</f>
        <v>0</v>
      </c>
      <c r="E45" s="56">
        <f>MAX(C45:D45,0)</f>
        <v>0.39</v>
      </c>
      <c r="G45" s="1" t="str">
        <f>B45</f>
        <v>per 100 youth petitioned</v>
      </c>
      <c r="L45" s="57">
        <v>100</v>
      </c>
      <c r="M45" s="57"/>
      <c r="R45" s="49"/>
    </row>
    <row r="46" spans="2:18" ht="15" hidden="1" customHeight="1">
      <c r="B46" s="49" t="s">
        <v>90</v>
      </c>
      <c r="C46" s="49">
        <f>C12/100</f>
        <v>0.26</v>
      </c>
      <c r="D46" s="49">
        <f>E12/100</f>
        <v>0</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5.5019999999999998</v>
      </c>
      <c r="D48" s="56">
        <f>D42</f>
        <v>3.1E-2</v>
      </c>
      <c r="E48" s="56">
        <f>MAX(C48:D48)</f>
        <v>5.5019999999999998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1.03</v>
      </c>
      <c r="D50" s="49">
        <f t="shared" si="9"/>
        <v>0</v>
      </c>
      <c r="E50" s="49">
        <f>MAX(C50:D50)</f>
        <v>1.03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0.39</v>
      </c>
      <c r="D51" s="49">
        <f>IF(($E45&gt;0),D45,D44)</f>
        <v>0</v>
      </c>
      <c r="E51" s="49">
        <f>MAX(C51:D51)</f>
        <v>0.39</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5.5019999999999998</v>
      </c>
      <c r="D54" s="56">
        <f>D48</f>
        <v>3.1E-2</v>
      </c>
      <c r="E54" s="56">
        <f>MAX(C54:D54)</f>
        <v>5.5019999999999998</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1.03</v>
      </c>
      <c r="D56" s="49">
        <f t="shared" si="10"/>
        <v>0</v>
      </c>
      <c r="E56" s="49">
        <f>MAX(C56:D56)</f>
        <v>1.03</v>
      </c>
      <c r="G56" s="1" t="str">
        <f>G50</f>
        <v>per 100 referrals</v>
      </c>
      <c r="L56" s="58">
        <f>IF(($E50&gt;0),L50,L49)</f>
        <v>100</v>
      </c>
      <c r="M56" s="58"/>
    </row>
    <row r="57" spans="2:18" ht="15" hidden="1" customHeight="1">
      <c r="B57" s="49" t="str">
        <f>IF(($E51&gt;0),B51,B49)</f>
        <v>per 100 youth petitioned</v>
      </c>
      <c r="C57" s="49">
        <f>IF(($E51&gt;0),C51,C50)</f>
        <v>0.39</v>
      </c>
      <c r="D57" s="49">
        <f>IF(($E51&gt;0),D51,D50)</f>
        <v>0</v>
      </c>
      <c r="E57" s="49">
        <f>MAX(C57:D57)</f>
        <v>0.39</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5.5019999999999998</v>
      </c>
      <c r="D60" s="56">
        <f>D54</f>
        <v>3.1E-2</v>
      </c>
      <c r="E60" s="56">
        <f>MAX(C60:D60)</f>
        <v>5.5019999999999998</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1.03</v>
      </c>
      <c r="D62" s="49">
        <f t="shared" si="11"/>
        <v>0</v>
      </c>
      <c r="E62" s="49">
        <f>MAX(C62:D62)</f>
        <v>1.03</v>
      </c>
      <c r="G62" s="1" t="str">
        <f>G56</f>
        <v>per 100 referrals</v>
      </c>
      <c r="L62" s="58">
        <f>IF(($E56&gt;0),L56,L55)</f>
        <v>100</v>
      </c>
      <c r="M62" s="58"/>
    </row>
    <row r="63" spans="2:18" ht="15" hidden="1" customHeight="1">
      <c r="B63" s="49" t="str">
        <f>IF(($E57&gt;0),B57,B55)</f>
        <v>per 100 youth petitioned</v>
      </c>
      <c r="C63" s="49">
        <f>IF(($E57&gt;0),C57,C56)</f>
        <v>0.39</v>
      </c>
      <c r="D63" s="49">
        <f>IF(($E57&gt;0),D57,D56)</f>
        <v>0</v>
      </c>
      <c r="E63" s="49">
        <f>MAX(C63:D63)</f>
        <v>0.39</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5.5019999999999998</v>
      </c>
      <c r="D66" s="56">
        <f>D60</f>
        <v>3.1E-2</v>
      </c>
      <c r="E66" s="56">
        <f>MAX(C66:D66)</f>
        <v>5.5019999999999998</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1.03</v>
      </c>
      <c r="D68" s="49">
        <f t="shared" si="12"/>
        <v>0</v>
      </c>
      <c r="E68" s="49">
        <f>MAX(C68:D68)</f>
        <v>1.03</v>
      </c>
      <c r="G68" s="1" t="str">
        <f>G62</f>
        <v>per 100 referrals</v>
      </c>
      <c r="L68" s="58">
        <f>IF(($E62&gt;0),L62,L61)</f>
        <v>100</v>
      </c>
      <c r="M68" s="58">
        <f>IF((B68=G68),1,2)</f>
        <v>1</v>
      </c>
    </row>
    <row r="69" spans="2:13" ht="15" hidden="1" customHeight="1">
      <c r="B69" s="49" t="str">
        <f>IF(($E63&gt;0),B63,B61)</f>
        <v>per 100 youth petitioned</v>
      </c>
      <c r="C69" s="49">
        <f>IF(($E63&gt;0),C63,C62)</f>
        <v>0.39</v>
      </c>
      <c r="D69" s="49">
        <f>IF(($E63&gt;0),D63,D62)</f>
        <v>0</v>
      </c>
      <c r="E69" s="49">
        <f>MAX(C69:D69)</f>
        <v>0.39</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U47JMPN4QEAR-1806752177-35394</_dlc_DocId>
    <_dlc_DocIdUrl xmlns="ac3811b5-0f3e-49e2-ba69-f2ffa0c782af">
      <Url>https://michiganphi.sharepoint.com/sites/CMDMC/_layouts/15/DocIdRedir.aspx?ID=U47JMPN4QEAR-1806752177-35394</Url>
      <Description>U47JMPN4QEAR-1806752177-35394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88F322-CCA5-4BB5-8B79-76A23598F0B3}">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68C09753-BF60-4B3F-A307-331BB8C53331}">
  <ds:schemaRefs>
    <ds:schemaRef ds:uri="http://schemas.microsoft.com/sharepoint/v3/contenttype/forms"/>
  </ds:schemaRefs>
</ds:datastoreItem>
</file>

<file path=customXml/itemProps3.xml><?xml version="1.0" encoding="utf-8"?>
<ds:datastoreItem xmlns:ds="http://schemas.openxmlformats.org/officeDocument/2006/customXml" ds:itemID="{96D41842-C12A-4950-B785-7302735AB876}"/>
</file>

<file path=customXml/itemProps4.xml><?xml version="1.0" encoding="utf-8"?>
<ds:datastoreItem xmlns:ds="http://schemas.openxmlformats.org/officeDocument/2006/customXml" ds:itemID="{23BBEF73-BD52-4D5E-B9EF-F2EAB8F5EC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2b6f3f40-d5f5-464e-88c3-e7447b3843d0</vt:lpwstr>
  </property>
</Properties>
</file>