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192D3114-F1A2-44B9-B49E-713CDD351464}"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4"/>
  <c r="M66" i="4"/>
  <c r="M66" i="8"/>
  <c r="F27" i="8"/>
  <c r="F27" i="3"/>
  <c r="M66" i="3"/>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E44" i="6"/>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D51" i="2" l="1"/>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B64" i="5" s="1"/>
  <c r="C57" i="5"/>
  <c r="C66" i="6"/>
  <c r="E60" i="6"/>
  <c r="C66" i="2"/>
  <c r="E60" i="2"/>
  <c r="E56" i="6"/>
  <c r="E55" i="6"/>
  <c r="E55" i="7"/>
  <c r="E58" i="7"/>
  <c r="C64" i="5" l="1"/>
  <c r="E64" i="5" s="1"/>
  <c r="D64" i="5"/>
  <c r="E58" i="8"/>
  <c r="B64" i="8" s="1"/>
  <c r="L64" i="3"/>
  <c r="B56" i="8"/>
  <c r="L56" i="8"/>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L64" i="8"/>
  <c r="D64" i="8"/>
  <c r="E57" i="8"/>
  <c r="B63" i="8" s="1"/>
  <c r="C63" i="3"/>
  <c r="Q8" i="13"/>
  <c r="I7" i="9"/>
  <c r="B63" i="3"/>
  <c r="E64" i="6"/>
  <c r="B70" i="6" s="1"/>
  <c r="M70" i="6" s="1"/>
  <c r="Z8" i="13"/>
  <c r="R7" i="9"/>
  <c r="D63" i="3"/>
  <c r="E63" i="3" s="1"/>
  <c r="C69" i="3" s="1"/>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3" i="8" l="1"/>
  <c r="E64" i="8"/>
  <c r="L70" i="8" s="1"/>
  <c r="L63" i="8"/>
  <c r="D63" i="8"/>
  <c r="E63" i="8" s="1"/>
  <c r="D69" i="8" s="1"/>
  <c r="L69" i="7"/>
  <c r="C69" i="7"/>
  <c r="D12" i="7" s="1"/>
  <c r="D70" i="6"/>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F14" i="3" l="1"/>
  <c r="Q15" i="7"/>
  <c r="B70" i="8"/>
  <c r="M70" i="8" s="1"/>
  <c r="C70" i="8"/>
  <c r="Q13" i="8" s="1"/>
  <c r="O14" i="6"/>
  <c r="D15" i="7"/>
  <c r="O12" i="7"/>
  <c r="Q12" i="7"/>
  <c r="E70" i="3"/>
  <c r="C69" i="6"/>
  <c r="D12" i="6" s="1"/>
  <c r="E69" i="7"/>
  <c r="F14" i="6"/>
  <c r="D13" i="3"/>
  <c r="O15" i="7"/>
  <c r="R15" i="7" s="1"/>
  <c r="S15" i="7" s="1"/>
  <c r="U15" i="7" s="1"/>
  <c r="J15" i="7" s="1"/>
  <c r="F12" i="7"/>
  <c r="O13" i="6"/>
  <c r="B69" i="6"/>
  <c r="M69" i="6" s="1"/>
  <c r="D14" i="6"/>
  <c r="E70" i="6"/>
  <c r="O13" i="3"/>
  <c r="Q14" i="3"/>
  <c r="Q13" i="3"/>
  <c r="Q13" i="6"/>
  <c r="Q14" i="6"/>
  <c r="O14" i="3"/>
  <c r="D69" i="6"/>
  <c r="F12" i="6" s="1"/>
  <c r="T10" i="3"/>
  <c r="K10" i="4"/>
  <c r="F8" i="7"/>
  <c r="T9" i="4"/>
  <c r="T11" i="4"/>
  <c r="U11" i="4" s="1"/>
  <c r="J11" i="4" s="1"/>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K9" i="4"/>
  <c r="R9" i="4"/>
  <c r="S9" i="4"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O12" i="3"/>
  <c r="R12" i="3" s="1"/>
  <c r="S12" i="3" s="1"/>
  <c r="R9" i="3"/>
  <c r="S9" i="3" s="1"/>
  <c r="Q14" i="8"/>
  <c r="T9" i="3"/>
  <c r="F34" i="8"/>
  <c r="R14" i="5"/>
  <c r="S14" i="5" s="1"/>
  <c r="U14" i="5" s="1"/>
  <c r="J14" i="5" s="1"/>
  <c r="M14" i="5" s="1"/>
  <c r="F33" i="8"/>
  <c r="C70" i="2"/>
  <c r="D14" i="2" s="1"/>
  <c r="T14" i="5"/>
  <c r="O15" i="3"/>
  <c r="K14" i="5"/>
  <c r="Q15" i="3"/>
  <c r="D70" i="2"/>
  <c r="O14" i="2" s="1"/>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2" i="6" l="1"/>
  <c r="R14" i="6"/>
  <c r="S14" i="6" s="1"/>
  <c r="D15" i="6"/>
  <c r="K12" i="7"/>
  <c r="T12" i="7"/>
  <c r="R12" i="7"/>
  <c r="S12" i="7" s="1"/>
  <c r="U12" i="7" s="1"/>
  <c r="J12" i="7" s="1"/>
  <c r="L12" i="7" s="1"/>
  <c r="S13" i="16" s="1"/>
  <c r="D14" i="8"/>
  <c r="D13" i="8"/>
  <c r="R13" i="8"/>
  <c r="S13" i="8" s="1"/>
  <c r="K15" i="7"/>
  <c r="K14" i="6"/>
  <c r="T13" i="6"/>
  <c r="T15" i="7"/>
  <c r="Q15" i="6"/>
  <c r="U13" i="4"/>
  <c r="J13" i="4" s="1"/>
  <c r="L13" i="4" s="1"/>
  <c r="O14" i="16" s="1"/>
  <c r="F32" i="6"/>
  <c r="U14" i="4"/>
  <c r="J14" i="4" s="1"/>
  <c r="L14" i="4" s="1"/>
  <c r="O15" i="16" s="1"/>
  <c r="T14" i="6"/>
  <c r="R13" i="6"/>
  <c r="S13" i="6" s="1"/>
  <c r="U13" i="6" s="1"/>
  <c r="J13" i="6" s="1"/>
  <c r="M13" i="6" s="1"/>
  <c r="G13" i="6" s="1"/>
  <c r="G13" i="9" s="1"/>
  <c r="U10" i="4"/>
  <c r="J10" i="4" s="1"/>
  <c r="M10" i="4" s="1"/>
  <c r="G10" i="4" s="1"/>
  <c r="G11" i="16" s="1"/>
  <c r="F35" i="6"/>
  <c r="R14" i="3"/>
  <c r="S14" i="3" s="1"/>
  <c r="U14" i="3" s="1"/>
  <c r="J14" i="3" s="1"/>
  <c r="M14" i="3" s="1"/>
  <c r="G14" i="3" s="1"/>
  <c r="I15" i="16" s="1"/>
  <c r="K13" i="3"/>
  <c r="T13" i="3"/>
  <c r="R13" i="3"/>
  <c r="S13" i="3" s="1"/>
  <c r="U13" i="3" s="1"/>
  <c r="J13" i="3" s="1"/>
  <c r="M13" i="3" s="1"/>
  <c r="G13" i="3" s="1"/>
  <c r="U9" i="4"/>
  <c r="J9" i="4" s="1"/>
  <c r="M9" i="4" s="1"/>
  <c r="G9" i="4" s="1"/>
  <c r="T13" i="8"/>
  <c r="K13" i="6"/>
  <c r="R14" i="8"/>
  <c r="S14" i="8" s="1"/>
  <c r="O12" i="6"/>
  <c r="T12" i="6" s="1"/>
  <c r="E69" i="6"/>
  <c r="O15" i="6"/>
  <c r="T15" i="6" s="1"/>
  <c r="K14" i="3"/>
  <c r="T14" i="3"/>
  <c r="F15" i="6"/>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M10" i="5"/>
  <c r="L10" i="5"/>
  <c r="Q11" i="16" s="1"/>
  <c r="K10" i="6"/>
  <c r="R10" i="6"/>
  <c r="S10" i="6" s="1"/>
  <c r="T10" i="6"/>
  <c r="K10" i="2"/>
  <c r="R10" i="2"/>
  <c r="S10" i="2" s="1"/>
  <c r="T10" i="2"/>
  <c r="O10" i="8"/>
  <c r="O11" i="8"/>
  <c r="O9" i="8"/>
  <c r="F9" i="8"/>
  <c r="F10" i="8"/>
  <c r="F11" i="8"/>
  <c r="U8" i="4"/>
  <c r="J8" i="4"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3" i="8" l="1"/>
  <c r="J13" i="8" s="1"/>
  <c r="M13" i="8" s="1"/>
  <c r="G13" i="8" s="1"/>
  <c r="Q14" i="13" s="1"/>
  <c r="M13" i="4"/>
  <c r="G13" i="4" s="1"/>
  <c r="G14" i="16" s="1"/>
  <c r="N30" i="4"/>
  <c r="K12" i="6"/>
  <c r="D10" i="9"/>
  <c r="L10" i="4"/>
  <c r="O11" i="16" s="1"/>
  <c r="R12" i="6"/>
  <c r="S12" i="6" s="1"/>
  <c r="U12" i="6" s="1"/>
  <c r="J12" i="6" s="1"/>
  <c r="L12" i="6" s="1"/>
  <c r="R13" i="16" s="1"/>
  <c r="L14" i="3"/>
  <c r="P15" i="16" s="1"/>
  <c r="I15" i="13"/>
  <c r="N30" i="3"/>
  <c r="E14" i="9"/>
  <c r="U13" i="7"/>
  <c r="J13" i="7" s="1"/>
  <c r="M13" i="7" s="1"/>
  <c r="L13" i="3"/>
  <c r="P14" i="16" s="1"/>
  <c r="L13" i="6"/>
  <c r="R14" i="16" s="1"/>
  <c r="M14" i="13"/>
  <c r="G11" i="13"/>
  <c r="L9" i="4"/>
  <c r="O10" i="16" s="1"/>
  <c r="G10" i="16"/>
  <c r="D9" i="9"/>
  <c r="M12" i="7"/>
  <c r="K15" i="6"/>
  <c r="R15" i="6"/>
  <c r="S15" i="6" s="1"/>
  <c r="U15" i="6" s="1"/>
  <c r="J15" i="6" s="1"/>
  <c r="M15" i="6" s="1"/>
  <c r="G15" i="6" s="1"/>
  <c r="G10" i="13"/>
  <c r="U14" i="8"/>
  <c r="J14" i="8" s="1"/>
  <c r="N30" i="8" s="1"/>
  <c r="M13" i="9"/>
  <c r="U14" i="13"/>
  <c r="U12" i="13"/>
  <c r="M11" i="9"/>
  <c r="R12" i="8"/>
  <c r="S12" i="8" s="1"/>
  <c r="T13" i="2"/>
  <c r="U8" i="6"/>
  <c r="J8" i="6" s="1"/>
  <c r="M8" i="6" s="1"/>
  <c r="G8" i="6" s="1"/>
  <c r="M9" i="13" s="1"/>
  <c r="R13" i="2"/>
  <c r="S13" i="2" s="1"/>
  <c r="T15" i="8"/>
  <c r="V11" i="13"/>
  <c r="G14" i="9"/>
  <c r="T12" i="8"/>
  <c r="K12" i="8"/>
  <c r="Q12" i="9"/>
  <c r="R10" i="7"/>
  <c r="S10" i="7" s="1"/>
  <c r="T11" i="7"/>
  <c r="T10" i="7"/>
  <c r="L8" i="2"/>
  <c r="N9" i="16" s="1"/>
  <c r="Y13" i="13"/>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G14" i="13"/>
  <c r="K9" i="7"/>
  <c r="T14" i="2"/>
  <c r="V12" i="13"/>
  <c r="N11" i="9"/>
  <c r="T15" i="5"/>
  <c r="W14" i="13"/>
  <c r="L15" i="3"/>
  <c r="P16" i="1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D13" i="9" l="1"/>
  <c r="L13" i="8"/>
  <c r="T14" i="16" s="1"/>
  <c r="M9" i="9"/>
  <c r="U10" i="13"/>
  <c r="M10" i="9"/>
  <c r="L13" i="7"/>
  <c r="S14" i="16" s="1"/>
  <c r="N13" i="9"/>
  <c r="M12" i="6"/>
  <c r="G12" i="6" s="1"/>
  <c r="G12" i="9" s="1"/>
  <c r="V14" i="13"/>
  <c r="V15" i="13"/>
  <c r="P13" i="9"/>
  <c r="N14" i="9"/>
  <c r="X14" i="13"/>
  <c r="M14" i="8"/>
  <c r="G14" i="8" s="1"/>
  <c r="K15" i="16" s="1"/>
  <c r="L14" i="8"/>
  <c r="T15" i="16" s="1"/>
  <c r="U11" i="7"/>
  <c r="J11" i="7" s="1"/>
  <c r="L11" i="7" s="1"/>
  <c r="S12" i="16" s="1"/>
  <c r="U10" i="7"/>
  <c r="J10" i="7" s="1"/>
  <c r="L10" i="7" s="1"/>
  <c r="S11" i="16" s="1"/>
  <c r="L15" i="6"/>
  <c r="R16" i="16" s="1"/>
  <c r="R13" i="9"/>
  <c r="Z14" i="13"/>
  <c r="K14" i="16"/>
  <c r="I13" i="9"/>
  <c r="U14" i="2"/>
  <c r="J14" i="2" s="1"/>
  <c r="M14" i="2" s="1"/>
  <c r="G14" i="2" s="1"/>
  <c r="E15" i="16" s="1"/>
  <c r="U13" i="2"/>
  <c r="J13" i="2" s="1"/>
  <c r="M13" i="2" s="1"/>
  <c r="G13" i="2" s="1"/>
  <c r="E14" i="16" s="1"/>
  <c r="U12" i="8"/>
  <c r="J12" i="8" s="1"/>
  <c r="M12" i="8" s="1"/>
  <c r="G12" i="8" s="1"/>
  <c r="K13" i="16" s="1"/>
  <c r="L8" i="6"/>
  <c r="R9" i="16" s="1"/>
  <c r="L15" i="5"/>
  <c r="Q16" i="16" s="1"/>
  <c r="T9" i="13"/>
  <c r="L8" i="9"/>
  <c r="X15" i="13"/>
  <c r="P14"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3" i="9" l="1"/>
  <c r="Y14" i="13"/>
  <c r="M13" i="13"/>
  <c r="M10" i="7"/>
  <c r="I14" i="9"/>
  <c r="P15" i="9"/>
  <c r="X16" i="13"/>
  <c r="R14" i="9"/>
  <c r="Z15" i="13"/>
  <c r="M11" i="7"/>
  <c r="Q15" i="13"/>
  <c r="L12" i="8"/>
  <c r="T13" i="16" s="1"/>
  <c r="C13" i="9"/>
  <c r="L14" i="2"/>
  <c r="N15" i="16" s="1"/>
  <c r="N30" i="2"/>
  <c r="L13" i="2"/>
  <c r="N14" i="16" s="1"/>
  <c r="E15" i="13"/>
  <c r="C14" i="9"/>
  <c r="E14"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T15" i="13"/>
  <c r="L13" i="9"/>
  <c r="L14" i="9"/>
  <c r="T14"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<sst xmlns="http://schemas.openxmlformats.org/spreadsheetml/2006/main" count="654" uniqueCount="141">
  <si>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</si>
  <si>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</si>
  <si>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</si>
  <si>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</si>
  <si>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</si>
  <si>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</si>
  <si>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</si>
  <si>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</si>
  <si>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</si>
  <si>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</si>
  <si>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</si>
  <si>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</si>
  <si>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</si>
  <si>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</si>
  <si>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</si>
  <si>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</si>
  <si>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</si>
  <si>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</si>
  <si>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</si>
  <si>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</si>
  <si>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</si>
  <si>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</si>
  <si>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</si>
  <si>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</si>
  <si>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</si>
  <si>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</si>
  <si>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</si>
  <si>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</si>
  <si>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</si>
  <si>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</si>
  <si>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</si>
  <si>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</si>
  <si>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</si>
  <si>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</si>
  <si>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</si>
  <si>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</si>
  <si>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</si>
  <si>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</si>
  <si>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</si>
  <si>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</si>
  <si>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</si>
  <si>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</si>
  <si>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</si>
  <si>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</si>
  <si>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</si>
  <si>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</si>
  <si>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</si>
  <si>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</si>
  <si>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</si>
  <si>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</si>
  <si>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</si>
  <si>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</si>
  <si>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</si>
  <si>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</si>
  <si>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</si>
  <si>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</si>
  <si>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</si>
  <si>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</si>
  <si>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</si>
  <si>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</si>
  <si>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</si>
  <si>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</si>
  <si>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</si>
  <si>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</si>
  <si>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</si>
  <si>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</si>
  <si>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</si>
  <si>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</si>
  <si>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</si>
  <si>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</si>
  <si>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</si>
  <si>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</si>
  <si>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</si>
  <si>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</si>
  <si>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</si>
  <si>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</si>
  <si>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</si>
  <si>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</si>
  <si>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</si>
  <si>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</si>
  <si>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</si>
  <si>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</si>
  <si>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</si>
  <si>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</si>
  <si>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</si>
  <si>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</si>
  <si>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</si>
  <si>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</si>
  <si>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</si>
  <si>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</si>
  <si>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</si>
  <si>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</si>
  <si>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</si>
  <si>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</si>
  <si>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</si>
  <si>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</si>
  <si>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</si>
  <si>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</si>
  <si>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</si>
  <si>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</si>
  <si>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</si>
  <si>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</si>
  <si>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</si>
  <si>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</si>
  <si>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</si>
  <si>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</si>
  <si>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</si>
  <si>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</si>
  <si>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</si>
  <si>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</si>
  <si>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</si>
  <si>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</si>
  <si>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</si>
  <si>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</si>
  <si>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</si>
  <si>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</si>
  <si>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</si>
  <si>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</si>
  <si>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</si>
  <si>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</si>
  <si>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</si>
  <si>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</si>
  <si>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</si>
  <si>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</si>
  <si>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</si>
  <si>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</si>
  <si>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</si>
  <si>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</si>
  <si>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</si>
  <si>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</si>
  <si>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</si>
  <si>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</si>
  <si>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</si>
  <si>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</si>
  <si>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</si>
  <si>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</si>
  <si>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</si>
  <si>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St. Joseph</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</si>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</sst>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St. Joseph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N=16</c:v>
                </c:pt>
                <c:pt idx="2">
                  <c:v>Delinquent Findings, total N=20</c:v>
                </c:pt>
                <c:pt idx="3">
                  <c:v>Petitions, total N=35</c:v>
                </c:pt>
                <c:pt idx="4">
                  <c:v>Detentions, total N=24</c:v>
                </c:pt>
                <c:pt idx="5">
                  <c:v>Referrals, total N=82</c:v>
                </c:pt>
                <c:pt idx="6">
                  <c:v>Arrests, total N=17</c:v>
                </c:pt>
                <c:pt idx="7">
                  <c:v>Population, total N=5990</c:v>
                </c:pt>
              </c:strCache>
            </c:strRef>
          </c:cat>
          <c:val>
            <c:numRef>
              <c:f>'Stacked 100%'!$B$7:$B$14</c:f>
              <c:numCache>
                <c:formatCode>0%</c:formatCode>
                <c:ptCount val="8"/>
                <c:pt idx="0">
                  <c:v>0</c:v>
                </c:pt>
                <c:pt idx="1">
                  <c:v>6.25E-2</c:v>
                </c:pt>
                <c:pt idx="2">
                  <c:v>0.05</c:v>
                </c:pt>
                <c:pt idx="3">
                  <c:v>8.5714285714285715E-2</c:v>
                </c:pt>
                <c:pt idx="4">
                  <c:v>4.1666666666666664E-2</c:v>
                </c:pt>
                <c:pt idx="5">
                  <c:v>7.3170731707317069E-2</c:v>
                </c:pt>
                <c:pt idx="6">
                  <c:v>0</c:v>
                </c:pt>
                <c:pt idx="7">
                  <c:v>5.0083472454090151E-2</c:v>
                </c:pt>
              </c:numCache>
            </c:numRef>
          </c:val>
          <c:extLst>
            <c:ext xmlns:c16="http://schemas.microsoft.com/office/drawing/2014/chart" uri="{C3380CC4-5D6E-409C-BE32-E72D297353CC}">
              <c16:uniqueId val="{00000000-B10A-4FDF-A233-03E8B445203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N=16</c:v>
                </c:pt>
                <c:pt idx="2">
                  <c:v>Delinquent Findings, total N=20</c:v>
                </c:pt>
                <c:pt idx="3">
                  <c:v>Petitions, total N=35</c:v>
                </c:pt>
                <c:pt idx="4">
                  <c:v>Detentions, total N=24</c:v>
                </c:pt>
                <c:pt idx="5">
                  <c:v>Referrals, total N=82</c:v>
                </c:pt>
                <c:pt idx="6">
                  <c:v>Arrests, total N=17</c:v>
                </c:pt>
                <c:pt idx="7">
                  <c:v>Population, total N=5990</c:v>
                </c:pt>
              </c:strCache>
            </c:strRef>
          </c:cat>
          <c:val>
            <c:numRef>
              <c:f>'Stacked 100%'!$C$7:$C$14</c:f>
              <c:numCache>
                <c:formatCode>0%</c:formatCode>
                <c:ptCount val="8"/>
                <c:pt idx="0">
                  <c:v>0</c:v>
                </c:pt>
                <c:pt idx="1">
                  <c:v>6.25E-2</c:v>
                </c:pt>
                <c:pt idx="2">
                  <c:v>0.05</c:v>
                </c:pt>
                <c:pt idx="3">
                  <c:v>5.7142857142857141E-2</c:v>
                </c:pt>
                <c:pt idx="4">
                  <c:v>4.1666666666666664E-2</c:v>
                </c:pt>
                <c:pt idx="5">
                  <c:v>3.6585365853658534E-2</c:v>
                </c:pt>
                <c:pt idx="6">
                  <c:v>0</c:v>
                </c:pt>
                <c:pt idx="7">
                  <c:v>0.14457429048414022</c:v>
                </c:pt>
              </c:numCache>
            </c:numRef>
          </c:val>
          <c:extLst>
            <c:ext xmlns:c16="http://schemas.microsoft.com/office/drawing/2014/chart" uri="{C3380CC4-5D6E-409C-BE32-E72D297353CC}">
              <c16:uniqueId val="{00000001-B10A-4FDF-A233-03E8B445203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N=16</c:v>
                </c:pt>
                <c:pt idx="2">
                  <c:v>Delinquent Findings, total N=20</c:v>
                </c:pt>
                <c:pt idx="3">
                  <c:v>Petitions, total N=35</c:v>
                </c:pt>
                <c:pt idx="4">
                  <c:v>Detentions, total N=24</c:v>
                </c:pt>
                <c:pt idx="5">
                  <c:v>Referrals, total N=82</c:v>
                </c:pt>
                <c:pt idx="6">
                  <c:v>Arrests, total N=17</c:v>
                </c:pt>
                <c:pt idx="7">
                  <c:v>Population, total N=5990</c:v>
                </c:pt>
              </c:strCache>
            </c:strRef>
          </c:cat>
          <c:val>
            <c:numRef>
              <c:f>'Stacked 100%'!$H$7:$H$14</c:f>
              <c:numCache>
                <c:formatCode>0%</c:formatCode>
                <c:ptCount val="8"/>
                <c:pt idx="0">
                  <c:v>0</c:v>
                </c:pt>
                <c:pt idx="1">
                  <c:v>0</c:v>
                </c:pt>
                <c:pt idx="2">
                  <c:v>2.5000000000000001E-3</c:v>
                </c:pt>
                <c:pt idx="3">
                  <c:v>0</c:v>
                </c:pt>
                <c:pt idx="4">
                  <c:v>0</c:v>
                </c:pt>
                <c:pt idx="5">
                  <c:v>1.4872099940511601E-4</c:v>
                </c:pt>
                <c:pt idx="6">
                  <c:v>0</c:v>
                </c:pt>
                <c:pt idx="7">
                  <c:v>2.0902951775496726E-6</c:v>
                </c:pt>
              </c:numCache>
            </c:numRef>
          </c:val>
          <c:extLst>
            <c:ext xmlns:c16="http://schemas.microsoft.com/office/drawing/2014/chart" uri="{C3380CC4-5D6E-409C-BE32-E72D297353CC}">
              <c16:uniqueId val="{00000002-B10A-4FDF-A233-03E8B445203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N=16</c:v>
                </c:pt>
                <c:pt idx="2">
                  <c:v>Delinquent Findings, total N=20</c:v>
                </c:pt>
                <c:pt idx="3">
                  <c:v>Petitions, total N=35</c:v>
                </c:pt>
                <c:pt idx="4">
                  <c:v>Detentions, total N=24</c:v>
                </c:pt>
                <c:pt idx="5">
                  <c:v>Referrals, total N=82</c:v>
                </c:pt>
                <c:pt idx="6">
                  <c:v>Arrests, total N=17</c:v>
                </c:pt>
                <c:pt idx="7">
                  <c:v>Population, total N=5990</c:v>
                </c:pt>
              </c:strCache>
            </c:strRef>
          </c:cat>
          <c:val>
            <c:numRef>
              <c:f>'Stacked 100%'!$I$7:$I$14</c:f>
              <c:numCache>
                <c:formatCode>0%</c:formatCode>
                <c:ptCount val="8"/>
                <c:pt idx="0">
                  <c:v>0</c:v>
                </c:pt>
                <c:pt idx="1">
                  <c:v>0.8125</c:v>
                </c:pt>
                <c:pt idx="2">
                  <c:v>0.8</c:v>
                </c:pt>
                <c:pt idx="3">
                  <c:v>0.82857142857142863</c:v>
                </c:pt>
                <c:pt idx="4">
                  <c:v>0.91666666666666663</c:v>
                </c:pt>
                <c:pt idx="5">
                  <c:v>0.84146341463414631</c:v>
                </c:pt>
                <c:pt idx="6">
                  <c:v>0.94117647058823528</c:v>
                </c:pt>
                <c:pt idx="7">
                  <c:v>0.79282136894824706</c:v>
                </c:pt>
              </c:numCache>
            </c:numRef>
          </c:val>
          <c:extLst>
            <c:ext xmlns:c16="http://schemas.microsoft.com/office/drawing/2014/chart" uri="{C3380CC4-5D6E-409C-BE32-E72D297353CC}">
              <c16:uniqueId val="{00000003-B10A-4FDF-A233-03E8B4452036}"/>
            </c:ext>
          </c:extLst>
        </c:ser>
        <c:dLbls>
          <c:showLegendKey val="0"/>
          <c:showVal val="0"/>
          <c:showCatName val="0"/>
          <c:showSerName val="0"/>
          <c:showPercent val="0"/>
          <c:showBubbleSize val="0"/>
        </c:dLbls>
        <c:gapWidth val="150"/>
        <c:overlap val="100"/>
        <c:axId val="104348288"/>
        <c:axId val="107279872"/>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N=16</c:v>
                </c:pt>
                <c:pt idx="2">
                  <c:v>Delinquent Findings, total N=20</c:v>
                </c:pt>
                <c:pt idx="3">
                  <c:v>Petitions, total N=35</c:v>
                </c:pt>
                <c:pt idx="4">
                  <c:v>Detentions, total N=24</c:v>
                </c:pt>
                <c:pt idx="5">
                  <c:v>Referrals, total N=82</c:v>
                </c:pt>
                <c:pt idx="6">
                  <c:v>Arrests, total N=17</c:v>
                </c:pt>
                <c:pt idx="7">
                  <c:v>Population, total N=5990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10A-4FDF-A233-03E8B4452036}"/>
            </c:ext>
          </c:extLst>
        </c:ser>
        <c:dLbls>
          <c:showLegendKey val="0"/>
          <c:showVal val="0"/>
          <c:showCatName val="0"/>
          <c:showSerName val="0"/>
          <c:showPercent val="0"/>
          <c:showBubbleSize val="0"/>
        </c:dLbls>
        <c:gapWidth val="150"/>
        <c:overlap val="100"/>
        <c:axId val="107929984"/>
        <c:axId val="107905792"/>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79872"/>
        <c:crosses val="autoZero"/>
        <c:auto val="1"/>
        <c:lblAlgn val="ctr"/>
        <c:lblOffset val="100"/>
        <c:noMultiLvlLbl val="0"/>
      </c:catAx>
      <c:valAx>
        <c:axId val="107279872"/>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905792"/>
        <c:scaling>
          <c:orientation val="minMax"/>
        </c:scaling>
        <c:delete val="1"/>
        <c:axPos val="t"/>
        <c:numFmt formatCode="0%" sourceLinked="1"/>
        <c:majorTickMark val="out"/>
        <c:minorTickMark val="none"/>
        <c:tickLblPos val="nextTo"/>
        <c:crossAx val="107929984"/>
        <c:crosses val="max"/>
        <c:crossBetween val="between"/>
      </c:valAx>
      <c:catAx>
        <c:axId val="107929984"/>
        <c:scaling>
          <c:orientation val="minMax"/>
        </c:scaling>
        <c:delete val="1"/>
        <c:axPos val="l"/>
        <c:numFmt formatCode="General" sourceLinked="1"/>
        <c:majorTickMark val="out"/>
        <c:minorTickMark val="none"/>
        <c:tickLblPos val="nextTo"/>
        <c:crossAx val="10790579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5990</v>
      </c>
      <c r="C6" s="11">
        <v>4749</v>
      </c>
      <c r="D6" s="11">
        <v>300</v>
      </c>
      <c r="E6" s="11">
        <v>866</v>
      </c>
      <c r="F6" s="11">
        <v>44</v>
      </c>
      <c r="G6" s="11"/>
      <c r="H6" s="11">
        <v>31</v>
      </c>
      <c r="I6" s="11"/>
      <c r="J6" s="91">
        <f>SUM(D6:I6)</f>
        <v>1241</v>
      </c>
      <c r="K6" s="92"/>
    </row>
    <row r="7" spans="1:11" ht="15.75" customHeight="1" thickBot="1" x14ac:dyDescent="0.25">
      <c r="A7" s="10" t="s">
        <v>8</v>
      </c>
      <c r="B7" s="11">
        <f t="shared" ref="B7:B15" si="0">SUM(C7:I7)+K7</f>
        <v>17</v>
      </c>
      <c r="C7" s="11">
        <v>16</v>
      </c>
      <c r="D7" s="11"/>
      <c r="E7" s="11"/>
      <c r="F7" s="11"/>
      <c r="G7" s="11"/>
      <c r="H7" s="11"/>
      <c r="I7" s="11"/>
      <c r="J7" s="91">
        <f t="shared" ref="J7:J15" si="1">SUM(D7:I7)</f>
        <v>0</v>
      </c>
      <c r="K7" s="92">
        <v>1</v>
      </c>
    </row>
    <row r="8" spans="1:11" ht="15.75" customHeight="1" thickBot="1" x14ac:dyDescent="0.25">
      <c r="A8" s="10" t="s">
        <v>9</v>
      </c>
      <c r="B8" s="11">
        <f t="shared" si="0"/>
        <v>82</v>
      </c>
      <c r="C8" s="11">
        <v>69</v>
      </c>
      <c r="D8" s="11">
        <v>6</v>
      </c>
      <c r="E8" s="11">
        <v>3</v>
      </c>
      <c r="F8" s="11"/>
      <c r="G8" s="11"/>
      <c r="H8" s="11"/>
      <c r="I8" s="11">
        <v>1</v>
      </c>
      <c r="J8" s="91">
        <f t="shared" si="1"/>
        <v>10</v>
      </c>
      <c r="K8" s="92">
        <v>3</v>
      </c>
    </row>
    <row r="9" spans="1:11" ht="15.75" customHeight="1" thickBot="1" x14ac:dyDescent="0.25">
      <c r="A9" s="10" t="s">
        <v>10</v>
      </c>
      <c r="B9" s="11">
        <f t="shared" si="0"/>
        <v>7</v>
      </c>
      <c r="C9" s="11">
        <v>5</v>
      </c>
      <c r="D9" s="11">
        <v>1</v>
      </c>
      <c r="E9" s="11"/>
      <c r="F9" s="11"/>
      <c r="G9" s="11"/>
      <c r="H9" s="11"/>
      <c r="I9" s="11"/>
      <c r="J9" s="91">
        <f t="shared" si="1"/>
        <v>1</v>
      </c>
      <c r="K9" s="92">
        <v>1</v>
      </c>
    </row>
    <row r="10" spans="1:11" ht="15.75" customHeight="1" thickBot="1" x14ac:dyDescent="0.25">
      <c r="A10" s="10" t="s">
        <v>11</v>
      </c>
      <c r="B10" s="11">
        <f t="shared" si="0"/>
        <v>24</v>
      </c>
      <c r="C10" s="11">
        <v>22</v>
      </c>
      <c r="D10" s="11">
        <v>1</v>
      </c>
      <c r="E10" s="11">
        <v>1</v>
      </c>
      <c r="F10" s="11"/>
      <c r="G10" s="11"/>
      <c r="H10" s="11"/>
      <c r="I10" s="11"/>
      <c r="J10" s="91">
        <f t="shared" si="1"/>
        <v>2</v>
      </c>
      <c r="K10" s="92"/>
    </row>
    <row r="11" spans="1:11" ht="15.75" customHeight="1" thickBot="1" x14ac:dyDescent="0.25">
      <c r="A11" s="10" t="s">
        <v>12</v>
      </c>
      <c r="B11" s="11">
        <f t="shared" si="0"/>
        <v>35</v>
      </c>
      <c r="C11" s="11">
        <v>29</v>
      </c>
      <c r="D11" s="11">
        <v>3</v>
      </c>
      <c r="E11" s="11">
        <v>2</v>
      </c>
      <c r="F11" s="11"/>
      <c r="G11" s="11"/>
      <c r="H11" s="11"/>
      <c r="I11" s="11"/>
      <c r="J11" s="91">
        <f t="shared" si="1"/>
        <v>5</v>
      </c>
      <c r="K11" s="92">
        <v>1</v>
      </c>
    </row>
    <row r="12" spans="1:11" ht="15.75" customHeight="1" thickBot="1" x14ac:dyDescent="0.25">
      <c r="A12" s="10" t="s">
        <v>13</v>
      </c>
      <c r="B12" s="11">
        <f t="shared" si="0"/>
        <v>20</v>
      </c>
      <c r="C12" s="11">
        <v>16</v>
      </c>
      <c r="D12" s="11">
        <v>1</v>
      </c>
      <c r="E12" s="11">
        <v>1</v>
      </c>
      <c r="F12" s="11"/>
      <c r="G12" s="11"/>
      <c r="H12" s="11"/>
      <c r="I12" s="11">
        <v>1</v>
      </c>
      <c r="J12" s="91">
        <f t="shared" si="1"/>
        <v>3</v>
      </c>
      <c r="K12" s="92">
        <v>1</v>
      </c>
    </row>
    <row r="13" spans="1:11" ht="15.75" customHeight="1" thickBot="1" x14ac:dyDescent="0.25">
      <c r="A13" s="10" t="s">
        <v>133</v>
      </c>
      <c r="B13" s="11">
        <f t="shared" si="0"/>
        <v>11</v>
      </c>
      <c r="C13" s="11">
        <v>8</v>
      </c>
      <c r="D13" s="11">
        <v>2</v>
      </c>
      <c r="E13" s="11"/>
      <c r="F13" s="11"/>
      <c r="G13" s="11"/>
      <c r="H13" s="11"/>
      <c r="I13" s="11"/>
      <c r="J13" s="91">
        <f t="shared" si="1"/>
        <v>2</v>
      </c>
      <c r="K13" s="92">
        <v>1</v>
      </c>
    </row>
    <row r="14" spans="1:11" ht="26.25" customHeight="1" thickBot="1" x14ac:dyDescent="0.25">
      <c r="A14" s="10" t="s">
        <v>123</v>
      </c>
      <c r="B14" s="11">
        <f t="shared" si="0"/>
        <v>16</v>
      </c>
      <c r="C14" s="11">
        <v>13</v>
      </c>
      <c r="D14" s="11">
        <v>1</v>
      </c>
      <c r="E14" s="11">
        <v>1</v>
      </c>
      <c r="F14" s="11"/>
      <c r="G14" s="11"/>
      <c r="H14" s="11"/>
      <c r="I14" s="11"/>
      <c r="J14" s="91">
        <f t="shared" si="1"/>
        <v>2</v>
      </c>
      <c r="K14" s="92">
        <v>1</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Joseph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4749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3.3691303432301538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4733</v>
      </c>
      <c r="R7" s="42">
        <f t="shared" ref="R7:R15" si="5">SUM(N7:Q7)</f>
        <v>4749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69</v>
      </c>
      <c r="D8" s="34">
        <f>IF((AND(C67&gt;0,C8&gt;0)),(C8/C67),0)</f>
        <v>431.25</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69</v>
      </c>
      <c r="Q8" s="42">
        <f>(C$67*L67)-C8</f>
        <v>-53</v>
      </c>
      <c r="R8" s="42">
        <f t="shared" si="5"/>
        <v>16.049999999999997</v>
      </c>
      <c r="S8" s="30">
        <f t="shared" si="6"/>
        <v>2527.9151249999986</v>
      </c>
      <c r="T8" s="30">
        <f t="shared" si="7"/>
        <v>-3021.200000000003</v>
      </c>
      <c r="U8" s="31">
        <f t="shared" si="8"/>
        <v>-0.83672551469614598</v>
      </c>
    </row>
    <row r="9" spans="2:21" ht="18" customHeight="1" x14ac:dyDescent="0.25">
      <c r="B9" s="32" t="str">
        <f>'Data Entry'!A9</f>
        <v xml:space="preserve">4. Cases Diverted </v>
      </c>
      <c r="C9" s="33">
        <f>'Data Entry'!C9</f>
        <v>5</v>
      </c>
      <c r="D9" s="34">
        <f>IF((AND(C68&gt;0,C9&gt;0)),((C9/C68)),0)</f>
        <v>7.2463768115942031</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5</v>
      </c>
      <c r="Q9" s="42">
        <f>(C$68*L68)-C9</f>
        <v>64</v>
      </c>
      <c r="R9" s="42">
        <f t="shared" si="5"/>
        <v>70</v>
      </c>
      <c r="S9" s="30">
        <f t="shared" si="6"/>
        <v>1750</v>
      </c>
      <c r="T9" s="30">
        <f t="shared" si="7"/>
        <v>22425</v>
      </c>
      <c r="U9" s="31">
        <f t="shared" si="8"/>
        <v>7.8037904124860641E-2</v>
      </c>
    </row>
    <row r="10" spans="2:21" ht="18" customHeight="1" x14ac:dyDescent="0.25">
      <c r="B10" s="32" t="str">
        <f>'Data Entry'!A10</f>
        <v>5. Cases Involving Secure Detention</v>
      </c>
      <c r="C10" s="33">
        <f>'Data Entry'!C10</f>
        <v>22</v>
      </c>
      <c r="D10" s="34">
        <f>IF(((AND(C68&gt;0,C10&gt;0))),(C10/(C68)),0)</f>
        <v>31.884057971014496</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22</v>
      </c>
      <c r="Q10" s="42">
        <f>(C$68*L68)-C10</f>
        <v>47</v>
      </c>
      <c r="R10" s="42">
        <f t="shared" si="5"/>
        <v>70</v>
      </c>
      <c r="S10" s="30">
        <f t="shared" si="6"/>
        <v>33880</v>
      </c>
      <c r="T10" s="30">
        <f t="shared" si="7"/>
        <v>72864</v>
      </c>
      <c r="U10" s="31">
        <f t="shared" si="8"/>
        <v>0.46497584541062803</v>
      </c>
    </row>
    <row r="11" spans="2:21" ht="18" customHeight="1" x14ac:dyDescent="0.25">
      <c r="B11" s="32" t="str">
        <f>'Data Entry'!A11</f>
        <v>6. Cases Petitioned (Charge Filed)</v>
      </c>
      <c r="C11" s="33">
        <f>'Data Entry'!C11</f>
        <v>29</v>
      </c>
      <c r="D11" s="34">
        <f>IF(((AND(C68&gt;0,C11&gt;0))),(C11/(C68)),0)</f>
        <v>42.028985507246382</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29</v>
      </c>
      <c r="Q11" s="42">
        <f>(C$68*L68)-C11</f>
        <v>40</v>
      </c>
      <c r="R11" s="42">
        <f t="shared" si="5"/>
        <v>70</v>
      </c>
      <c r="S11" s="30">
        <f t="shared" si="6"/>
        <v>58870</v>
      </c>
      <c r="T11" s="30">
        <f t="shared" si="7"/>
        <v>82041</v>
      </c>
      <c r="U11" s="31">
        <f t="shared" si="8"/>
        <v>0.71756804524566986</v>
      </c>
    </row>
    <row r="12" spans="2:21" ht="18" customHeight="1" x14ac:dyDescent="0.25">
      <c r="B12" s="32" t="str">
        <f>'Data Entry'!A12</f>
        <v>7. Cases Resulting in Delinquent Findings</v>
      </c>
      <c r="C12" s="33">
        <f>'Data Entry'!C12</f>
        <v>16</v>
      </c>
      <c r="D12" s="34">
        <f>IF(((AND(C69&gt;0,C12&gt;0))),(C12/(C69)),0)</f>
        <v>55.172413793103452</v>
      </c>
      <c r="E12" s="33">
        <f>'Data Entry'!I12</f>
        <v>1</v>
      </c>
      <c r="F12" s="34">
        <f>IF(((AND($D$69&gt;0,$E$12&gt;0))),(E12/(D69)),0)</f>
        <v>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1</v>
      </c>
      <c r="O12" s="42">
        <f>(D69*L69)-E12</f>
        <v>-1</v>
      </c>
      <c r="P12" s="42">
        <f t="shared" si="4"/>
        <v>16</v>
      </c>
      <c r="Q12" s="42">
        <f>(C69*L69)-C12</f>
        <v>12.999999999999996</v>
      </c>
      <c r="R12" s="42">
        <f t="shared" si="5"/>
        <v>28.999999999999996</v>
      </c>
      <c r="S12" s="30">
        <f t="shared" si="6"/>
        <v>24388.999999999989</v>
      </c>
      <c r="T12" s="30">
        <f t="shared" si="7"/>
        <v>0</v>
      </c>
      <c r="U12" s="31" t="e">
        <f t="shared" si="8"/>
        <v>#DIV/0!</v>
      </c>
    </row>
    <row r="13" spans="2:21" ht="18" customHeight="1" x14ac:dyDescent="0.25">
      <c r="B13" s="32" t="str">
        <f>'Data Entry'!A13</f>
        <v>8. Cases Resulting in Probation Placement</v>
      </c>
      <c r="C13" s="33">
        <f>'Data Entry'!C13</f>
        <v>8</v>
      </c>
      <c r="D13" s="34">
        <f>IF(((AND(C70&gt;0,C13&gt;0))),(C13/(C70)),0)</f>
        <v>50</v>
      </c>
      <c r="E13" s="33">
        <f>'Data Entry'!I13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0</v>
      </c>
      <c r="O13" s="42">
        <f>(D70*L70)-E13</f>
        <v>1</v>
      </c>
      <c r="P13" s="42">
        <f t="shared" si="4"/>
        <v>8</v>
      </c>
      <c r="Q13" s="42">
        <f>(C70*L70)-C13</f>
        <v>8</v>
      </c>
      <c r="R13" s="42">
        <f t="shared" si="5"/>
        <v>17</v>
      </c>
      <c r="S13" s="30">
        <f t="shared" si="6"/>
        <v>1088</v>
      </c>
      <c r="T13" s="30">
        <f t="shared" si="7"/>
        <v>1152</v>
      </c>
      <c r="U13" s="31">
        <f t="shared" si="8"/>
        <v>0.94444444444444442</v>
      </c>
    </row>
    <row r="14" spans="2:21" ht="30.75" customHeight="1" x14ac:dyDescent="0.25">
      <c r="B14" s="32" t="str">
        <f>'Data Entry'!A14</f>
        <v xml:space="preserve">9. Cases Resulting in Confinement in Secure Juvenile Correctional Facilities </v>
      </c>
      <c r="C14" s="33">
        <f>'Data Entry'!C14</f>
        <v>13</v>
      </c>
      <c r="D14" s="34">
        <f>IF(((AND(C70&gt;0,C14&gt;0))), ((C14/(C70))),0)</f>
        <v>81.25</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13</v>
      </c>
      <c r="Q14" s="42">
        <f>(C70*L70)-C14</f>
        <v>3</v>
      </c>
      <c r="R14" s="42">
        <f t="shared" si="5"/>
        <v>17</v>
      </c>
      <c r="S14" s="30">
        <f t="shared" si="6"/>
        <v>2873</v>
      </c>
      <c r="T14" s="30">
        <f t="shared" si="7"/>
        <v>832</v>
      </c>
      <c r="U14" s="31">
        <f t="shared" si="8"/>
        <v>3.453125</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4.7489999999999997</v>
      </c>
      <c r="D42" s="56">
        <f>E6/1000</f>
        <v>0</v>
      </c>
      <c r="E42" s="56">
        <f>MAX(C42:D42)</f>
        <v>4.7489999999999997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0.69</v>
      </c>
      <c r="D44" s="56">
        <f>E8/100</f>
        <v>0.01</v>
      </c>
      <c r="E44" s="56">
        <f>MAX(C44:D44,0)</f>
        <v>0.69</v>
      </c>
      <c r="G44" s="1" t="str">
        <f>B44</f>
        <v>per 100 referrals</v>
      </c>
      <c r="L44" s="57">
        <v>100</v>
      </c>
      <c r="M44" s="57"/>
      <c r="R44" s="49"/>
    </row>
    <row r="45" spans="2:18" ht="15" hidden="1" customHeight="1" x14ac:dyDescent="0.25">
      <c r="B45" s="49" t="s">
        <v>89</v>
      </c>
      <c r="C45" s="49">
        <f>C11/100</f>
        <v>0.28999999999999998</v>
      </c>
      <c r="D45" s="49">
        <f>E11/100</f>
        <v>0</v>
      </c>
      <c r="E45" s="56">
        <f>MAX(C45:D45,0)</f>
        <v>0.28999999999999998</v>
      </c>
      <c r="G45" s="1" t="str">
        <f>B45</f>
        <v>per 100 youth petitioned</v>
      </c>
      <c r="L45" s="57">
        <v>100</v>
      </c>
      <c r="M45" s="57"/>
      <c r="R45" s="49"/>
    </row>
    <row r="46" spans="2:18" ht="15" hidden="1" customHeight="1" x14ac:dyDescent="0.25">
      <c r="B46" s="49" t="s">
        <v>90</v>
      </c>
      <c r="C46" s="49">
        <f>C12/100</f>
        <v>0.16</v>
      </c>
      <c r="D46" s="49">
        <f>E12/100</f>
        <v>0.01</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4.7489999999999997</v>
      </c>
      <c r="D48" s="56">
        <f>D42</f>
        <v>0</v>
      </c>
      <c r="E48" s="56">
        <f>MAX(C48:D48)</f>
        <v>4.7489999999999997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0.69</v>
      </c>
      <c r="D50" s="49">
        <f t="shared" si="9"/>
        <v>0.01</v>
      </c>
      <c r="E50" s="49">
        <f>MAX(C50:D50)</f>
        <v>0.69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0.28999999999999998</v>
      </c>
      <c r="D51" s="49">
        <f>IF(($E45&gt;0),D45,D44)</f>
        <v>0</v>
      </c>
      <c r="E51" s="49">
        <f>MAX(C51:D51)</f>
        <v>0.28999999999999998</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0.01</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4.7489999999999997</v>
      </c>
      <c r="D54" s="56">
        <f>D48</f>
        <v>0</v>
      </c>
      <c r="E54" s="56">
        <f>MAX(C54:D54)</f>
        <v>4.7489999999999997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0.69</v>
      </c>
      <c r="D56" s="49">
        <f t="shared" si="10"/>
        <v>0.01</v>
      </c>
      <c r="E56" s="49">
        <f>MAX(C56:D56)</f>
        <v>0.69</v>
      </c>
      <c r="G56" s="1" t="str">
        <f>G50</f>
        <v>per 100 referrals</v>
      </c>
      <c r="L56" s="58">
        <f>IF(($E50&gt;0),L50,L49)</f>
        <v>100</v>
      </c>
      <c r="M56" s="58"/>
    </row>
    <row r="57" spans="2:18" ht="15" hidden="1" customHeight="1" x14ac:dyDescent="0.25">
      <c r="B57" s="49" t="str">
        <f>IF(($E51&gt;0),B51,B49)</f>
        <v>per 100 youth petitioned</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0.01</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4.7489999999999997</v>
      </c>
      <c r="D60" s="56">
        <f>D54</f>
        <v>0</v>
      </c>
      <c r="E60" s="56">
        <f>MAX(C60:D60)</f>
        <v>4.7489999999999997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0.69</v>
      </c>
      <c r="D62" s="49">
        <f t="shared" si="11"/>
        <v>0.01</v>
      </c>
      <c r="E62" s="49">
        <f>MAX(C62:D62)</f>
        <v>0.69</v>
      </c>
      <c r="G62" s="1" t="str">
        <f>G56</f>
        <v>per 100 referrals</v>
      </c>
      <c r="L62" s="58">
        <f>IF(($E56&gt;0),L56,L55)</f>
        <v>100</v>
      </c>
      <c r="M62" s="58"/>
    </row>
    <row r="63" spans="2:18" ht="15" hidden="1" customHeight="1" x14ac:dyDescent="0.25">
      <c r="B63" s="49" t="str">
        <f>IF(($E57&gt;0),B57,B55)</f>
        <v>per 100 youth petitioned</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0.01</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4.7489999999999997</v>
      </c>
      <c r="D66" s="56">
        <f>D60</f>
        <v>0</v>
      </c>
      <c r="E66" s="56">
        <f>MAX(C66:D66)</f>
        <v>4.7489999999999997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0.69</v>
      </c>
      <c r="D68" s="49">
        <f t="shared" si="12"/>
        <v>0.01</v>
      </c>
      <c r="E68" s="49">
        <f>MAX(C68:D68)</f>
        <v>0.69</v>
      </c>
      <c r="G68" s="1" t="str">
        <f>G62</f>
        <v>per 100 referrals</v>
      </c>
      <c r="L68" s="58">
        <f>IF(($E62&gt;0),L62,L61)</f>
        <v>100</v>
      </c>
      <c r="M68" s="58">
        <f>IF((B68=G68),1,2)</f>
        <v>1</v>
      </c>
    </row>
    <row r="69" spans="2:13" ht="15" hidden="1" customHeight="1" x14ac:dyDescent="0.25">
      <c r="B69" s="49" t="str">
        <f>IF(($E63&gt;0),B63,B61)</f>
        <v>per 100 youth petitioned</v>
      </c>
      <c r="C69" s="49">
        <f>IF(($E63&gt;0),C63,C62)</f>
        <v>0.28999999999999998</v>
      </c>
      <c r="D69" s="49">
        <f>IF(($E63&gt;0),D63,D62)</f>
        <v>0</v>
      </c>
      <c r="E69" s="49">
        <f>MAX(C69:D69)</f>
        <v>0.28999999999999998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0.01</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Joseph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4749</v>
      </c>
      <c r="D6" s="34"/>
      <c r="E6" s="33">
        <f>'Data Entry'!J6</f>
        <v>1241</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3.3691303432301538</v>
      </c>
      <c r="E7" s="33">
        <f>'Data Entry'!J7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1241</v>
      </c>
      <c r="P7" s="42">
        <f t="shared" ref="P7:P15" si="4">C7</f>
        <v>16</v>
      </c>
      <c r="Q7" s="42">
        <f>C6-C7</f>
        <v>4733</v>
      </c>
      <c r="R7" s="42">
        <f t="shared" ref="R7:R15" si="5">SUM(N7:Q7)</f>
        <v>5990</v>
      </c>
      <c r="S7" s="30">
        <f t="shared" ref="S7:S15" si="6">R7*((((N7*Q7)-(O7*P7))^2))</f>
        <v>2361621808640</v>
      </c>
      <c r="T7" s="30">
        <f t="shared" ref="T7:T15" si="7">(N7+O7)*(P7+Q7)*(N7+P7)*(O7+Q7)</f>
        <v>563325164256</v>
      </c>
      <c r="U7" s="31">
        <f t="shared" ref="U7:U15" si="8">IF((S7&gt;0),S7/T7,"- -")</f>
        <v>4.192288856399772</v>
      </c>
    </row>
    <row r="8" spans="2:21" ht="18" customHeight="1" x14ac:dyDescent="0.25">
      <c r="B8" s="32" t="str">
        <f>'Data Entry'!A8</f>
        <v>3. Refer to Juvenile Court</v>
      </c>
      <c r="C8" s="33">
        <f>'Data Entry'!C8</f>
        <v>69</v>
      </c>
      <c r="D8" s="34">
        <f>IF((AND(C67&gt;0,C8&gt;0)),(C8/C67),0)</f>
        <v>431.25</v>
      </c>
      <c r="E8" s="33">
        <f>'Data Entry'!J8</f>
        <v>10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10</v>
      </c>
      <c r="O8" s="42">
        <f>((D67*L67)-E8)+0.05</f>
        <v>-9.9499999999999993</v>
      </c>
      <c r="P8" s="42">
        <f t="shared" si="4"/>
        <v>69</v>
      </c>
      <c r="Q8" s="42">
        <f>(C$67*L67)-C8</f>
        <v>-53</v>
      </c>
      <c r="R8" s="42">
        <f t="shared" si="5"/>
        <v>16.049999999999997</v>
      </c>
      <c r="S8" s="30">
        <f t="shared" si="6"/>
        <v>393351.83512499969</v>
      </c>
      <c r="T8" s="30">
        <f t="shared" si="7"/>
        <v>-3978.4400000000569</v>
      </c>
      <c r="U8" s="31">
        <f t="shared" si="8"/>
        <v>-98.870872785562696</v>
      </c>
    </row>
    <row r="9" spans="2:21" ht="18" customHeight="1" x14ac:dyDescent="0.25">
      <c r="B9" s="32" t="str">
        <f>'Data Entry'!A9</f>
        <v xml:space="preserve">4. Cases Diverted </v>
      </c>
      <c r="C9" s="33">
        <f>'Data Entry'!C9</f>
        <v>5</v>
      </c>
      <c r="D9" s="34">
        <f>IF((AND(C68&gt;0,C9&gt;0)),((C9/C68)),0)</f>
        <v>7.2463768115942031</v>
      </c>
      <c r="E9" s="33">
        <f>'Data Entry'!J9</f>
        <v>1</v>
      </c>
      <c r="F9" s="34">
        <f>IF((AND($E$9&gt;0,$D$68&gt;0)),(($E$9/$D$68)),0)</f>
        <v>10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9</v>
      </c>
      <c r="P9" s="42">
        <f t="shared" si="4"/>
        <v>5</v>
      </c>
      <c r="Q9" s="42">
        <f>(C$68*L68)-C9</f>
        <v>64</v>
      </c>
      <c r="R9" s="42">
        <f t="shared" si="5"/>
        <v>79</v>
      </c>
      <c r="S9" s="30">
        <f t="shared" si="6"/>
        <v>28519</v>
      </c>
      <c r="T9" s="30">
        <f t="shared" si="7"/>
        <v>302220</v>
      </c>
      <c r="U9" s="31">
        <f t="shared" si="8"/>
        <v>9.4365032095824239E-2</v>
      </c>
    </row>
    <row r="10" spans="2:21" ht="18" customHeight="1" x14ac:dyDescent="0.25">
      <c r="B10" s="32" t="str">
        <f>'Data Entry'!A10</f>
        <v>5. Cases Involving Secure Detention</v>
      </c>
      <c r="C10" s="33">
        <f>'Data Entry'!C10</f>
        <v>22</v>
      </c>
      <c r="D10" s="34">
        <f>IF(((AND(C68&gt;0,C10&gt;0))),(C10/(C68)),0)</f>
        <v>31.884057971014496</v>
      </c>
      <c r="E10" s="33">
        <f>'Data Entry'!J10</f>
        <v>2</v>
      </c>
      <c r="F10" s="34">
        <f>IF(((AND($E$10&gt;0,$D$68&gt;0))),($E$10/($D$68)),0)</f>
        <v>20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8</v>
      </c>
      <c r="P10" s="42">
        <f t="shared" si="4"/>
        <v>22</v>
      </c>
      <c r="Q10" s="42">
        <f>(C$68*L68)-C10</f>
        <v>47</v>
      </c>
      <c r="R10" s="42">
        <f t="shared" si="5"/>
        <v>79</v>
      </c>
      <c r="S10" s="30">
        <f t="shared" si="6"/>
        <v>531196</v>
      </c>
      <c r="T10" s="30">
        <f t="shared" si="7"/>
        <v>910800</v>
      </c>
      <c r="U10" s="31">
        <f t="shared" si="8"/>
        <v>0.58321914800175667</v>
      </c>
    </row>
    <row r="11" spans="2:21" ht="18" customHeight="1" x14ac:dyDescent="0.25">
      <c r="B11" s="32" t="str">
        <f>'Data Entry'!A11</f>
        <v>6. Cases Petitioned (Charge Filed)</v>
      </c>
      <c r="C11" s="33">
        <f>'Data Entry'!C11</f>
        <v>29</v>
      </c>
      <c r="D11" s="34">
        <f>IF(((AND(C68&gt;0,C11&gt;0))),(C11/(C68)),0)</f>
        <v>42.028985507246382</v>
      </c>
      <c r="E11" s="33">
        <f>'Data Entry'!J11</f>
        <v>5</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5</v>
      </c>
      <c r="O11" s="42">
        <f>(D$68*L68)-E11</f>
        <v>5</v>
      </c>
      <c r="P11" s="42">
        <f t="shared" si="4"/>
        <v>29</v>
      </c>
      <c r="Q11" s="42">
        <f>(C$68*L68)-C11</f>
        <v>40</v>
      </c>
      <c r="R11" s="42">
        <f t="shared" si="5"/>
        <v>79</v>
      </c>
      <c r="S11" s="30">
        <f t="shared" si="6"/>
        <v>238975</v>
      </c>
      <c r="T11" s="30">
        <f t="shared" si="7"/>
        <v>1055700</v>
      </c>
      <c r="U11" s="31">
        <f t="shared" si="8"/>
        <v>0.22636639196741498</v>
      </c>
    </row>
    <row r="12" spans="2:21" ht="18" customHeight="1" x14ac:dyDescent="0.25">
      <c r="B12" s="32" t="str">
        <f>'Data Entry'!A12</f>
        <v>7. Cases Resulting in Delinquent Findings</v>
      </c>
      <c r="C12" s="33">
        <f>'Data Entry'!C12</f>
        <v>16</v>
      </c>
      <c r="D12" s="34">
        <f>IF(((AND(C69&gt;0,C12&gt;0))),(C12/(C69)),0)</f>
        <v>55.172413793103452</v>
      </c>
      <c r="E12" s="33">
        <f>'Data Entry'!J12</f>
        <v>3</v>
      </c>
      <c r="F12" s="34">
        <f>IF(((AND($D$69&gt;0,$E$12&gt;0))),(E12/(D69)),0)</f>
        <v>60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2</v>
      </c>
      <c r="P12" s="42">
        <f t="shared" si="4"/>
        <v>16</v>
      </c>
      <c r="Q12" s="42">
        <f>(C69*L69)-C12</f>
        <v>12.999999999999996</v>
      </c>
      <c r="R12" s="42">
        <f t="shared" si="5"/>
        <v>34</v>
      </c>
      <c r="S12" s="30">
        <f t="shared" si="6"/>
        <v>1665.9999999999932</v>
      </c>
      <c r="T12" s="30">
        <f t="shared" si="7"/>
        <v>41324.999999999985</v>
      </c>
      <c r="U12" s="31">
        <f t="shared" si="8"/>
        <v>4.031457955232895E-2</v>
      </c>
    </row>
    <row r="13" spans="2:21" ht="18" customHeight="1" x14ac:dyDescent="0.25">
      <c r="B13" s="32" t="str">
        <f>'Data Entry'!A13</f>
        <v>8. Cases Resulting in Probation Placement</v>
      </c>
      <c r="C13" s="33">
        <f>'Data Entry'!C13</f>
        <v>8</v>
      </c>
      <c r="D13" s="34">
        <f>IF(((AND(C70&gt;0,C13&gt;0))),(C13/(C70)),0)</f>
        <v>50</v>
      </c>
      <c r="E13" s="33">
        <f>'Data Entry'!J13</f>
        <v>2</v>
      </c>
      <c r="F13" s="34">
        <f>IF(((AND($D$70&gt;0,$E$13&gt;0))),($E$13/($D$70)),0)</f>
        <v>66.666666666666671</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1</v>
      </c>
      <c r="P13" s="42">
        <f t="shared" si="4"/>
        <v>8</v>
      </c>
      <c r="Q13" s="42">
        <f>(C70*L70)-C13</f>
        <v>8</v>
      </c>
      <c r="R13" s="42">
        <f t="shared" si="5"/>
        <v>19</v>
      </c>
      <c r="S13" s="30">
        <f t="shared" si="6"/>
        <v>1216</v>
      </c>
      <c r="T13" s="30">
        <f t="shared" si="7"/>
        <v>4320</v>
      </c>
      <c r="U13" s="31">
        <f t="shared" si="8"/>
        <v>0.2814814814814815</v>
      </c>
    </row>
    <row r="14" spans="2:21" ht="30.75" customHeight="1" x14ac:dyDescent="0.25">
      <c r="B14" s="32" t="str">
        <f>'Data Entry'!A14</f>
        <v xml:space="preserve">9. Cases Resulting in Confinement in Secure Juvenile Correctional Facilities </v>
      </c>
      <c r="C14" s="33">
        <f>'Data Entry'!C14</f>
        <v>13</v>
      </c>
      <c r="D14" s="34">
        <f>IF(((AND(C70&gt;0,C14&gt;0))), ((C14/(C70))),0)</f>
        <v>81.25</v>
      </c>
      <c r="E14" s="33">
        <f>'Data Entry'!J14</f>
        <v>2</v>
      </c>
      <c r="F14" s="34">
        <f>IF(((AND($D$70&gt;0,$E$14&gt;0))), (($E$14/($D$70))),0)</f>
        <v>66.666666666666671</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1</v>
      </c>
      <c r="P14" s="42">
        <f t="shared" si="4"/>
        <v>13</v>
      </c>
      <c r="Q14" s="42">
        <f>(C70*L70)-C14</f>
        <v>3</v>
      </c>
      <c r="R14" s="42">
        <f t="shared" si="5"/>
        <v>19</v>
      </c>
      <c r="S14" s="30">
        <f t="shared" si="6"/>
        <v>931</v>
      </c>
      <c r="T14" s="30">
        <f t="shared" si="7"/>
        <v>2880</v>
      </c>
      <c r="U14" s="31">
        <f t="shared" si="8"/>
        <v>0.32326388888888891</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28.999999999999996</v>
      </c>
      <c r="R15" s="42">
        <f t="shared" si="5"/>
        <v>34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4.7489999999999997</v>
      </c>
      <c r="D42" s="56">
        <f>E6/1000</f>
        <v>1.2410000000000001</v>
      </c>
      <c r="E42" s="56">
        <f>MAX(C42:D42)</f>
        <v>4.7489999999999997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0.69</v>
      </c>
      <c r="D44" s="56">
        <f>E8/100</f>
        <v>0.1</v>
      </c>
      <c r="E44" s="56">
        <f>MAX(C44:D44,0)</f>
        <v>0.69</v>
      </c>
      <c r="G44" s="1" t="str">
        <f>B44</f>
        <v>per 100 referrals</v>
      </c>
      <c r="L44" s="57">
        <v>100</v>
      </c>
      <c r="M44" s="57"/>
      <c r="R44" s="49"/>
    </row>
    <row r="45" spans="2:18" ht="15" hidden="1" customHeight="1" x14ac:dyDescent="0.25">
      <c r="B45" s="49" t="s">
        <v>89</v>
      </c>
      <c r="C45" s="49">
        <f>C11/100</f>
        <v>0.28999999999999998</v>
      </c>
      <c r="D45" s="49">
        <f>E11/100</f>
        <v>0.05</v>
      </c>
      <c r="E45" s="56">
        <f>MAX(C45:D45,0)</f>
        <v>0.28999999999999998</v>
      </c>
      <c r="G45" s="1" t="str">
        <f>B45</f>
        <v>per 100 youth petitioned</v>
      </c>
      <c r="L45" s="57">
        <v>100</v>
      </c>
      <c r="M45" s="57"/>
      <c r="R45" s="49"/>
    </row>
    <row r="46" spans="2:18" ht="15" hidden="1" customHeight="1" x14ac:dyDescent="0.25">
      <c r="B46" s="49" t="s">
        <v>90</v>
      </c>
      <c r="C46" s="49">
        <f>C12/100</f>
        <v>0.16</v>
      </c>
      <c r="D46" s="49">
        <f>E12/100</f>
        <v>0.03</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4.7489999999999997</v>
      </c>
      <c r="D48" s="56">
        <f>D42</f>
        <v>1.2410000000000001</v>
      </c>
      <c r="E48" s="56">
        <f>MAX(C48:D48)</f>
        <v>4.7489999999999997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0.69</v>
      </c>
      <c r="D50" s="49">
        <f t="shared" si="9"/>
        <v>0.1</v>
      </c>
      <c r="E50" s="49">
        <f>MAX(C50:D50)</f>
        <v>0.69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0.28999999999999998</v>
      </c>
      <c r="D51" s="49">
        <f>IF(($E45&gt;0),D45,D44)</f>
        <v>0.05</v>
      </c>
      <c r="E51" s="49">
        <f>MAX(C51:D51)</f>
        <v>0.28999999999999998</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0.03</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4.7489999999999997</v>
      </c>
      <c r="D54" s="56">
        <f>D48</f>
        <v>1.2410000000000001</v>
      </c>
      <c r="E54" s="56">
        <f>MAX(C54:D54)</f>
        <v>4.7489999999999997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0.69</v>
      </c>
      <c r="D56" s="49">
        <f t="shared" si="10"/>
        <v>0.1</v>
      </c>
      <c r="E56" s="49">
        <f>MAX(C56:D56)</f>
        <v>0.69</v>
      </c>
      <c r="G56" s="1" t="str">
        <f>G50</f>
        <v>per 100 referrals</v>
      </c>
      <c r="L56" s="58">
        <f>IF(($E50&gt;0),L50,L49)</f>
        <v>100</v>
      </c>
      <c r="M56" s="58"/>
    </row>
    <row r="57" spans="2:18" ht="15" hidden="1" customHeight="1" x14ac:dyDescent="0.25">
      <c r="B57" s="49" t="str">
        <f>IF(($E51&gt;0),B51,B49)</f>
        <v>per 100 youth petitioned</v>
      </c>
      <c r="C57" s="49">
        <f>IF(($E51&gt;0),C51,C50)</f>
        <v>0.28999999999999998</v>
      </c>
      <c r="D57" s="49">
        <f>IF(($E51&gt;0),D51,D50)</f>
        <v>0.05</v>
      </c>
      <c r="E57" s="49">
        <f>MAX(C57:D57)</f>
        <v>0.28999999999999998</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0.03</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4.7489999999999997</v>
      </c>
      <c r="D60" s="56">
        <f>D54</f>
        <v>1.2410000000000001</v>
      </c>
      <c r="E60" s="56">
        <f>MAX(C60:D60)</f>
        <v>4.7489999999999997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0.69</v>
      </c>
      <c r="D62" s="49">
        <f t="shared" si="11"/>
        <v>0.1</v>
      </c>
      <c r="E62" s="49">
        <f>MAX(C62:D62)</f>
        <v>0.69</v>
      </c>
      <c r="G62" s="1" t="str">
        <f>G56</f>
        <v>per 100 referrals</v>
      </c>
      <c r="L62" s="58">
        <f>IF(($E56&gt;0),L56,L55)</f>
        <v>100</v>
      </c>
      <c r="M62" s="58"/>
    </row>
    <row r="63" spans="2:18" ht="15" hidden="1" customHeight="1" x14ac:dyDescent="0.25">
      <c r="B63" s="49" t="str">
        <f>IF(($E57&gt;0),B57,B55)</f>
        <v>per 100 youth petitioned</v>
      </c>
      <c r="C63" s="49">
        <f>IF(($E57&gt;0),C57,C56)</f>
        <v>0.28999999999999998</v>
      </c>
      <c r="D63" s="49">
        <f>IF(($E57&gt;0),D57,D56)</f>
        <v>0.05</v>
      </c>
      <c r="E63" s="49">
        <f>MAX(C63:D63)</f>
        <v>0.28999999999999998</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0.03</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4.7489999999999997</v>
      </c>
      <c r="D66" s="56">
        <f>D60</f>
        <v>1.2410000000000001</v>
      </c>
      <c r="E66" s="56">
        <f>MAX(C66:D66)</f>
        <v>4.7489999999999997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0.69</v>
      </c>
      <c r="D68" s="49">
        <f t="shared" si="12"/>
        <v>0.1</v>
      </c>
      <c r="E68" s="49">
        <f>MAX(C68:D68)</f>
        <v>0.69</v>
      </c>
      <c r="G68" s="1" t="str">
        <f>G62</f>
        <v>per 100 referrals</v>
      </c>
      <c r="L68" s="58">
        <f>IF(($E62&gt;0),L62,L61)</f>
        <v>100</v>
      </c>
      <c r="M68" s="58">
        <f>IF((B68=G68),1,2)</f>
        <v>1</v>
      </c>
    </row>
    <row r="69" spans="2:13" ht="15" hidden="1" customHeight="1" x14ac:dyDescent="0.25">
      <c r="B69" s="49" t="str">
        <f>IF(($E63&gt;0),B63,B61)</f>
        <v>per 100 youth petitioned</v>
      </c>
      <c r="C69" s="49">
        <f>IF(($E63&gt;0),C63,C62)</f>
        <v>0.28999999999999998</v>
      </c>
      <c r="D69" s="49">
        <f>IF(($E63&gt;0),D63,D62)</f>
        <v>0.05</v>
      </c>
      <c r="E69" s="49">
        <f>MAX(C69:D69)</f>
        <v>0.28999999999999998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0.03</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St. Joseph</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20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139</v>
      </c>
      <c r="O8" s="1">
        <f>Hawaiian!L8</f>
        <v>139</v>
      </c>
      <c r="P8" s="1">
        <f>'Am Indian'!L8</f>
        <v>139</v>
      </c>
      <c r="Q8" s="1">
        <f>'Other - Mixed'!L8</f>
        <v>139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t="e">
        <f>'Other - Mixed'!L12</f>
        <v>#DIV/0!</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f>Hispanic!L13</f>
        <v>40</v>
      </c>
      <c r="N13" s="1" t="e">
        <f>Asian!L13</f>
        <v>#VALUE!</v>
      </c>
      <c r="O13" s="1" t="e">
        <f>Hawaiian!L13</f>
        <v>#VALUE!</v>
      </c>
      <c r="P13" s="1" t="e">
        <f>'Am Indian'!L13</f>
        <v>#VALUE!</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5990</v>
      </c>
      <c r="D3" s="57">
        <f>'Data Entry'!C6</f>
        <v>4749</v>
      </c>
      <c r="E3" s="57">
        <f>'Data Entry'!D6</f>
        <v>300</v>
      </c>
      <c r="F3" s="57">
        <f>'Data Entry'!E6</f>
        <v>866</v>
      </c>
      <c r="G3" s="57">
        <f>'Data Entry'!F6</f>
        <v>44</v>
      </c>
      <c r="H3" s="57">
        <f>'Data Entry'!G6</f>
        <v>0</v>
      </c>
      <c r="I3" s="57">
        <f>'Data Entry'!H6</f>
        <v>31</v>
      </c>
      <c r="J3" s="57">
        <f>'Data Entry'!I6</f>
        <v>0</v>
      </c>
      <c r="K3" s="57">
        <f>'Data Entry'!J6</f>
        <v>1241</v>
      </c>
    </row>
    <row r="4" spans="2:11" ht="15" customHeight="1" x14ac:dyDescent="0.25">
      <c r="B4" s="16" t="s">
        <v>8</v>
      </c>
      <c r="C4" s="1">
        <f>IF((C$3&gt;0),(1000*('Data Entry'!B7/'Data Entry'!B$6)), 0)</f>
        <v>2.8380634390651087</v>
      </c>
      <c r="D4" s="1">
        <f>IF((D$3&gt;0),(1000*('Data Entry'!C7/'Data Entry'!C$6)), 0)</f>
        <v>3.3691303432301538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13.689482470784641</v>
      </c>
      <c r="D5" s="1">
        <f>IF((D$3&gt;0),(1000*('Data Entry'!C8/'Data Entry'!C$6)), 0)</f>
        <v>14.529374605180038</v>
      </c>
      <c r="E5" s="1">
        <f>IF((E$3&gt;0),(1000*('Data Entry'!D8/'Data Entry'!D$6)), 0)</f>
        <v>20</v>
      </c>
      <c r="F5" s="1">
        <f>IF((F$3&gt;0),(1000*('Data Entry'!E8/'Data Entry'!E$6)), 0)</f>
        <v>3.464203233256351</v>
      </c>
      <c r="G5" s="1">
        <f>IF((G$3&gt;0),(1000*('Data Entry'!F8/'Data Entry'!F$6)), 0)</f>
        <v>0</v>
      </c>
      <c r="H5" s="1">
        <f>IF((H$3&gt;0),(1000*('Data Entry'!G8/'Data Entry'!G$6)), 0)</f>
        <v>0</v>
      </c>
      <c r="I5" s="1">
        <f>IF((I$3&gt;0),(1000*('Data Entry'!H8/'Data Entry'!H$6)), 0)</f>
        <v>0</v>
      </c>
      <c r="J5" s="1">
        <f>IF((J$3&gt;0),(1000*('Data Entry'!I8/'Data Entry'!I$6)), 0)</f>
        <v>0</v>
      </c>
      <c r="K5" s="1">
        <f>IF((K$3&gt;0),(1000*('Data Entry'!J8/'Data Entry'!J$6)), 0)</f>
        <v>8.0580177276389993</v>
      </c>
    </row>
    <row r="6" spans="2:11" ht="15" customHeight="1" x14ac:dyDescent="0.25">
      <c r="B6" s="16" t="s">
        <v>10</v>
      </c>
      <c r="C6" s="1">
        <f>IF((C$3&gt;0),(1000*('Data Entry'!B9/'Data Entry'!B$6)), 0)</f>
        <v>1.1686143572621035</v>
      </c>
      <c r="D6" s="1">
        <f>IF((D$3&gt;0),(1000*('Data Entry'!C9/'Data Entry'!C$6)), 0)</f>
        <v>1.0528532322594231</v>
      </c>
      <c r="E6" s="1">
        <f>IF((E$3&gt;0),(1000*('Data Entry'!D9/'Data Entry'!D$6)), 0)</f>
        <v>3.3333333333333335</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0.80580177276390008</v>
      </c>
    </row>
    <row r="7" spans="2:11" ht="15" customHeight="1" x14ac:dyDescent="0.25">
      <c r="B7" s="16" t="s">
        <v>11</v>
      </c>
      <c r="C7" s="1">
        <f>IF((C$3&gt;0),(1000*('Data Entry'!B10/'Data Entry'!B$6)), 0)</f>
        <v>4.006677796327212</v>
      </c>
      <c r="D7" s="1">
        <f>IF((D$3&gt;0),(1000*('Data Entry'!C10/'Data Entry'!C$6)), 0)</f>
        <v>4.6325542219414615</v>
      </c>
      <c r="E7" s="1">
        <f>IF((E$3&gt;0),(1000*('Data Entry'!D10/'Data Entry'!D$6)), 0)</f>
        <v>3.3333333333333335</v>
      </c>
      <c r="F7" s="1">
        <f>IF((F$3&gt;0),(1000*('Data Entry'!E10/'Data Entry'!E$6)), 0)</f>
        <v>1.1547344110854503</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1.6116035455278002</v>
      </c>
    </row>
    <row r="8" spans="2:11" ht="15" customHeight="1" x14ac:dyDescent="0.25">
      <c r="B8" s="16" t="s">
        <v>95</v>
      </c>
      <c r="C8" s="1">
        <f>IF((C$3&gt;0),(1000*('Data Entry'!B11/'Data Entry'!B$6)), 0)</f>
        <v>5.8430717863105173</v>
      </c>
      <c r="D8" s="1">
        <f>IF((D$3&gt;0),(1000*('Data Entry'!C11/'Data Entry'!C$6)), 0)</f>
        <v>6.1065487471046538</v>
      </c>
      <c r="E8" s="1">
        <f>IF((E$3&gt;0),(1000*('Data Entry'!D11/'Data Entry'!D$6)), 0)</f>
        <v>10</v>
      </c>
      <c r="F8" s="1">
        <f>IF((F$3&gt;0),(1000*('Data Entry'!E11/'Data Entry'!E$6)), 0)</f>
        <v>2.3094688221709005</v>
      </c>
      <c r="G8" s="1">
        <f>IF((G$3&gt;0),(1000*('Data Entry'!F11/'Data Entry'!F$6)), 0)</f>
        <v>0</v>
      </c>
      <c r="H8" s="1">
        <f>IF((H$3&gt;0),(1000*('Data Entry'!G11/'Data Entry'!G$6)), 0)</f>
        <v>0</v>
      </c>
      <c r="I8" s="1">
        <f>IF((I$3&gt;0),(1000*('Data Entry'!H11/'Data Entry'!H$6)), 0)</f>
        <v>0</v>
      </c>
      <c r="J8" s="1">
        <f>IF((J$3&gt;0),(1000*('Data Entry'!I11/'Data Entry'!I$6)), 0)</f>
        <v>0</v>
      </c>
      <c r="K8" s="1">
        <f>IF((K$3&gt;0),(1000*('Data Entry'!J11/'Data Entry'!J$6)), 0)</f>
        <v>4.0290088638194996</v>
      </c>
    </row>
    <row r="9" spans="2:11" ht="15" customHeight="1" x14ac:dyDescent="0.25">
      <c r="B9" s="16" t="s">
        <v>13</v>
      </c>
      <c r="C9" s="1">
        <f>IF((C$3&gt;0),(1000*('Data Entry'!B12/'Data Entry'!B$6)), 0)</f>
        <v>3.33889816360601</v>
      </c>
      <c r="D9" s="1">
        <f>IF((D$3&gt;0),(1000*('Data Entry'!C12/'Data Entry'!C$6)), 0)</f>
        <v>3.3691303432301538</v>
      </c>
      <c r="E9" s="1">
        <f>IF((E$3&gt;0),(1000*('Data Entry'!D12/'Data Entry'!D$6)), 0)</f>
        <v>3.3333333333333335</v>
      </c>
      <c r="F9" s="1">
        <f>IF((F$3&gt;0),(1000*('Data Entry'!E12/'Data Entry'!E$6)), 0)</f>
        <v>1.1547344110854503</v>
      </c>
      <c r="G9" s="1">
        <f>IF((G$3&gt;0),(1000*('Data Entry'!F12/'Data Entry'!F$6)), 0)</f>
        <v>0</v>
      </c>
      <c r="H9" s="1">
        <f>IF((H$3&gt;0),(1000*('Data Entry'!G12/'Data Entry'!G$6)), 0)</f>
        <v>0</v>
      </c>
      <c r="I9" s="1">
        <f>IF((I$3&gt;0),(1000*('Data Entry'!H12/'Data Entry'!H$6)), 0)</f>
        <v>0</v>
      </c>
      <c r="J9" s="1">
        <f>IF((J$3&gt;0),(1000*('Data Entry'!I12/'Data Entry'!I$6)), 0)</f>
        <v>0</v>
      </c>
      <c r="K9" s="1">
        <f>IF((K$3&gt;0),(1000*('Data Entry'!J12/'Data Entry'!J$6)), 0)</f>
        <v>2.4174053182917006</v>
      </c>
    </row>
    <row r="10" spans="2:11" ht="15" customHeight="1" x14ac:dyDescent="0.25">
      <c r="B10" s="16" t="s">
        <v>14</v>
      </c>
      <c r="C10" s="1">
        <f>IF((C$3&gt;0),(1000*('Data Entry'!B13/'Data Entry'!B$6)), 0)</f>
        <v>1.8363939899833055</v>
      </c>
      <c r="D10" s="1">
        <f>IF((D$3&gt;0),(1000*('Data Entry'!C13/'Data Entry'!C$6)), 0)</f>
        <v>1.6845651716150769</v>
      </c>
      <c r="E10" s="1">
        <f>IF((E$3&gt;0),(1000*('Data Entry'!D13/'Data Entry'!D$6)), 0)</f>
        <v>6.666666666666667</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1.6116035455278002</v>
      </c>
    </row>
    <row r="11" spans="2:11" ht="25.5" customHeight="1" x14ac:dyDescent="0.25">
      <c r="B11" s="16" t="s">
        <v>15</v>
      </c>
      <c r="C11" s="1">
        <f>IF((C$3&gt;0),(1000*('Data Entry'!B14/'Data Entry'!B$6)), 0)</f>
        <v>2.671118530884808</v>
      </c>
      <c r="D11" s="1">
        <f>IF((D$3&gt;0),(1000*('Data Entry'!C14/'Data Entry'!C$6)), 0)</f>
        <v>2.7374184038745</v>
      </c>
      <c r="E11" s="1">
        <f>IF((E$3&gt;0),(1000*('Data Entry'!D14/'Data Entry'!D$6)), 0)</f>
        <v>3.3333333333333335</v>
      </c>
      <c r="F11" s="1">
        <f>IF((F$3&gt;0),(1000*('Data Entry'!E14/'Data Entry'!E$6)), 0)</f>
        <v>1.1547344110854503</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1.6116035455278002</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St. Joseph</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1.3765217391304347</v>
      </c>
      <c r="E20" s="72">
        <f t="shared" si="2"/>
        <v>0.23842755296716536</v>
      </c>
      <c r="F20" s="72" t="str">
        <f t="shared" si="2"/>
        <v>--</v>
      </c>
      <c r="G20" s="72" t="str">
        <f t="shared" si="2"/>
        <v>--</v>
      </c>
      <c r="H20" s="72" t="str">
        <f t="shared" si="2"/>
        <v>--</v>
      </c>
      <c r="I20" s="72" t="str">
        <f t="shared" si="2"/>
        <v>--</v>
      </c>
      <c r="J20" s="73">
        <f t="shared" si="2"/>
        <v>0.55460182881967546</v>
      </c>
    </row>
    <row r="21" spans="2:10" ht="15" customHeight="1" x14ac:dyDescent="0.25">
      <c r="B21" s="71" t="s">
        <v>10</v>
      </c>
      <c r="C21" s="72">
        <f t="shared" si="2"/>
        <v>1</v>
      </c>
      <c r="D21" s="72">
        <f t="shared" si="2"/>
        <v>3.1659999999999999</v>
      </c>
      <c r="E21" s="72" t="str">
        <f t="shared" si="2"/>
        <v>--</v>
      </c>
      <c r="F21" s="72" t="str">
        <f t="shared" si="2"/>
        <v>--</v>
      </c>
      <c r="G21" s="72" t="str">
        <f t="shared" si="2"/>
        <v>--</v>
      </c>
      <c r="H21" s="72" t="str">
        <f t="shared" si="2"/>
        <v>--</v>
      </c>
      <c r="I21" s="72" t="str">
        <f t="shared" si="2"/>
        <v>--</v>
      </c>
      <c r="J21" s="73">
        <f t="shared" si="2"/>
        <v>0.76535052377115231</v>
      </c>
    </row>
    <row r="22" spans="2:10" ht="15" customHeight="1" x14ac:dyDescent="0.25">
      <c r="B22" s="71" t="s">
        <v>11</v>
      </c>
      <c r="C22" s="72">
        <f t="shared" si="2"/>
        <v>1</v>
      </c>
      <c r="D22" s="72">
        <f t="shared" si="2"/>
        <v>0.7195454545454546</v>
      </c>
      <c r="E22" s="72">
        <f t="shared" si="2"/>
        <v>0.24926516901112741</v>
      </c>
      <c r="F22" s="72" t="str">
        <f t="shared" si="2"/>
        <v>--</v>
      </c>
      <c r="G22" s="72" t="str">
        <f t="shared" si="2"/>
        <v>--</v>
      </c>
      <c r="H22" s="72" t="str">
        <f t="shared" si="2"/>
        <v>--</v>
      </c>
      <c r="I22" s="72" t="str">
        <f t="shared" si="2"/>
        <v>--</v>
      </c>
      <c r="J22" s="73">
        <f t="shared" si="2"/>
        <v>0.34788660171416014</v>
      </c>
    </row>
    <row r="23" spans="2:10" ht="15" customHeight="1" x14ac:dyDescent="0.25">
      <c r="B23" s="71" t="s">
        <v>95</v>
      </c>
      <c r="C23" s="72">
        <f t="shared" si="2"/>
        <v>1</v>
      </c>
      <c r="D23" s="72">
        <f t="shared" si="2"/>
        <v>1.6375862068965517</v>
      </c>
      <c r="E23" s="72">
        <f t="shared" si="2"/>
        <v>0.37819542884446916</v>
      </c>
      <c r="F23" s="72" t="str">
        <f t="shared" si="2"/>
        <v>--</v>
      </c>
      <c r="G23" s="72" t="str">
        <f t="shared" si="2"/>
        <v>--</v>
      </c>
      <c r="H23" s="72" t="str">
        <f t="shared" si="2"/>
        <v>--</v>
      </c>
      <c r="I23" s="72" t="str">
        <f t="shared" si="2"/>
        <v>--</v>
      </c>
      <c r="J23" s="73">
        <f t="shared" si="2"/>
        <v>0.65978493428547602</v>
      </c>
    </row>
    <row r="24" spans="2:10" ht="15" customHeight="1" x14ac:dyDescent="0.25">
      <c r="B24" s="71" t="s">
        <v>13</v>
      </c>
      <c r="C24" s="72">
        <f t="shared" si="2"/>
        <v>1</v>
      </c>
      <c r="D24" s="72">
        <f t="shared" si="2"/>
        <v>0.989375</v>
      </c>
      <c r="E24" s="72">
        <f t="shared" si="2"/>
        <v>0.34273960739030018</v>
      </c>
      <c r="F24" s="72" t="str">
        <f t="shared" si="2"/>
        <v>--</v>
      </c>
      <c r="G24" s="72" t="str">
        <f t="shared" si="2"/>
        <v>--</v>
      </c>
      <c r="H24" s="72" t="str">
        <f t="shared" si="2"/>
        <v>--</v>
      </c>
      <c r="I24" s="72" t="str">
        <f t="shared" si="2"/>
        <v>--</v>
      </c>
      <c r="J24" s="73">
        <f t="shared" si="2"/>
        <v>0.7175161160354554</v>
      </c>
    </row>
    <row r="25" spans="2:10" ht="15" customHeight="1" x14ac:dyDescent="0.25">
      <c r="B25" s="71" t="s">
        <v>14</v>
      </c>
      <c r="C25" s="72">
        <f t="shared" si="2"/>
        <v>1</v>
      </c>
      <c r="D25" s="72">
        <f t="shared" si="2"/>
        <v>3.9575</v>
      </c>
      <c r="E25" s="72" t="str">
        <f t="shared" si="2"/>
        <v>--</v>
      </c>
      <c r="F25" s="72" t="str">
        <f t="shared" si="2"/>
        <v>--</v>
      </c>
      <c r="G25" s="72" t="str">
        <f t="shared" si="2"/>
        <v>--</v>
      </c>
      <c r="H25" s="72" t="str">
        <f t="shared" si="2"/>
        <v>--</v>
      </c>
      <c r="I25" s="72" t="str">
        <f t="shared" si="2"/>
        <v>--</v>
      </c>
      <c r="J25" s="73">
        <f t="shared" si="2"/>
        <v>0.95668815471394031</v>
      </c>
    </row>
    <row r="26" spans="2:10" ht="25.5" customHeight="1" x14ac:dyDescent="0.25">
      <c r="B26" s="71" t="s">
        <v>15</v>
      </c>
      <c r="C26" s="72">
        <f t="shared" si="2"/>
        <v>1</v>
      </c>
      <c r="D26" s="72">
        <f t="shared" si="2"/>
        <v>1.2176923076923076</v>
      </c>
      <c r="E26" s="72">
        <f t="shared" si="2"/>
        <v>0.42183336294190793</v>
      </c>
      <c r="F26" s="72" t="str">
        <f t="shared" si="2"/>
        <v>--</v>
      </c>
      <c r="G26" s="72" t="str">
        <f t="shared" si="2"/>
        <v>--</v>
      </c>
      <c r="H26" s="72" t="str">
        <f t="shared" si="2"/>
        <v>--</v>
      </c>
      <c r="I26" s="72" t="str">
        <f t="shared" si="2"/>
        <v>--</v>
      </c>
      <c r="J26" s="73">
        <f t="shared" si="2"/>
        <v>0.5887311721316556</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St. Joseph</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4749</v>
      </c>
      <c r="D7" s="105">
        <f>'Data Entry'!D6</f>
        <v>300</v>
      </c>
      <c r="E7" s="106"/>
      <c r="F7" s="107">
        <f>'Data Entry'!E6</f>
        <v>866</v>
      </c>
      <c r="G7" s="106"/>
      <c r="H7" s="107">
        <f>'Data Entry'!F6</f>
        <v>44</v>
      </c>
      <c r="I7" s="106"/>
      <c r="J7" s="107">
        <f>'Data Entry'!G6</f>
        <v>0</v>
      </c>
      <c r="K7" s="106"/>
      <c r="L7" s="107">
        <f>'Data Entry'!H6</f>
        <v>31</v>
      </c>
      <c r="M7" s="106"/>
      <c r="N7" s="107">
        <f>'Data Entry'!I6</f>
        <v>0</v>
      </c>
      <c r="O7" s="106"/>
      <c r="P7" s="107">
        <f>'Data Entry'!J6</f>
        <v>1241</v>
      </c>
      <c r="Q7" s="108"/>
    </row>
    <row r="8" spans="2:26" s="1" customFormat="1" ht="15" customHeight="1" x14ac:dyDescent="0.3">
      <c r="B8" s="149" t="s">
        <v>8</v>
      </c>
      <c r="C8" s="104">
        <f>'Data Entry'!C7</f>
        <v>16</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20</v>
      </c>
    </row>
    <row r="9" spans="2:26" s="1" customFormat="1" ht="15" customHeight="1" x14ac:dyDescent="0.3">
      <c r="B9" s="149" t="s">
        <v>134</v>
      </c>
      <c r="C9" s="104">
        <f>'Data Entry'!C8</f>
        <v>69</v>
      </c>
      <c r="D9" s="109">
        <f>'Data Entry'!D8</f>
        <v>6</v>
      </c>
      <c r="E9" s="110" t="str">
        <f>'Black or African-American'!$G8</f>
        <v>**</v>
      </c>
      <c r="F9" s="111">
        <f>'Data Entry'!E8</f>
        <v>3</v>
      </c>
      <c r="G9" s="110" t="str">
        <f>Hispanic!G8</f>
        <v>**</v>
      </c>
      <c r="H9" s="111">
        <f>'Data Entry'!F8</f>
        <v>0</v>
      </c>
      <c r="I9" s="110" t="str">
        <f>Asian!G8</f>
        <v>*</v>
      </c>
      <c r="J9" s="111">
        <f>'Data Entry'!G8</f>
        <v>0</v>
      </c>
      <c r="K9" s="110" t="str">
        <f>Hawaiian!G8</f>
        <v>*</v>
      </c>
      <c r="L9" s="111">
        <f>'Data Entry'!H8</f>
        <v>0</v>
      </c>
      <c r="M9" s="110" t="str">
        <f>'Am Indian'!G8</f>
        <v>*</v>
      </c>
      <c r="N9" s="111">
        <f>'Data Entry'!I8</f>
        <v>1</v>
      </c>
      <c r="O9" s="110" t="str">
        <f>'Other - Mixed'!G8</f>
        <v>*</v>
      </c>
      <c r="P9" s="111">
        <f>'Data Entry'!J8</f>
        <v>10</v>
      </c>
      <c r="Q9" s="112" t="str">
        <f>'All Minorities'!G8</f>
        <v>**</v>
      </c>
      <c r="R9"/>
      <c r="T9" s="1">
        <f>'Black or African-American'!L8</f>
        <v>20</v>
      </c>
      <c r="U9" s="1">
        <f>Hispanic!L8</f>
        <v>20</v>
      </c>
      <c r="V9" s="1">
        <f>Asian!L8</f>
        <v>139</v>
      </c>
      <c r="W9" s="1">
        <f>Hawaiian!L8</f>
        <v>139</v>
      </c>
      <c r="X9" s="1">
        <f>'Am Indian'!L8</f>
        <v>139</v>
      </c>
      <c r="Y9" s="1">
        <f>'Other - Mixed'!L8</f>
        <v>139</v>
      </c>
      <c r="Z9" s="1">
        <f>'All Minorities'!L8</f>
        <v>20</v>
      </c>
    </row>
    <row r="10" spans="2:26" s="1" customFormat="1" ht="15" customHeight="1" x14ac:dyDescent="0.3">
      <c r="B10" s="149" t="s">
        <v>10</v>
      </c>
      <c r="C10" s="104">
        <f>'Data Entry'!C9</f>
        <v>5</v>
      </c>
      <c r="D10" s="113">
        <f>'Data Entry'!D9</f>
        <v>1</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1</v>
      </c>
      <c r="Q10" s="116"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x14ac:dyDescent="0.3">
      <c r="B11" s="149" t="s">
        <v>11</v>
      </c>
      <c r="C11" s="104">
        <f>'Data Entry'!C10</f>
        <v>22</v>
      </c>
      <c r="D11" s="109">
        <f>'Data Entry'!D10</f>
        <v>1</v>
      </c>
      <c r="E11" s="110" t="str">
        <f>'Black or African-American'!$G10</f>
        <v>**</v>
      </c>
      <c r="F11" s="111">
        <f>'Data Entry'!E10</f>
        <v>1</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2</v>
      </c>
      <c r="Q11" s="112"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29</v>
      </c>
      <c r="D12" s="113">
        <f>'Data Entry'!D11</f>
        <v>3</v>
      </c>
      <c r="E12" s="114" t="str">
        <f>'Black or African-American'!$G11</f>
        <v>**</v>
      </c>
      <c r="F12" s="115">
        <f>'Data Entry'!E11</f>
        <v>2</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5</v>
      </c>
      <c r="Q12" s="116"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16</v>
      </c>
      <c r="D13" s="109">
        <f>'Data Entry'!D12</f>
        <v>1</v>
      </c>
      <c r="E13" s="110" t="str">
        <f>'Black or African-American'!$G12</f>
        <v>**</v>
      </c>
      <c r="F13" s="111">
        <f>'Data Entry'!E12</f>
        <v>1</v>
      </c>
      <c r="G13" s="110" t="str">
        <f>Hispanic!G12</f>
        <v>**</v>
      </c>
      <c r="H13" s="111">
        <f>'Data Entry'!F12</f>
        <v>0</v>
      </c>
      <c r="I13" s="110" t="str">
        <f>Asian!G12</f>
        <v>*</v>
      </c>
      <c r="J13" s="111">
        <f>'Data Entry'!G12</f>
        <v>0</v>
      </c>
      <c r="K13" s="110" t="str">
        <f>Hawaiian!G12</f>
        <v>*</v>
      </c>
      <c r="L13" s="111">
        <f>'Data Entry'!H12</f>
        <v>0</v>
      </c>
      <c r="M13" s="110" t="str">
        <f>'Am Indian'!G12</f>
        <v>*</v>
      </c>
      <c r="N13" s="111">
        <f>'Data Entry'!I12</f>
        <v>1</v>
      </c>
      <c r="O13" s="110" t="str">
        <f>'Other - Mixed'!G12</f>
        <v>*</v>
      </c>
      <c r="P13" s="111">
        <f>'Data Entry'!J12</f>
        <v>3</v>
      </c>
      <c r="Q13" s="112" t="str">
        <f>'All Minorities'!G12</f>
        <v>**</v>
      </c>
      <c r="R13"/>
      <c r="T13" s="1">
        <f>'Black or African-American'!L12</f>
        <v>40</v>
      </c>
      <c r="U13" s="1">
        <f>Hispanic!L12</f>
        <v>40</v>
      </c>
      <c r="V13" s="1" t="e">
        <f>Asian!L12</f>
        <v>#VALUE!</v>
      </c>
      <c r="W13" s="1" t="e">
        <f>Hawaiian!L12</f>
        <v>#VALUE!</v>
      </c>
      <c r="X13" s="1" t="e">
        <f>'Am Indian'!L12</f>
        <v>#VALUE!</v>
      </c>
      <c r="Y13" s="1" t="e">
        <f>'Other - Mixed'!L12</f>
        <v>#DIV/0!</v>
      </c>
      <c r="Z13" s="1">
        <f>'All Minorities'!L12</f>
        <v>40</v>
      </c>
    </row>
    <row r="14" spans="2:26" s="1" customFormat="1" ht="15" customHeight="1" x14ac:dyDescent="0.3">
      <c r="B14" s="149" t="s">
        <v>133</v>
      </c>
      <c r="C14" s="104">
        <f>'Data Entry'!C13</f>
        <v>8</v>
      </c>
      <c r="D14" s="113">
        <f>'Data Entry'!D13</f>
        <v>2</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2</v>
      </c>
      <c r="Q14" s="116" t="str">
        <f>'All Minorities'!G13</f>
        <v>**</v>
      </c>
      <c r="R14"/>
      <c r="T14" s="1">
        <f>'Black or African-American'!L13</f>
        <v>20</v>
      </c>
      <c r="U14" s="1">
        <f>Hispanic!L13</f>
        <v>40</v>
      </c>
      <c r="V14" s="1" t="e">
        <f>Asian!L13</f>
        <v>#VALUE!</v>
      </c>
      <c r="W14" s="1" t="e">
        <f>Hawaiian!L13</f>
        <v>#VALUE!</v>
      </c>
      <c r="X14" s="1" t="e">
        <f>'Am Indian'!L13</f>
        <v>#VALUE!</v>
      </c>
      <c r="Y14" s="1">
        <f>'Other - Mixed'!L13</f>
        <v>139</v>
      </c>
      <c r="Z14" s="1">
        <f>'All Minorities'!L13</f>
        <v>40</v>
      </c>
    </row>
    <row r="15" spans="2:26" s="1" customFormat="1" ht="33" x14ac:dyDescent="0.3">
      <c r="B15" s="151" t="s">
        <v>123</v>
      </c>
      <c r="C15" s="104">
        <f>'Data Entry'!C14</f>
        <v>13</v>
      </c>
      <c r="D15" s="109">
        <f>'Data Entry'!D14</f>
        <v>1</v>
      </c>
      <c r="E15" s="110" t="str">
        <f>'Black or African-American'!$G14</f>
        <v>**</v>
      </c>
      <c r="F15" s="111">
        <f>'Data Entry'!E14</f>
        <v>1</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2</v>
      </c>
      <c r="Q15" s="112"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St. Joseph</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St. Joseph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3.8267526188557621</v>
      </c>
    </row>
    <row r="8" spans="1:12" ht="25.5" customHeight="1" x14ac:dyDescent="0.2">
      <c r="A8" s="158" t="str">
        <f>CONCATENATE("Confinement, total N=", 'Data Entry'!B14)</f>
        <v>Confinement, total N=16</v>
      </c>
      <c r="B8" s="157">
        <f>'Data Entry'!D14/'Data Entry'!B14</f>
        <v>6.25E-2</v>
      </c>
      <c r="C8" s="157">
        <f>'Data Entry'!E14/'Data Entry'!B14</f>
        <v>6.25E-2</v>
      </c>
      <c r="D8" s="157">
        <f>'Data Entry'!F14/'Data Entry'!B14</f>
        <v>0</v>
      </c>
      <c r="E8" s="157">
        <f>'Data Entry'!G14/'Data Entry'!B14</f>
        <v>0</v>
      </c>
      <c r="F8" s="157">
        <f>'Data Entry'!H14/'Data Entry'!B14</f>
        <v>0</v>
      </c>
      <c r="G8" s="157">
        <f>'Data Entry'!I14/'Data Entry'!B14</f>
        <v>0</v>
      </c>
      <c r="H8" s="157">
        <f>SUM(D8:G8)/'Data Entry'!B14</f>
        <v>0</v>
      </c>
      <c r="I8" s="157">
        <f>'Data Entry'!C14/'Data Entry'!B14</f>
        <v>0.8125</v>
      </c>
      <c r="K8" s="97" t="str">
        <f>A8</f>
        <v>Confinement, total N=16</v>
      </c>
      <c r="L8">
        <f>I14/(SUM(B14:G14))</f>
        <v>3.8267526188557621</v>
      </c>
    </row>
    <row r="9" spans="1:12" x14ac:dyDescent="0.2">
      <c r="A9" s="132" t="str">
        <f>CONCATENATE("Delinquent Findings, total N=", 'Data Entry'!B12)</f>
        <v>Delinquent Findings, total N=20</v>
      </c>
      <c r="B9" s="157">
        <f>'Data Entry'!D12/'Data Entry'!B12</f>
        <v>0.05</v>
      </c>
      <c r="C9" s="157">
        <f>'Data Entry'!E12/'Data Entry'!B12</f>
        <v>0.05</v>
      </c>
      <c r="D9" s="157">
        <f>'Data Entry'!F12/'Data Entry'!B12</f>
        <v>0</v>
      </c>
      <c r="E9" s="157">
        <f>'Data Entry'!G12/'Data Entry'!B12</f>
        <v>0</v>
      </c>
      <c r="F9" s="157">
        <f>'Data Entry'!H12/'Data Entry'!B12</f>
        <v>0</v>
      </c>
      <c r="G9" s="157">
        <f>'Data Entry'!I12/'Data Entry'!B12</f>
        <v>0.05</v>
      </c>
      <c r="H9" s="157">
        <f>SUM(D9:G9)/'Data Entry'!B12</f>
        <v>2.5000000000000001E-3</v>
      </c>
      <c r="I9" s="157">
        <f>'Data Entry'!C12/'Data Entry'!B12</f>
        <v>0.8</v>
      </c>
      <c r="K9" s="97" t="str">
        <f t="shared" si="0"/>
        <v>Delinquent Findings, total N=20</v>
      </c>
      <c r="L9">
        <f>I14/(SUM(B14:G14))</f>
        <v>3.8267526188557621</v>
      </c>
    </row>
    <row r="10" spans="1:12" x14ac:dyDescent="0.2">
      <c r="A10" s="132" t="str">
        <f>CONCATENATE("Petitions, total N=", 'Data Entry'!B11)</f>
        <v>Petitions, total N=35</v>
      </c>
      <c r="B10" s="157">
        <f>'Data Entry'!D11/'Data Entry'!B11</f>
        <v>8.5714285714285715E-2</v>
      </c>
      <c r="C10" s="157">
        <f>'Data Entry'!E11/'Data Entry'!B11</f>
        <v>5.7142857142857141E-2</v>
      </c>
      <c r="D10" s="157">
        <f>'Data Entry'!F11/'Data Entry'!B11</f>
        <v>0</v>
      </c>
      <c r="E10" s="157">
        <f>'Data Entry'!G11/'Data Entry'!B11</f>
        <v>0</v>
      </c>
      <c r="F10" s="157">
        <f>'Data Entry'!H11/'Data Entry'!B11</f>
        <v>0</v>
      </c>
      <c r="G10" s="157">
        <f>'Data Entry'!I11/'Data Entry'!B11</f>
        <v>0</v>
      </c>
      <c r="H10" s="157">
        <f>SUM(D10:G10)/'Data Entry'!B11</f>
        <v>0</v>
      </c>
      <c r="I10" s="157">
        <f>'Data Entry'!C11/'Data Entry'!B11</f>
        <v>0.82857142857142863</v>
      </c>
      <c r="K10" s="97" t="str">
        <f t="shared" si="0"/>
        <v>Petitions, total N=35</v>
      </c>
      <c r="L10">
        <f>I14/(SUM(B14:G14))</f>
        <v>3.8267526188557621</v>
      </c>
    </row>
    <row r="11" spans="1:12" x14ac:dyDescent="0.2">
      <c r="A11" s="132" t="str">
        <f>CONCATENATE("Detentions, total N=", 'Data Entry'!B10)</f>
        <v>Detentions, total N=24</v>
      </c>
      <c r="B11" s="157">
        <f>'Data Entry'!D10/'Data Entry'!B10</f>
        <v>4.1666666666666664E-2</v>
      </c>
      <c r="C11" s="157">
        <f>'Data Entry'!E10/'Data Entry'!B10</f>
        <v>4.1666666666666664E-2</v>
      </c>
      <c r="D11" s="157">
        <f>'Data Entry'!F10/'Data Entry'!B10</f>
        <v>0</v>
      </c>
      <c r="E11" s="157">
        <f>'Data Entry'!G10/'Data Entry'!B10</f>
        <v>0</v>
      </c>
      <c r="F11" s="157">
        <f>'Data Entry'!H10/'Data Entry'!B10</f>
        <v>0</v>
      </c>
      <c r="G11" s="157">
        <f>'Data Entry'!I10/'Data Entry'!B10</f>
        <v>0</v>
      </c>
      <c r="H11" s="157">
        <f>SUM(D11:G11)/'Data Entry'!B10</f>
        <v>0</v>
      </c>
      <c r="I11" s="157">
        <f>'Data Entry'!C10/'Data Entry'!B10</f>
        <v>0.91666666666666663</v>
      </c>
      <c r="K11" s="97" t="str">
        <f t="shared" si="0"/>
        <v>Detentions, total N=24</v>
      </c>
      <c r="L11">
        <f>I14/(SUM(B14:G14))</f>
        <v>3.8267526188557621</v>
      </c>
    </row>
    <row r="12" spans="1:12" x14ac:dyDescent="0.2">
      <c r="A12" s="132" t="str">
        <f>CONCATENATE("Referrals, total N=", 'Data Entry'!B8)</f>
        <v>Referrals, total N=82</v>
      </c>
      <c r="B12" s="157">
        <f>'Data Entry'!D8/'Data Entry'!B8</f>
        <v>7.3170731707317069E-2</v>
      </c>
      <c r="C12" s="157">
        <f>'Data Entry'!E8/'Data Entry'!B8</f>
        <v>3.6585365853658534E-2</v>
      </c>
      <c r="D12" s="157">
        <f>'Data Entry'!F8/'Data Entry'!B8</f>
        <v>0</v>
      </c>
      <c r="E12" s="157">
        <f>'Data Entry'!G8/'Data Entry'!B8</f>
        <v>0</v>
      </c>
      <c r="F12" s="157">
        <f>'Data Entry'!H8/'Data Entry'!B8</f>
        <v>0</v>
      </c>
      <c r="G12" s="157">
        <f>'Data Entry'!I8/'Data Entry'!B8</f>
        <v>1.2195121951219513E-2</v>
      </c>
      <c r="H12" s="157">
        <f>SUM(D12:G12)/'Data Entry'!B8</f>
        <v>1.4872099940511601E-4</v>
      </c>
      <c r="I12" s="157">
        <f>'Data Entry'!C8/'Data Entry'!B8</f>
        <v>0.84146341463414631</v>
      </c>
      <c r="K12" s="97" t="str">
        <f t="shared" si="0"/>
        <v>Referrals, total N=82</v>
      </c>
      <c r="L12">
        <f>I14/(SUM(B14:G14))</f>
        <v>3.8267526188557621</v>
      </c>
    </row>
    <row r="13" spans="1:12" x14ac:dyDescent="0.2">
      <c r="A13" s="132" t="str">
        <f>CONCATENATE("Arrests, total N=", 'Data Entry'!B7)</f>
        <v>Arrests, total N=17</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0.94117647058823528</v>
      </c>
      <c r="K13" s="97" t="str">
        <f t="shared" si="0"/>
        <v>Arrests, total N=17</v>
      </c>
      <c r="L13">
        <f>I14/(SUM(B14:G14))</f>
        <v>3.8267526188557621</v>
      </c>
    </row>
    <row r="14" spans="1:12" x14ac:dyDescent="0.2">
      <c r="A14" s="132" t="str">
        <f>CONCATENATE("Population, total N=", 'Data Entry'!B6)</f>
        <v>Population, total N=5990</v>
      </c>
      <c r="B14" s="157">
        <f>'Data Entry'!D6/'Data Entry'!B6</f>
        <v>5.0083472454090151E-2</v>
      </c>
      <c r="C14" s="157">
        <f>'Data Entry'!E6/'Data Entry'!B6</f>
        <v>0.14457429048414022</v>
      </c>
      <c r="D14" s="157">
        <f>'Data Entry'!F6/'Data Entry'!B6</f>
        <v>7.3455759599332223E-3</v>
      </c>
      <c r="E14" s="157">
        <f>'Data Entry'!G6/'Data Entry'!B6</f>
        <v>0</v>
      </c>
      <c r="F14" s="157">
        <f>'Data Entry'!H6/'Data Entry'!B6</f>
        <v>5.1752921535893155E-3</v>
      </c>
      <c r="G14" s="157">
        <f>'Data Entry'!I6/'Data Entry'!B6</f>
        <v>0</v>
      </c>
      <c r="H14" s="157">
        <f>SUM(D14:G14)/'Data Entry'!B6</f>
        <v>2.0902951775496726E-6</v>
      </c>
      <c r="I14" s="157">
        <f>'Data Entry'!C6/'Data Entry'!B6</f>
        <v>0.79282136894824706</v>
      </c>
      <c r="K14" s="97" t="str">
        <f t="shared" si="0"/>
        <v>Population, total N=5990</v>
      </c>
      <c r="L14">
        <f>I14/(SUM(B14:G14))</f>
        <v>3.8267526188557621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St. Joseph</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4749</v>
      </c>
      <c r="D7" s="105">
        <f>'Data Entry'!D6</f>
        <v>300</v>
      </c>
      <c r="E7" s="106"/>
      <c r="F7" s="107">
        <f>'Data Entry'!E6</f>
        <v>866</v>
      </c>
      <c r="G7" s="106"/>
      <c r="H7" s="107">
        <f>'Data Entry'!F6</f>
        <v>44</v>
      </c>
      <c r="I7" s="106"/>
      <c r="J7" s="107">
        <f>'Data Entry'!J6</f>
        <v>1241</v>
      </c>
      <c r="K7" s="108"/>
    </row>
    <row r="8" spans="2:30" s="1" customFormat="1" ht="15" customHeight="1" x14ac:dyDescent="0.3">
      <c r="B8" s="125" t="s">
        <v>8</v>
      </c>
      <c r="C8" s="104">
        <f>'Data Entry'!C7</f>
        <v>16</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20</v>
      </c>
    </row>
    <row r="9" spans="2:30" s="1" customFormat="1" ht="15" customHeight="1" x14ac:dyDescent="0.3">
      <c r="B9" s="125" t="s">
        <v>134</v>
      </c>
      <c r="C9" s="104">
        <f>'Data Entry'!C8</f>
        <v>69</v>
      </c>
      <c r="D9" s="109">
        <f>'Data Entry'!D8</f>
        <v>6</v>
      </c>
      <c r="E9" s="110" t="str">
        <f>'Black or African-American'!$G8</f>
        <v>**</v>
      </c>
      <c r="F9" s="111">
        <f>'Data Entry'!E8</f>
        <v>3</v>
      </c>
      <c r="G9" s="110" t="str">
        <f>Hispanic!G8</f>
        <v>**</v>
      </c>
      <c r="H9" s="111">
        <f>'Data Entry'!F8</f>
        <v>0</v>
      </c>
      <c r="I9" s="110" t="str">
        <f>Asian!G8</f>
        <v>*</v>
      </c>
      <c r="J9" s="111">
        <f>'Data Entry'!J8</f>
        <v>10</v>
      </c>
      <c r="K9" s="112" t="str">
        <f>'All Minorities'!G8</f>
        <v>**</v>
      </c>
      <c r="L9"/>
      <c r="N9" s="1">
        <f>'Black or African-American'!L8</f>
        <v>20</v>
      </c>
      <c r="O9" s="1">
        <f>Hispanic!L8</f>
        <v>20</v>
      </c>
      <c r="P9" s="1">
        <f>Asian!L8</f>
        <v>139</v>
      </c>
      <c r="Q9" s="1">
        <f>Hawaiian!L8</f>
        <v>139</v>
      </c>
      <c r="R9" s="1">
        <f>'Am Indian'!L8</f>
        <v>139</v>
      </c>
      <c r="S9" s="1">
        <f>'Other - Mixed'!L8</f>
        <v>139</v>
      </c>
      <c r="T9" s="1">
        <f>'All Minorities'!L8</f>
        <v>20</v>
      </c>
    </row>
    <row r="10" spans="2:30" s="1" customFormat="1" ht="15" customHeight="1" x14ac:dyDescent="0.3">
      <c r="B10" s="125" t="s">
        <v>10</v>
      </c>
      <c r="C10" s="104">
        <f>'Data Entry'!C9</f>
        <v>5</v>
      </c>
      <c r="D10" s="113">
        <f>'Data Entry'!D9</f>
        <v>1</v>
      </c>
      <c r="E10" s="114" t="str">
        <f>'Black or African-American'!$G9</f>
        <v>**</v>
      </c>
      <c r="F10" s="115">
        <f>'Data Entry'!E9</f>
        <v>0</v>
      </c>
      <c r="G10" s="114" t="str">
        <f>Hispanic!G9</f>
        <v>**</v>
      </c>
      <c r="H10" s="115">
        <f>'Data Entry'!F9</f>
        <v>0</v>
      </c>
      <c r="I10" s="114" t="str">
        <f>Asian!G9</f>
        <v>*</v>
      </c>
      <c r="J10" s="115">
        <f>'Data Entry'!J9</f>
        <v>1</v>
      </c>
      <c r="K10" s="116"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x14ac:dyDescent="0.3">
      <c r="B11" s="125" t="s">
        <v>11</v>
      </c>
      <c r="C11" s="104">
        <f>'Data Entry'!C10</f>
        <v>22</v>
      </c>
      <c r="D11" s="109">
        <f>'Data Entry'!D10</f>
        <v>1</v>
      </c>
      <c r="E11" s="110" t="str">
        <f>'Black or African-American'!$G10</f>
        <v>**</v>
      </c>
      <c r="F11" s="111">
        <f>'Data Entry'!E10</f>
        <v>1</v>
      </c>
      <c r="G11" s="110" t="str">
        <f>Hispanic!G10</f>
        <v>**</v>
      </c>
      <c r="H11" s="111">
        <f>'Data Entry'!F10</f>
        <v>0</v>
      </c>
      <c r="I11" s="110" t="str">
        <f>Asian!G10</f>
        <v>*</v>
      </c>
      <c r="J11" s="111">
        <f>'Data Entry'!J10</f>
        <v>2</v>
      </c>
      <c r="K11" s="112"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29</v>
      </c>
      <c r="D12" s="113">
        <f>'Data Entry'!D11</f>
        <v>3</v>
      </c>
      <c r="E12" s="114" t="str">
        <f>'Black or African-American'!$G11</f>
        <v>**</v>
      </c>
      <c r="F12" s="115">
        <f>'Data Entry'!E11</f>
        <v>2</v>
      </c>
      <c r="G12" s="114" t="str">
        <f>Hispanic!G11</f>
        <v>**</v>
      </c>
      <c r="H12" s="115">
        <f>'Data Entry'!F11</f>
        <v>0</v>
      </c>
      <c r="I12" s="114" t="str">
        <f>Asian!G11</f>
        <v>*</v>
      </c>
      <c r="J12" s="115">
        <f>'Data Entry'!J11</f>
        <v>5</v>
      </c>
      <c r="K12" s="116"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16</v>
      </c>
      <c r="D13" s="109">
        <f>'Data Entry'!D12</f>
        <v>1</v>
      </c>
      <c r="E13" s="110" t="str">
        <f>'Black or African-American'!$G12</f>
        <v>**</v>
      </c>
      <c r="F13" s="111">
        <f>'Data Entry'!E12</f>
        <v>1</v>
      </c>
      <c r="G13" s="110" t="str">
        <f>Hispanic!G12</f>
        <v>**</v>
      </c>
      <c r="H13" s="111">
        <f>'Data Entry'!F12</f>
        <v>0</v>
      </c>
      <c r="I13" s="110" t="str">
        <f>Asian!G12</f>
        <v>*</v>
      </c>
      <c r="J13" s="111">
        <f>'Data Entry'!J12</f>
        <v>3</v>
      </c>
      <c r="K13" s="112" t="str">
        <f>'All Minorities'!G12</f>
        <v>**</v>
      </c>
      <c r="L13"/>
      <c r="N13" s="1">
        <f>'Black or African-American'!L12</f>
        <v>40</v>
      </c>
      <c r="O13" s="1">
        <f>Hispanic!L12</f>
        <v>40</v>
      </c>
      <c r="P13" s="1" t="e">
        <f>Asian!L12</f>
        <v>#VALUE!</v>
      </c>
      <c r="Q13" s="1" t="e">
        <f>Hawaiian!L12</f>
        <v>#VALUE!</v>
      </c>
      <c r="R13" s="1" t="e">
        <f>'Am Indian'!L12</f>
        <v>#VALUE!</v>
      </c>
      <c r="S13" s="1" t="e">
        <f>'Other - Mixed'!L12</f>
        <v>#DIV/0!</v>
      </c>
      <c r="T13" s="1">
        <f>'All Minorities'!L12</f>
        <v>40</v>
      </c>
      <c r="W13" s="135"/>
      <c r="X13" s="135"/>
      <c r="Y13" s="135"/>
      <c r="Z13" s="135"/>
      <c r="AA13" s="135"/>
      <c r="AB13" s="135"/>
      <c r="AC13" s="135"/>
      <c r="AD13" s="135"/>
    </row>
    <row r="14" spans="2:30" s="1" customFormat="1" ht="15" customHeight="1" x14ac:dyDescent="0.3">
      <c r="B14" s="125" t="s">
        <v>14</v>
      </c>
      <c r="C14" s="104">
        <f>'Data Entry'!C13</f>
        <v>8</v>
      </c>
      <c r="D14" s="113">
        <f>'Data Entry'!D13</f>
        <v>2</v>
      </c>
      <c r="E14" s="114" t="str">
        <f>'Black or African-American'!$G13</f>
        <v>**</v>
      </c>
      <c r="F14" s="115">
        <f>'Data Entry'!E13</f>
        <v>0</v>
      </c>
      <c r="G14" s="114" t="str">
        <f>Hispanic!G13</f>
        <v>**</v>
      </c>
      <c r="H14" s="115">
        <f>'Data Entry'!F13</f>
        <v>0</v>
      </c>
      <c r="I14" s="114" t="str">
        <f>Asian!G13</f>
        <v>*</v>
      </c>
      <c r="J14" s="115">
        <f>'Data Entry'!J13</f>
        <v>2</v>
      </c>
      <c r="K14" s="116" t="str">
        <f>'All Minorities'!G13</f>
        <v>**</v>
      </c>
      <c r="L14"/>
      <c r="N14" s="1">
        <f>'Black or African-American'!L13</f>
        <v>20</v>
      </c>
      <c r="O14" s="1">
        <f>Hispanic!L13</f>
        <v>40</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13</v>
      </c>
      <c r="D15" s="109">
        <f>'Data Entry'!D14</f>
        <v>1</v>
      </c>
      <c r="E15" s="110" t="str">
        <f>'Black or African-American'!$G14</f>
        <v>**</v>
      </c>
      <c r="F15" s="111">
        <f>'Data Entry'!E14</f>
        <v>1</v>
      </c>
      <c r="G15" s="110" t="str">
        <f>Hispanic!G14</f>
        <v>**</v>
      </c>
      <c r="H15" s="111">
        <f>'Data Entry'!F14</f>
        <v>0</v>
      </c>
      <c r="I15" s="110" t="str">
        <f>Asian!G14</f>
        <v>*</v>
      </c>
      <c r="J15" s="111">
        <f>'Data Entry'!J14</f>
        <v>2</v>
      </c>
      <c r="K15" s="112"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St. Joseph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4749</v>
      </c>
      <c r="D6" s="34"/>
      <c r="E6" s="33">
        <f>'Data Entry'!D6</f>
        <v>300</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3.3691303432301538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300</v>
      </c>
      <c r="P7" s="42">
        <f t="shared" ref="P7:P15" si="2">C7</f>
        <v>16</v>
      </c>
      <c r="Q7" s="42">
        <f>C6-C7</f>
        <v>4733</v>
      </c>
      <c r="R7" s="42">
        <f t="shared" ref="R7:R15" si="3">SUM(N7:Q7)</f>
        <v>5049</v>
      </c>
      <c r="S7" s="30">
        <f t="shared" ref="S7:S15" si="4">R7*((((N7*Q7)-(O7*P7))^2))</f>
        <v>116328960000</v>
      </c>
      <c r="T7" s="30">
        <f t="shared" ref="T7:T15" si="5">(N7+O7)*(P7+Q7)*(N7+P7)*(O7+Q7)</f>
        <v>114728241600</v>
      </c>
      <c r="U7" s="31">
        <f t="shared" ref="U7:U15" si="6">IF((S7&gt;0),S7/T7,"- -")</f>
        <v>1.0139522612538672</v>
      </c>
    </row>
    <row r="8" spans="2:21" ht="18" customHeight="1" x14ac:dyDescent="0.25">
      <c r="B8" s="32" t="str">
        <f>'Data Entry'!A8</f>
        <v>3. Refer to Juvenile Court</v>
      </c>
      <c r="C8" s="33">
        <f>'Data Entry'!C8</f>
        <v>69</v>
      </c>
      <c r="D8" s="34">
        <f>IF((AND(C67&gt;0,C8&gt;0)),(C8/C67),0)</f>
        <v>431.25</v>
      </c>
      <c r="E8" s="33">
        <f>'Data Entry'!D8</f>
        <v>6</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6</v>
      </c>
      <c r="O8" s="42">
        <f>((D67*L67)-E8)+0.05</f>
        <v>-5.95</v>
      </c>
      <c r="P8" s="42">
        <f t="shared" si="2"/>
        <v>69</v>
      </c>
      <c r="Q8" s="42">
        <f>(C$67*L67)-C8</f>
        <v>-53</v>
      </c>
      <c r="R8" s="42">
        <f t="shared" si="3"/>
        <v>16.049999999999997</v>
      </c>
      <c r="S8" s="30">
        <f t="shared" si="4"/>
        <v>137476.31512500002</v>
      </c>
      <c r="T8" s="30">
        <f t="shared" si="5"/>
        <v>-3536.9999999999877</v>
      </c>
      <c r="U8" s="31">
        <f t="shared" si="6"/>
        <v>-38.868056297710062</v>
      </c>
    </row>
    <row r="9" spans="2:21" ht="18" customHeight="1" x14ac:dyDescent="0.25">
      <c r="B9" s="32" t="str">
        <f>'Data Entry'!A9</f>
        <v xml:space="preserve">4. Cases Diverted </v>
      </c>
      <c r="C9" s="33">
        <f>'Data Entry'!C9</f>
        <v>5</v>
      </c>
      <c r="D9" s="34">
        <f>IF((AND(C68&gt;0,C9&gt;0)),((C9/C68)),0)</f>
        <v>7.2463768115942031</v>
      </c>
      <c r="E9" s="33">
        <f>'Data Entry'!D9</f>
        <v>1</v>
      </c>
      <c r="F9" s="34">
        <f>IF((AND($E$9&gt;0,$D$68&gt;0)),(($E$9/$D$68)),0)</f>
        <v>16.666666666666668</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5</v>
      </c>
      <c r="P9" s="42">
        <f t="shared" si="2"/>
        <v>5</v>
      </c>
      <c r="Q9" s="42">
        <f>(C$68*L68)-C9</f>
        <v>64</v>
      </c>
      <c r="R9" s="42">
        <f t="shared" si="3"/>
        <v>75</v>
      </c>
      <c r="S9" s="30">
        <f t="shared" si="4"/>
        <v>114075</v>
      </c>
      <c r="T9" s="30">
        <f t="shared" si="5"/>
        <v>171396</v>
      </c>
      <c r="U9" s="31">
        <f t="shared" si="6"/>
        <v>0.6655639571518589</v>
      </c>
    </row>
    <row r="10" spans="2:21" ht="18" customHeight="1" x14ac:dyDescent="0.25">
      <c r="B10" s="32" t="str">
        <f>'Data Entry'!A10</f>
        <v>5. Cases Involving Secure Detention</v>
      </c>
      <c r="C10" s="33">
        <f>'Data Entry'!C10</f>
        <v>22</v>
      </c>
      <c r="D10" s="34">
        <f>IF(((AND(C68&gt;0,C10&gt;0))),(C10/(C68)),0)</f>
        <v>31.884057971014496</v>
      </c>
      <c r="E10" s="33">
        <f>'Data Entry'!D10</f>
        <v>1</v>
      </c>
      <c r="F10" s="34">
        <f>IF(((AND($E$10&gt;0,$D$68&gt;0))),($E$10/($D$68)),0)</f>
        <v>16.666666666666668</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1</v>
      </c>
      <c r="O10" s="42">
        <f>(D$68*L68)-E10</f>
        <v>5</v>
      </c>
      <c r="P10" s="42">
        <f t="shared" si="2"/>
        <v>22</v>
      </c>
      <c r="Q10" s="42">
        <f>(C$68*L68)-C10</f>
        <v>47</v>
      </c>
      <c r="R10" s="42">
        <f t="shared" si="3"/>
        <v>75</v>
      </c>
      <c r="S10" s="30">
        <f t="shared" si="4"/>
        <v>297675</v>
      </c>
      <c r="T10" s="30">
        <f t="shared" si="5"/>
        <v>495144</v>
      </c>
      <c r="U10" s="31">
        <f t="shared" si="6"/>
        <v>0.60118874509233677</v>
      </c>
    </row>
    <row r="11" spans="2:21" ht="18" customHeight="1" x14ac:dyDescent="0.25">
      <c r="B11" s="32" t="str">
        <f>'Data Entry'!A11</f>
        <v>6. Cases Petitioned (Charge Filed)</v>
      </c>
      <c r="C11" s="33">
        <f>'Data Entry'!C11</f>
        <v>29</v>
      </c>
      <c r="D11" s="34">
        <f>IF(((AND(C68&gt;0,C11&gt;0))),(C11/(C68)),0)</f>
        <v>42.028985507246382</v>
      </c>
      <c r="E11" s="33">
        <f>'Data Entry'!D11</f>
        <v>3</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3</v>
      </c>
      <c r="O11" s="42">
        <f>(D$68*L68)-E11</f>
        <v>3</v>
      </c>
      <c r="P11" s="42">
        <f t="shared" si="2"/>
        <v>29</v>
      </c>
      <c r="Q11" s="42">
        <f>(C$68*L68)-C11</f>
        <v>40</v>
      </c>
      <c r="R11" s="42">
        <f t="shared" si="3"/>
        <v>75</v>
      </c>
      <c r="S11" s="30">
        <f t="shared" si="4"/>
        <v>81675</v>
      </c>
      <c r="T11" s="30">
        <f t="shared" si="5"/>
        <v>569664</v>
      </c>
      <c r="U11" s="31">
        <f t="shared" si="6"/>
        <v>0.14337398887765421</v>
      </c>
    </row>
    <row r="12" spans="2:21" ht="18" customHeight="1" x14ac:dyDescent="0.25">
      <c r="B12" s="32" t="str">
        <f>'Data Entry'!A12</f>
        <v>7. Cases Resulting in Delinquent Findings</v>
      </c>
      <c r="C12" s="33">
        <f>'Data Entry'!C12</f>
        <v>16</v>
      </c>
      <c r="D12" s="34">
        <f>IF(((AND(C69&gt;0,C12&gt;0))),(C12/(C69)),0)</f>
        <v>55.172413793103452</v>
      </c>
      <c r="E12" s="33">
        <f>'Data Entry'!D12</f>
        <v>1</v>
      </c>
      <c r="F12" s="34">
        <f>IF(((AND($D$69&gt;0,$E$12&gt;0))),(E12/(D69)),0)</f>
        <v>33.333333333333336</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2</v>
      </c>
      <c r="P12" s="42">
        <f t="shared" si="2"/>
        <v>16</v>
      </c>
      <c r="Q12" s="42">
        <f>(C69*L69)-C12</f>
        <v>12.999999999999996</v>
      </c>
      <c r="R12" s="42">
        <f t="shared" si="3"/>
        <v>31.999999999999996</v>
      </c>
      <c r="S12" s="30">
        <f t="shared" si="4"/>
        <v>11552.000000000002</v>
      </c>
      <c r="T12" s="30">
        <f t="shared" si="5"/>
        <v>22184.999999999993</v>
      </c>
      <c r="U12" s="31">
        <f t="shared" si="6"/>
        <v>0.52071219292314652</v>
      </c>
    </row>
    <row r="13" spans="2:21" ht="18" customHeight="1" x14ac:dyDescent="0.25">
      <c r="B13" s="32" t="str">
        <f>'Data Entry'!A13</f>
        <v>8. Cases Resulting in Probation Placement</v>
      </c>
      <c r="C13" s="33">
        <f>'Data Entry'!C13</f>
        <v>8</v>
      </c>
      <c r="D13" s="34">
        <f>IF(((AND(C70&gt;0,C13&gt;0))),(C13/(C70)),0)</f>
        <v>50</v>
      </c>
      <c r="E13" s="33">
        <f>'Data Entry'!D13</f>
        <v>2</v>
      </c>
      <c r="F13" s="34">
        <f>IF(((AND($D$70&gt;0,$E$13&gt;0))),($E$13/($D$70)),0)</f>
        <v>200</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2</v>
      </c>
      <c r="O13" s="42">
        <f>(D70*L70)-E13</f>
        <v>-1</v>
      </c>
      <c r="P13" s="42">
        <f t="shared" si="2"/>
        <v>8</v>
      </c>
      <c r="Q13" s="42">
        <f>(C70*L70)-C13</f>
        <v>8</v>
      </c>
      <c r="R13" s="42">
        <f t="shared" si="3"/>
        <v>17</v>
      </c>
      <c r="S13" s="30">
        <f t="shared" si="4"/>
        <v>9792</v>
      </c>
      <c r="T13" s="30">
        <f t="shared" si="5"/>
        <v>1120</v>
      </c>
      <c r="U13" s="31">
        <f t="shared" si="6"/>
        <v>8.742857142857142</v>
      </c>
    </row>
    <row r="14" spans="2:21" ht="30.75" customHeight="1" x14ac:dyDescent="0.25">
      <c r="B14" s="32" t="str">
        <f>'Data Entry'!A14</f>
        <v xml:space="preserve">9. Cases Resulting in Confinement in Secure Juvenile Correctional Facilities </v>
      </c>
      <c r="C14" s="33">
        <f>'Data Entry'!C14</f>
        <v>13</v>
      </c>
      <c r="D14" s="34">
        <f>IF(((AND(C70&gt;0,C14&gt;0))), ((C14/(C70))),0)</f>
        <v>81.25</v>
      </c>
      <c r="E14" s="33">
        <f>'Data Entry'!D14</f>
        <v>1</v>
      </c>
      <c r="F14" s="34">
        <f>IF(((AND($D$70&gt;0,$E$14&gt;0))), (($E$14/($D$70))),0)</f>
        <v>100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1</v>
      </c>
      <c r="O14" s="42">
        <f>(D70*L70)-E14</f>
        <v>0</v>
      </c>
      <c r="P14" s="42">
        <f t="shared" si="2"/>
        <v>13</v>
      </c>
      <c r="Q14" s="42">
        <f>(C70*L70)-C14</f>
        <v>3</v>
      </c>
      <c r="R14" s="42">
        <f t="shared" si="3"/>
        <v>17</v>
      </c>
      <c r="S14" s="30">
        <f t="shared" si="4"/>
        <v>153</v>
      </c>
      <c r="T14" s="30">
        <f t="shared" si="5"/>
        <v>672</v>
      </c>
      <c r="U14" s="31">
        <f t="shared" si="6"/>
        <v>0.22767857142857142</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28.999999999999996</v>
      </c>
      <c r="R15" s="42">
        <f t="shared" si="3"/>
        <v>31.999999999999996</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4.7489999999999997</v>
      </c>
      <c r="D42" s="56">
        <f>E6/1000</f>
        <v>0.3</v>
      </c>
      <c r="E42" s="56">
        <f>MAX(C42:D42)</f>
        <v>4.7489999999999997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0.69</v>
      </c>
      <c r="D44" s="56">
        <f>E8/100</f>
        <v>0.06</v>
      </c>
      <c r="E44" s="56">
        <f>MAX(C44:D44,0)</f>
        <v>0.69</v>
      </c>
      <c r="G44" s="1" t="str">
        <f>B44</f>
        <v>per 100 referrals</v>
      </c>
      <c r="L44" s="57">
        <v>100</v>
      </c>
      <c r="M44" s="57"/>
      <c r="R44" s="49"/>
    </row>
    <row r="45" spans="2:18" ht="15" hidden="1" customHeight="1" x14ac:dyDescent="0.25">
      <c r="B45" s="49" t="s">
        <v>89</v>
      </c>
      <c r="C45" s="49">
        <f>C11/100</f>
        <v>0.28999999999999998</v>
      </c>
      <c r="D45" s="49">
        <f>E11/100</f>
        <v>0.03</v>
      </c>
      <c r="E45" s="56">
        <f>MAX(C45:D45,0)</f>
        <v>0.28999999999999998</v>
      </c>
      <c r="G45" s="1" t="str">
        <f>B45</f>
        <v>per 100 youth petitioned</v>
      </c>
      <c r="L45" s="57">
        <v>100</v>
      </c>
      <c r="M45" s="57"/>
      <c r="R45" s="49"/>
    </row>
    <row r="46" spans="2:18" ht="15" hidden="1" customHeight="1" x14ac:dyDescent="0.25">
      <c r="B46" s="49" t="s">
        <v>90</v>
      </c>
      <c r="C46" s="49">
        <f>C12/100</f>
        <v>0.16</v>
      </c>
      <c r="D46" s="49">
        <f>E12/100</f>
        <v>0.01</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4.7489999999999997</v>
      </c>
      <c r="D48" s="56">
        <f>D42</f>
        <v>0.3</v>
      </c>
      <c r="E48" s="56">
        <f>MAX(C48:D48)</f>
        <v>4.7489999999999997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0.69</v>
      </c>
      <c r="D50" s="49">
        <f t="shared" si="9"/>
        <v>0.06</v>
      </c>
      <c r="E50" s="49">
        <f>MAX(C50:D50)</f>
        <v>0.69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0.28999999999999998</v>
      </c>
      <c r="D51" s="49">
        <f>IF(($E45&gt;0),D45,D44)</f>
        <v>0.03</v>
      </c>
      <c r="E51" s="49">
        <f>MAX(C51:D51)</f>
        <v>0.28999999999999998</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0.01</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4.7489999999999997</v>
      </c>
      <c r="D54" s="56">
        <f>D48</f>
        <v>0.3</v>
      </c>
      <c r="E54" s="56">
        <f>MAX(C54:D54)</f>
        <v>4.7489999999999997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0.69</v>
      </c>
      <c r="D56" s="49">
        <f t="shared" si="10"/>
        <v>0.06</v>
      </c>
      <c r="E56" s="49">
        <f>MAX(C56:D56)</f>
        <v>0.69</v>
      </c>
      <c r="G56" s="1" t="str">
        <f>G50</f>
        <v>per 100 referrals</v>
      </c>
      <c r="L56" s="58">
        <f>IF(($E50&gt;0),L50,L49)</f>
        <v>100</v>
      </c>
      <c r="M56" s="58"/>
    </row>
    <row r="57" spans="2:18" ht="15" hidden="1" customHeight="1" x14ac:dyDescent="0.25">
      <c r="B57" s="49" t="str">
        <f>IF(($E51&gt;0),B51,B49)</f>
        <v>per 100 youth petitioned</v>
      </c>
      <c r="C57" s="49">
        <f>IF(($E51&gt;0),C51,C50)</f>
        <v>0.28999999999999998</v>
      </c>
      <c r="D57" s="49">
        <f>IF(($E51&gt;0),D51,D50)</f>
        <v>0.03</v>
      </c>
      <c r="E57" s="49">
        <f>MAX(C57:D57)</f>
        <v>0.28999999999999998</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0.01</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4.7489999999999997</v>
      </c>
      <c r="D60" s="56">
        <f>D54</f>
        <v>0.3</v>
      </c>
      <c r="E60" s="56">
        <f>MAX(C60:D60)</f>
        <v>4.7489999999999997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0.69</v>
      </c>
      <c r="D62" s="49">
        <f t="shared" si="11"/>
        <v>0.06</v>
      </c>
      <c r="E62" s="49">
        <f>MAX(C62:D62)</f>
        <v>0.69</v>
      </c>
      <c r="G62" s="1" t="str">
        <f>G56</f>
        <v>per 100 referrals</v>
      </c>
      <c r="L62" s="58">
        <f>IF(($E56&gt;0),L56,L55)</f>
        <v>100</v>
      </c>
      <c r="M62" s="58"/>
    </row>
    <row r="63" spans="2:18" ht="15" hidden="1" customHeight="1" x14ac:dyDescent="0.25">
      <c r="B63" s="49" t="str">
        <f>IF(($E57&gt;0),B57,B55)</f>
        <v>per 100 youth petitioned</v>
      </c>
      <c r="C63" s="49">
        <f>IF(($E57&gt;0),C57,C56)</f>
        <v>0.28999999999999998</v>
      </c>
      <c r="D63" s="49">
        <f>IF(($E57&gt;0),D57,D56)</f>
        <v>0.03</v>
      </c>
      <c r="E63" s="49">
        <f>MAX(C63:D63)</f>
        <v>0.28999999999999998</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0.01</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4.7489999999999997</v>
      </c>
      <c r="D66" s="56">
        <f>D60</f>
        <v>0.3</v>
      </c>
      <c r="E66" s="56">
        <f>MAX(C66:D66)</f>
        <v>4.7489999999999997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0.69</v>
      </c>
      <c r="D68" s="49">
        <f t="shared" si="12"/>
        <v>0.06</v>
      </c>
      <c r="E68" s="49">
        <f>MAX(C68:D68)</f>
        <v>0.69</v>
      </c>
      <c r="G68" s="1" t="str">
        <f>G62</f>
        <v>per 100 referrals</v>
      </c>
      <c r="L68" s="58">
        <f>IF(($E62&gt;0),L62,L61)</f>
        <v>100</v>
      </c>
      <c r="M68" s="58">
        <f>IF((B68=G68),1,2)</f>
        <v>1</v>
      </c>
    </row>
    <row r="69" spans="2:13" ht="15" hidden="1" customHeight="1" x14ac:dyDescent="0.25">
      <c r="B69" s="49" t="str">
        <f>IF(($E63&gt;0),B63,B61)</f>
        <v>per 100 youth petitioned</v>
      </c>
      <c r="C69" s="49">
        <f>IF(($E63&gt;0),C63,C62)</f>
        <v>0.28999999999999998</v>
      </c>
      <c r="D69" s="49">
        <f>IF(($E63&gt;0),D63,D62)</f>
        <v>0.03</v>
      </c>
      <c r="E69" s="49">
        <f>MAX(C69:D69)</f>
        <v>0.28999999999999998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0.01</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Joseph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4749</v>
      </c>
      <c r="D6" s="34"/>
      <c r="E6" s="33">
        <f>'Data Entry'!F6</f>
        <v>44</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3.3691303432301538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44</v>
      </c>
      <c r="P7" s="42">
        <f t="shared" ref="P7:P15" si="4">C7</f>
        <v>16</v>
      </c>
      <c r="Q7" s="42">
        <f>C6-C7</f>
        <v>4733</v>
      </c>
      <c r="R7" s="42">
        <f t="shared" ref="R7:R15" si="5">SUM(N7:Q7)</f>
        <v>4793</v>
      </c>
      <c r="S7" s="30">
        <f t="shared" ref="S7:S15" si="6">R7*((((N7*Q7)-(O7*P7))^2))</f>
        <v>2375487488</v>
      </c>
      <c r="T7" s="30">
        <f t="shared" ref="T7:T15" si="7">(N7+O7)*(P7+Q7)*(N7+P7)*(O7+Q7)</f>
        <v>15970924992</v>
      </c>
      <c r="U7" s="31">
        <f t="shared" ref="U7:U15" si="8">IF((S7&gt;0),S7/T7,"- -")</f>
        <v>0.14873825336916341</v>
      </c>
    </row>
    <row r="8" spans="2:21" ht="18" customHeight="1" x14ac:dyDescent="0.25">
      <c r="B8" s="32" t="str">
        <f>'Data Entry'!A8</f>
        <v>3. Refer to Juvenile Court</v>
      </c>
      <c r="C8" s="33">
        <f>'Data Entry'!C8</f>
        <v>69</v>
      </c>
      <c r="D8" s="34">
        <f>IF((AND(C67&gt;0,C8&gt;0)),(C8/C67),0)</f>
        <v>431.25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69</v>
      </c>
      <c r="Q8" s="42">
        <f>(C$67*L67)-C8</f>
        <v>-53</v>
      </c>
      <c r="R8" s="42">
        <f t="shared" si="5"/>
        <v>16.049999999999997</v>
      </c>
      <c r="S8" s="30">
        <f t="shared" si="6"/>
        <v>191.03512499999999</v>
      </c>
      <c r="T8" s="30">
        <f t="shared" si="7"/>
        <v>-2922.84</v>
      </c>
      <c r="U8" s="31">
        <f t="shared" si="8"/>
        <v>-6.5359419263456078E-2</v>
      </c>
    </row>
    <row r="9" spans="2:21" ht="18" customHeight="1" x14ac:dyDescent="0.25">
      <c r="B9" s="32" t="str">
        <f>'Data Entry'!A9</f>
        <v xml:space="preserve">4. Cases Diverted </v>
      </c>
      <c r="C9" s="33">
        <f>'Data Entry'!C9</f>
        <v>5</v>
      </c>
      <c r="D9" s="34">
        <f>IF((AND(C68&gt;0,C9&gt;0)),((C9/C68)),0)</f>
        <v>7.2463768115942031</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64</v>
      </c>
      <c r="R9" s="42">
        <f t="shared" si="5"/>
        <v>69</v>
      </c>
      <c r="S9" s="30">
        <f t="shared" si="6"/>
        <v>0</v>
      </c>
      <c r="T9" s="30">
        <f t="shared" si="7"/>
        <v>0</v>
      </c>
      <c r="U9" s="31" t="str">
        <f t="shared" si="8"/>
        <v>- -</v>
      </c>
    </row>
    <row r="10" spans="2:21" ht="18" customHeight="1" x14ac:dyDescent="0.25">
      <c r="B10" s="32" t="str">
        <f>'Data Entry'!A10</f>
        <v>5. Cases Involving Secure Detention</v>
      </c>
      <c r="C10" s="33">
        <f>'Data Entry'!C10</f>
        <v>22</v>
      </c>
      <c r="D10" s="34">
        <f>IF(((AND(C68&gt;0,C10&gt;0))),(C10/(C68)),0)</f>
        <v>31.884057971014496</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22</v>
      </c>
      <c r="Q10" s="42">
        <f>(C$68*L68)-C10</f>
        <v>47</v>
      </c>
      <c r="R10" s="42">
        <f t="shared" si="5"/>
        <v>69</v>
      </c>
      <c r="S10" s="30">
        <f t="shared" si="6"/>
        <v>0</v>
      </c>
      <c r="T10" s="30">
        <f t="shared" si="7"/>
        <v>0</v>
      </c>
      <c r="U10" s="31" t="str">
        <f t="shared" si="8"/>
        <v>- -</v>
      </c>
    </row>
    <row r="11" spans="2:21" ht="18" customHeight="1" x14ac:dyDescent="0.25">
      <c r="B11" s="32" t="str">
        <f>'Data Entry'!A11</f>
        <v>6. Cases Petitioned (Charge Filed)</v>
      </c>
      <c r="C11" s="33">
        <f>'Data Entry'!C11</f>
        <v>29</v>
      </c>
      <c r="D11" s="34">
        <f>IF(((AND(C68&gt;0,C11&gt;0))),(C11/(C68)),0)</f>
        <v>42.028985507246382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29</v>
      </c>
      <c r="Q11" s="42">
        <f>(C$68*L68)-C11</f>
        <v>40</v>
      </c>
      <c r="R11" s="42">
        <f t="shared" si="5"/>
        <v>69</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55.172413793103452</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12.999999999999996</v>
      </c>
      <c r="R12" s="42">
        <f t="shared" si="5"/>
        <v>28.999999999999996</v>
      </c>
      <c r="S12" s="30">
        <f t="shared" si="6"/>
        <v>0</v>
      </c>
      <c r="T12" s="30">
        <f t="shared" si="7"/>
        <v>0</v>
      </c>
      <c r="U12" s="31" t="str">
        <f t="shared" si="8"/>
        <v>- -</v>
      </c>
    </row>
    <row r="13" spans="2:21" ht="18" customHeight="1" x14ac:dyDescent="0.25">
      <c r="B13" s="32" t="str">
        <f>'Data Entry'!A13</f>
        <v>8. Cases Resulting in Probation Placement</v>
      </c>
      <c r="C13" s="33">
        <f>'Data Entry'!C13</f>
        <v>8</v>
      </c>
      <c r="D13" s="34">
        <f>IF(((AND(C70&gt;0,C13&gt;0))),(C13/(C70)),0)</f>
        <v>50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v>
      </c>
      <c r="Q13" s="42">
        <f>(C70*L70)-C13</f>
        <v>8</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81.25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3</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4.7489999999999997</v>
      </c>
      <c r="D42" s="56">
        <f>E6/1000</f>
        <v>4.3999999999999997E-2</v>
      </c>
      <c r="E42" s="56">
        <f>MAX(C42:D42)</f>
        <v>4.7489999999999997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0.69</v>
      </c>
      <c r="D44" s="56">
        <f>E8/100</f>
        <v>0</v>
      </c>
      <c r="E44" s="56">
        <f>MAX(C44:D44,0)</f>
        <v>0.69</v>
      </c>
      <c r="G44" s="1" t="str">
        <f>B44</f>
        <v>per 100 referrals</v>
      </c>
      <c r="L44" s="57">
        <v>100</v>
      </c>
      <c r="M44" s="57"/>
      <c r="R44" s="49"/>
    </row>
    <row r="45" spans="2:18" ht="15" hidden="1" customHeight="1" x14ac:dyDescent="0.25">
      <c r="B45" s="49" t="s">
        <v>89</v>
      </c>
      <c r="C45" s="49">
        <f>C11/100</f>
        <v>0.28999999999999998</v>
      </c>
      <c r="D45" s="49">
        <f>E11/100</f>
        <v>0</v>
      </c>
      <c r="E45" s="56">
        <f>MAX(C45:D45,0)</f>
        <v>0.28999999999999998</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4.7489999999999997</v>
      </c>
      <c r="D48" s="56">
        <f>D42</f>
        <v>4.3999999999999997E-2</v>
      </c>
      <c r="E48" s="56">
        <f>MAX(C48:D48)</f>
        <v>4.7489999999999997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0.69</v>
      </c>
      <c r="D50" s="49">
        <f t="shared" si="9"/>
        <v>0</v>
      </c>
      <c r="E50" s="49">
        <f>MAX(C50:D50)</f>
        <v>0.69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0.28999999999999998</v>
      </c>
      <c r="D51" s="49">
        <f>IF(($E45&gt;0),D45,D44)</f>
        <v>0</v>
      </c>
      <c r="E51" s="49">
        <f>MAX(C51:D51)</f>
        <v>0.28999999999999998</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4.7489999999999997</v>
      </c>
      <c r="D54" s="56">
        <f>D48</f>
        <v>4.3999999999999997E-2</v>
      </c>
      <c r="E54" s="56">
        <f>MAX(C54:D54)</f>
        <v>4.7489999999999997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0.69</v>
      </c>
      <c r="D56" s="49">
        <f t="shared" si="10"/>
        <v>0</v>
      </c>
      <c r="E56" s="49">
        <f>MAX(C56:D56)</f>
        <v>0.69</v>
      </c>
      <c r="G56" s="1" t="str">
        <f>G50</f>
        <v>per 100 referrals</v>
      </c>
      <c r="L56" s="58">
        <f>IF(($E50&gt;0),L50,L49)</f>
        <v>100</v>
      </c>
      <c r="M56" s="58"/>
    </row>
    <row r="57" spans="2:18" ht="15" hidden="1" customHeight="1" x14ac:dyDescent="0.25">
      <c r="B57" s="49" t="str">
        <f>IF(($E51&gt;0),B51,B49)</f>
        <v>per 100 youth petitioned</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4.7489999999999997</v>
      </c>
      <c r="D60" s="56">
        <f>D54</f>
        <v>4.3999999999999997E-2</v>
      </c>
      <c r="E60" s="56">
        <f>MAX(C60:D60)</f>
        <v>4.7489999999999997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0.69</v>
      </c>
      <c r="D62" s="49">
        <f t="shared" si="11"/>
        <v>0</v>
      </c>
      <c r="E62" s="49">
        <f>MAX(C62:D62)</f>
        <v>0.69</v>
      </c>
      <c r="G62" s="1" t="str">
        <f>G56</f>
        <v>per 100 referrals</v>
      </c>
      <c r="L62" s="58">
        <f>IF(($E56&gt;0),L56,L55)</f>
        <v>100</v>
      </c>
      <c r="M62" s="58"/>
    </row>
    <row r="63" spans="2:18" ht="15" hidden="1" customHeight="1" x14ac:dyDescent="0.25">
      <c r="B63" s="49" t="str">
        <f>IF(($E57&gt;0),B57,B55)</f>
        <v>per 100 youth petitioned</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4.7489999999999997</v>
      </c>
      <c r="D66" s="56">
        <f>D60</f>
        <v>4.3999999999999997E-2</v>
      </c>
      <c r="E66" s="56">
        <f>MAX(C66:D66)</f>
        <v>4.7489999999999997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0.69</v>
      </c>
      <c r="D68" s="49">
        <f t="shared" si="12"/>
        <v>0</v>
      </c>
      <c r="E68" s="49">
        <f>MAX(C68:D68)</f>
        <v>0.69</v>
      </c>
      <c r="G68" s="1" t="str">
        <f>G62</f>
        <v>per 100 referrals</v>
      </c>
      <c r="L68" s="58">
        <f>IF(($E62&gt;0),L62,L61)</f>
        <v>100</v>
      </c>
      <c r="M68" s="58">
        <f>IF((B68=G68),1,2)</f>
        <v>1</v>
      </c>
    </row>
    <row r="69" spans="2:13" ht="15" hidden="1" customHeight="1" x14ac:dyDescent="0.25">
      <c r="B69" s="49" t="str">
        <f>IF(($E63&gt;0),B63,B61)</f>
        <v>per 100 youth petitioned</v>
      </c>
      <c r="C69" s="49">
        <f>IF(($E63&gt;0),C63,C62)</f>
        <v>0.28999999999999998</v>
      </c>
      <c r="D69" s="49">
        <f>IF(($E63&gt;0),D63,D62)</f>
        <v>0</v>
      </c>
      <c r="E69" s="49">
        <f>MAX(C69:D69)</f>
        <v>0.28999999999999998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Joseph</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4749</v>
      </c>
      <c r="D6" s="34"/>
      <c r="E6" s="33">
        <f>'Data Entry'!E6</f>
        <v>866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3.3691303432301538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866</v>
      </c>
      <c r="P7" s="42">
        <f t="shared" ref="P7:P15" si="4">C7</f>
        <v>16</v>
      </c>
      <c r="Q7" s="42">
        <f>C6-C7</f>
        <v>4733</v>
      </c>
      <c r="R7" s="42">
        <f t="shared" ref="R7:R15" si="5">SUM(N7:Q7)</f>
        <v>5615</v>
      </c>
      <c r="S7" s="30">
        <f t="shared" ref="S7:S15" si="6">R7*((((N7*Q7)-(O7*P7))^2))</f>
        <v>1078016752640</v>
      </c>
      <c r="T7" s="30">
        <f t="shared" ref="T7:T15" si="7">(N7+O7)*(P7+Q7)*(N7+P7)*(O7+Q7)</f>
        <v>368426204256</v>
      </c>
      <c r="U7" s="31">
        <f t="shared" ref="U7:U15" si="8">IF((S7&gt;0),S7/T7,"- -")</f>
        <v>2.9260045571865536</v>
      </c>
    </row>
    <row r="8" spans="2:21" ht="18" customHeight="1" x14ac:dyDescent="0.25">
      <c r="B8" s="32" t="str">
        <f>'Data Entry'!A8</f>
        <v>3. Refer to Juvenile Court</v>
      </c>
      <c r="C8" s="33">
        <f>'Data Entry'!C8</f>
        <v>69</v>
      </c>
      <c r="D8" s="34">
        <f>IF((AND(C67&gt;0,C8&gt;0)),(C8/C67),0)</f>
        <v>431.25</v>
      </c>
      <c r="E8" s="33">
        <f>'Data Entry'!E8</f>
        <v>3</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v>
      </c>
      <c r="O8" s="42">
        <f>((D67*L67)-E8)+0.05</f>
        <v>-2.95</v>
      </c>
      <c r="P8" s="42">
        <f t="shared" si="4"/>
        <v>69</v>
      </c>
      <c r="Q8" s="42">
        <f>(C$67*L67)-C8</f>
        <v>-53</v>
      </c>
      <c r="R8" s="42">
        <f t="shared" si="5"/>
        <v>16.049999999999997</v>
      </c>
      <c r="S8" s="30">
        <f t="shared" si="6"/>
        <v>31854.475125000012</v>
      </c>
      <c r="T8" s="30">
        <f t="shared" si="7"/>
        <v>-3222.7199999999889</v>
      </c>
      <c r="U8" s="31">
        <f t="shared" si="8"/>
        <v>-9.8843446296917268</v>
      </c>
    </row>
    <row r="9" spans="2:21" ht="18" customHeight="1" x14ac:dyDescent="0.25">
      <c r="B9" s="32" t="str">
        <f>'Data Entry'!A9</f>
        <v xml:space="preserve">4. Cases Diverted </v>
      </c>
      <c r="C9" s="33">
        <f>'Data Entry'!C9</f>
        <v>5</v>
      </c>
      <c r="D9" s="34">
        <f>IF((AND(C68&gt;0,C9&gt;0)),((C9/C68)),0)</f>
        <v>7.2463768115942031</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v>
      </c>
      <c r="P9" s="42">
        <f t="shared" si="4"/>
        <v>5</v>
      </c>
      <c r="Q9" s="42">
        <f>(C$68*L68)-C9</f>
        <v>64</v>
      </c>
      <c r="R9" s="42">
        <f t="shared" si="5"/>
        <v>72</v>
      </c>
      <c r="S9" s="30">
        <f t="shared" si="6"/>
        <v>16200</v>
      </c>
      <c r="T9" s="30">
        <f t="shared" si="7"/>
        <v>69345</v>
      </c>
      <c r="U9" s="31">
        <f t="shared" si="8"/>
        <v>0.2336145360155743</v>
      </c>
    </row>
    <row r="10" spans="2:21" ht="18" customHeight="1" x14ac:dyDescent="0.25">
      <c r="B10" s="32" t="str">
        <f>'Data Entry'!A10</f>
        <v>5. Cases Involving Secure Detention</v>
      </c>
      <c r="C10" s="33">
        <f>'Data Entry'!C10</f>
        <v>22</v>
      </c>
      <c r="D10" s="34">
        <f>IF(((AND(C68&gt;0,C10&gt;0))),(C10/(C68)),0)</f>
        <v>31.884057971014496</v>
      </c>
      <c r="E10" s="33">
        <f>'Data Entry'!E10</f>
        <v>1</v>
      </c>
      <c r="F10" s="34">
        <f>IF(((AND($E$10&gt;0,$D$68&gt;0))),($E$10/($D$68)),0)</f>
        <v>33.333333333333336</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2</v>
      </c>
      <c r="P10" s="42">
        <f t="shared" si="4"/>
        <v>22</v>
      </c>
      <c r="Q10" s="42">
        <f>(C$68*L68)-C10</f>
        <v>47</v>
      </c>
      <c r="R10" s="42">
        <f t="shared" si="5"/>
        <v>72</v>
      </c>
      <c r="S10" s="30">
        <f t="shared" si="6"/>
        <v>648</v>
      </c>
      <c r="T10" s="30">
        <f t="shared" si="7"/>
        <v>233289</v>
      </c>
      <c r="U10" s="31">
        <f t="shared" si="8"/>
        <v>2.7776706145596236E-3</v>
      </c>
    </row>
    <row r="11" spans="2:21" ht="18" customHeight="1" x14ac:dyDescent="0.25">
      <c r="B11" s="32" t="str">
        <f>'Data Entry'!A11</f>
        <v>6. Cases Petitioned (Charge Filed)</v>
      </c>
      <c r="C11" s="33">
        <f>'Data Entry'!C11</f>
        <v>29</v>
      </c>
      <c r="D11" s="34">
        <f>IF(((AND(C68&gt;0,C11&gt;0))),(C11/(C68)),0)</f>
        <v>42.028985507246382</v>
      </c>
      <c r="E11" s="33">
        <f>'Data Entry'!E11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29</v>
      </c>
      <c r="Q11" s="42">
        <f>(C$68*L68)-C11</f>
        <v>40</v>
      </c>
      <c r="R11" s="42">
        <f t="shared" si="5"/>
        <v>72</v>
      </c>
      <c r="S11" s="30">
        <f t="shared" si="6"/>
        <v>187272</v>
      </c>
      <c r="T11" s="30">
        <f t="shared" si="7"/>
        <v>263097</v>
      </c>
      <c r="U11" s="31">
        <f t="shared" si="8"/>
        <v>0.71179831012896388</v>
      </c>
    </row>
    <row r="12" spans="2:21" ht="18" customHeight="1" x14ac:dyDescent="0.25">
      <c r="B12" s="32" t="str">
        <f>'Data Entry'!A12</f>
        <v>7. Cases Resulting in Delinquent Findings</v>
      </c>
      <c r="C12" s="33">
        <f>'Data Entry'!C12</f>
        <v>16</v>
      </c>
      <c r="D12" s="34">
        <f>IF(((AND(C69&gt;0,C12&gt;0))),(C12/(C69)),0)</f>
        <v>55.172413793103452</v>
      </c>
      <c r="E12" s="33">
        <f>'Data Entry'!E12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16</v>
      </c>
      <c r="Q12" s="42">
        <f>(C69*L69)-C12</f>
        <v>12.999999999999996</v>
      </c>
      <c r="R12" s="42">
        <f t="shared" si="5"/>
        <v>30.999999999999996</v>
      </c>
      <c r="S12" s="30">
        <f t="shared" si="6"/>
        <v>279.00000000000063</v>
      </c>
      <c r="T12" s="30">
        <f t="shared" si="7"/>
        <v>13803.999999999995</v>
      </c>
      <c r="U12" s="31">
        <f t="shared" si="8"/>
        <v>2.0211532889017728E-2</v>
      </c>
    </row>
    <row r="13" spans="2:21" ht="18" customHeight="1" x14ac:dyDescent="0.25">
      <c r="B13" s="32" t="str">
        <f>'Data Entry'!A13</f>
        <v>8. Cases Resulting in Probation Placement</v>
      </c>
      <c r="C13" s="33">
        <f>'Data Entry'!C13</f>
        <v>8</v>
      </c>
      <c r="D13" s="34">
        <f>IF(((AND(C70&gt;0,C13&gt;0))),(C13/(C70)),0)</f>
        <v>50</v>
      </c>
      <c r="E13" s="33">
        <f>'Data Entry'!E13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1</v>
      </c>
      <c r="P13" s="42">
        <f t="shared" si="4"/>
        <v>8</v>
      </c>
      <c r="Q13" s="42">
        <f>(C70*L70)-C13</f>
        <v>8</v>
      </c>
      <c r="R13" s="42">
        <f t="shared" si="5"/>
        <v>17</v>
      </c>
      <c r="S13" s="30">
        <f t="shared" si="6"/>
        <v>1088</v>
      </c>
      <c r="T13" s="30">
        <f t="shared" si="7"/>
        <v>1152</v>
      </c>
      <c r="U13" s="31">
        <f t="shared" si="8"/>
        <v>0.94444444444444442</v>
      </c>
    </row>
    <row r="14" spans="2:21" ht="30.75" customHeight="1" x14ac:dyDescent="0.25">
      <c r="B14" s="32" t="str">
        <f>'Data Entry'!A14</f>
        <v xml:space="preserve">9. Cases Resulting in Confinement in Secure Juvenile Correctional Facilities </v>
      </c>
      <c r="C14" s="33">
        <f>'Data Entry'!C14</f>
        <v>13</v>
      </c>
      <c r="D14" s="34">
        <f>IF(((AND(C70&gt;0,C14&gt;0))), ((C14/(C70))),0)</f>
        <v>81.25</v>
      </c>
      <c r="E14" s="33">
        <f>'Data Entry'!E14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0</v>
      </c>
      <c r="P14" s="42">
        <f t="shared" si="4"/>
        <v>13</v>
      </c>
      <c r="Q14" s="42">
        <f>(C70*L70)-C14</f>
        <v>3</v>
      </c>
      <c r="R14" s="42">
        <f t="shared" si="5"/>
        <v>17</v>
      </c>
      <c r="S14" s="30">
        <f t="shared" si="6"/>
        <v>153</v>
      </c>
      <c r="T14" s="30">
        <f t="shared" si="7"/>
        <v>672</v>
      </c>
      <c r="U14" s="31">
        <f t="shared" si="8"/>
        <v>0.22767857142857142</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28.999999999999996</v>
      </c>
      <c r="R15" s="42">
        <f t="shared" si="5"/>
        <v>30.999999999999996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4.7489999999999997</v>
      </c>
      <c r="D42" s="56">
        <f>E6/1000</f>
        <v>0.86599999999999999</v>
      </c>
      <c r="E42" s="56">
        <f>MAX(C42:D42)</f>
        <v>4.7489999999999997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0.69</v>
      </c>
      <c r="D44" s="56">
        <f>E8/100</f>
        <v>0.03</v>
      </c>
      <c r="E44" s="56">
        <f>MAX(C44:D44,0)</f>
        <v>0.69</v>
      </c>
      <c r="G44" s="1" t="str">
        <f>B44</f>
        <v>per 100 referrals</v>
      </c>
      <c r="L44" s="57">
        <v>100</v>
      </c>
      <c r="M44" s="57"/>
      <c r="R44" s="49"/>
    </row>
    <row r="45" spans="2:18" ht="15" hidden="1" customHeight="1" x14ac:dyDescent="0.25">
      <c r="B45" s="49" t="s">
        <v>89</v>
      </c>
      <c r="C45" s="49">
        <f>C11/100</f>
        <v>0.28999999999999998</v>
      </c>
      <c r="D45" s="49">
        <f>E11/100</f>
        <v>0.02</v>
      </c>
      <c r="E45" s="56">
        <f>MAX(C45:D45,0)</f>
        <v>0.28999999999999998</v>
      </c>
      <c r="G45" s="1" t="str">
        <f>B45</f>
        <v>per 100 youth petitioned</v>
      </c>
      <c r="L45" s="57">
        <v>100</v>
      </c>
      <c r="M45" s="57"/>
      <c r="R45" s="49"/>
    </row>
    <row r="46" spans="2:18" ht="15" hidden="1" customHeight="1" x14ac:dyDescent="0.25">
      <c r="B46" s="49" t="s">
        <v>90</v>
      </c>
      <c r="C46" s="49">
        <f>C12/100</f>
        <v>0.16</v>
      </c>
      <c r="D46" s="49">
        <f>E12/100</f>
        <v>0.01</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4.7489999999999997</v>
      </c>
      <c r="D48" s="56">
        <f>D42</f>
        <v>0.86599999999999999</v>
      </c>
      <c r="E48" s="56">
        <f>MAX(C48:D48)</f>
        <v>4.7489999999999997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0.69</v>
      </c>
      <c r="D50" s="49">
        <f t="shared" si="9"/>
        <v>0.03</v>
      </c>
      <c r="E50" s="49">
        <f>MAX(C50:D50)</f>
        <v>0.69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0.28999999999999998</v>
      </c>
      <c r="D51" s="49">
        <f>IF(($E45&gt;0),D45,D44)</f>
        <v>0.02</v>
      </c>
      <c r="E51" s="49">
        <f>MAX(C51:D51)</f>
        <v>0.28999999999999998</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0.01</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4.7489999999999997</v>
      </c>
      <c r="D54" s="56">
        <f>D48</f>
        <v>0.86599999999999999</v>
      </c>
      <c r="E54" s="56">
        <f>MAX(C54:D54)</f>
        <v>4.7489999999999997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0.69</v>
      </c>
      <c r="D56" s="49">
        <f t="shared" si="10"/>
        <v>0.03</v>
      </c>
      <c r="E56" s="49">
        <f>MAX(C56:D56)</f>
        <v>0.69</v>
      </c>
      <c r="G56" s="1" t="str">
        <f>G50</f>
        <v>per 100 referrals</v>
      </c>
      <c r="L56" s="58">
        <f>IF(($E50&gt;0),L50,L49)</f>
        <v>100</v>
      </c>
      <c r="M56" s="58"/>
    </row>
    <row r="57" spans="2:18" ht="15" hidden="1" customHeight="1" x14ac:dyDescent="0.25">
      <c r="B57" s="49" t="str">
        <f>IF(($E51&gt;0),B51,B49)</f>
        <v>per 100 youth petitioned</v>
      </c>
      <c r="C57" s="49">
        <f>IF(($E51&gt;0),C51,C50)</f>
        <v>0.28999999999999998</v>
      </c>
      <c r="D57" s="49">
        <f>IF(($E51&gt;0),D51,D50)</f>
        <v>0.02</v>
      </c>
      <c r="E57" s="49">
        <f>MAX(C57:D57)</f>
        <v>0.28999999999999998</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0.01</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4.7489999999999997</v>
      </c>
      <c r="D60" s="56">
        <f>D54</f>
        <v>0.86599999999999999</v>
      </c>
      <c r="E60" s="56">
        <f>MAX(C60:D60)</f>
        <v>4.7489999999999997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0.69</v>
      </c>
      <c r="D62" s="49">
        <f t="shared" si="11"/>
        <v>0.03</v>
      </c>
      <c r="E62" s="49">
        <f>MAX(C62:D62)</f>
        <v>0.69</v>
      </c>
      <c r="G62" s="1" t="str">
        <f>G56</f>
        <v>per 100 referrals</v>
      </c>
      <c r="L62" s="58">
        <f>IF(($E56&gt;0),L56,L55)</f>
        <v>100</v>
      </c>
      <c r="M62" s="58"/>
    </row>
    <row r="63" spans="2:18" ht="15" hidden="1" customHeight="1" x14ac:dyDescent="0.25">
      <c r="B63" s="49" t="str">
        <f>IF(($E57&gt;0),B57,B55)</f>
        <v>per 100 youth petitioned</v>
      </c>
      <c r="C63" s="49">
        <f>IF(($E57&gt;0),C57,C56)</f>
        <v>0.28999999999999998</v>
      </c>
      <c r="D63" s="49">
        <f>IF(($E57&gt;0),D57,D56)</f>
        <v>0.02</v>
      </c>
      <c r="E63" s="49">
        <f>MAX(C63:D63)</f>
        <v>0.28999999999999998</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0.01</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4.7489999999999997</v>
      </c>
      <c r="D66" s="56">
        <f>D60</f>
        <v>0.86599999999999999</v>
      </c>
      <c r="E66" s="56">
        <f>MAX(C66:D66)</f>
        <v>4.7489999999999997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0.69</v>
      </c>
      <c r="D68" s="49">
        <f t="shared" si="12"/>
        <v>0.03</v>
      </c>
      <c r="E68" s="49">
        <f>MAX(C68:D68)</f>
        <v>0.69</v>
      </c>
      <c r="G68" s="1" t="str">
        <f>G62</f>
        <v>per 100 referrals</v>
      </c>
      <c r="L68" s="58">
        <f>IF(($E62&gt;0),L62,L61)</f>
        <v>100</v>
      </c>
      <c r="M68" s="58">
        <f>IF((B68=G68),1,2)</f>
        <v>1</v>
      </c>
    </row>
    <row r="69" spans="2:13" ht="15" hidden="1" customHeight="1" x14ac:dyDescent="0.25">
      <c r="B69" s="49" t="str">
        <f>IF(($E63&gt;0),B63,B61)</f>
        <v>per 100 youth petitioned</v>
      </c>
      <c r="C69" s="49">
        <f>IF(($E63&gt;0),C63,C62)</f>
        <v>0.28999999999999998</v>
      </c>
      <c r="D69" s="49">
        <f>IF(($E63&gt;0),D63,D62)</f>
        <v>0.02</v>
      </c>
      <c r="E69" s="49">
        <f>MAX(C69:D69)</f>
        <v>0.28999999999999998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0.01</v>
      </c>
      <c r="E70" s="56">
        <f>MAX(C70:D70)</f>
        <v>0.16</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Joseph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4749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3.3691303432301538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4733</v>
      </c>
      <c r="R7" s="42">
        <f t="shared" ref="R7:R15" si="5">SUM(N7:Q7)</f>
        <v>4749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69</v>
      </c>
      <c r="D8" s="34">
        <f>IF((AND(C67&gt;0,C8&gt;0)),(C8/C67),0)</f>
        <v>431.25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69</v>
      </c>
      <c r="Q8" s="42">
        <f>(C$67*L67)-C8</f>
        <v>-53</v>
      </c>
      <c r="R8" s="42">
        <f t="shared" si="5"/>
        <v>16.049999999999997</v>
      </c>
      <c r="S8" s="30">
        <f t="shared" si="6"/>
        <v>191.03512499999999</v>
      </c>
      <c r="T8" s="30">
        <f t="shared" si="7"/>
        <v>-2922.84</v>
      </c>
      <c r="U8" s="31">
        <f t="shared" si="8"/>
        <v>-6.5359419263456078E-2</v>
      </c>
    </row>
    <row r="9" spans="2:21" ht="18" customHeight="1" x14ac:dyDescent="0.25">
      <c r="B9" s="32" t="str">
        <f>'Data Entry'!A9</f>
        <v xml:space="preserve">4. Cases Diverted </v>
      </c>
      <c r="C9" s="33">
        <f>'Data Entry'!C9</f>
        <v>5</v>
      </c>
      <c r="D9" s="34">
        <f>IF((AND(C68&gt;0,C9&gt;0)),((C9/C68)),0)</f>
        <v>7.2463768115942031</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64</v>
      </c>
      <c r="R9" s="42">
        <f t="shared" si="5"/>
        <v>69</v>
      </c>
      <c r="S9" s="30">
        <f t="shared" si="6"/>
        <v>0</v>
      </c>
      <c r="T9" s="30">
        <f t="shared" si="7"/>
        <v>0</v>
      </c>
      <c r="U9" s="31" t="str">
        <f t="shared" si="8"/>
        <v>- -</v>
      </c>
    </row>
    <row r="10" spans="2:21" ht="18" customHeight="1" x14ac:dyDescent="0.25">
      <c r="B10" s="32" t="str">
        <f>'Data Entry'!A10</f>
        <v>5. Cases Involving Secure Detention</v>
      </c>
      <c r="C10" s="33">
        <f>'Data Entry'!C10</f>
        <v>22</v>
      </c>
      <c r="D10" s="34">
        <f>IF(((AND(C68&gt;0,C10&gt;0))),(C10/(C68)),0)</f>
        <v>31.884057971014496</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22</v>
      </c>
      <c r="Q10" s="42">
        <f>(C$68*L68)-C10</f>
        <v>47</v>
      </c>
      <c r="R10" s="42">
        <f t="shared" si="5"/>
        <v>69</v>
      </c>
      <c r="S10" s="30">
        <f t="shared" si="6"/>
        <v>0</v>
      </c>
      <c r="T10" s="30">
        <f t="shared" si="7"/>
        <v>0</v>
      </c>
      <c r="U10" s="31" t="str">
        <f t="shared" si="8"/>
        <v>- -</v>
      </c>
    </row>
    <row r="11" spans="2:21" ht="18" customHeight="1" x14ac:dyDescent="0.25">
      <c r="B11" s="32" t="str">
        <f>'Data Entry'!A11</f>
        <v>6. Cases Petitioned (Charge Filed)</v>
      </c>
      <c r="C11" s="33">
        <f>'Data Entry'!C11</f>
        <v>29</v>
      </c>
      <c r="D11" s="34">
        <f>IF(((AND(C68&gt;0,C11&gt;0))),(C11/(C68)),0)</f>
        <v>42.028985507246382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29</v>
      </c>
      <c r="Q11" s="42">
        <f>(C$68*L68)-C11</f>
        <v>40</v>
      </c>
      <c r="R11" s="42">
        <f t="shared" si="5"/>
        <v>69</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55.172413793103452</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12.999999999999996</v>
      </c>
      <c r="R12" s="42">
        <f t="shared" si="5"/>
        <v>28.999999999999996</v>
      </c>
      <c r="S12" s="30">
        <f t="shared" si="6"/>
        <v>0</v>
      </c>
      <c r="T12" s="30">
        <f t="shared" si="7"/>
        <v>0</v>
      </c>
      <c r="U12" s="31" t="str">
        <f t="shared" si="8"/>
        <v>- -</v>
      </c>
    </row>
    <row r="13" spans="2:21" ht="18" customHeight="1" x14ac:dyDescent="0.25">
      <c r="B13" s="32" t="str">
        <f>'Data Entry'!A13</f>
        <v>8. Cases Resulting in Probation Placement</v>
      </c>
      <c r="C13" s="33">
        <f>'Data Entry'!C13</f>
        <v>8</v>
      </c>
      <c r="D13" s="34">
        <f>IF(((AND(C70&gt;0,C13&gt;0))),(C13/(C70)),0)</f>
        <v>50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v>
      </c>
      <c r="Q13" s="42">
        <f>(C70*L70)-C13</f>
        <v>8</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81.25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3</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4.7489999999999997</v>
      </c>
      <c r="D42" s="56">
        <f>E6/1000</f>
        <v>0</v>
      </c>
      <c r="E42" s="56">
        <f>MAX(C42:D42)</f>
        <v>4.7489999999999997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0.69</v>
      </c>
      <c r="D44" s="56">
        <f>E8/100</f>
        <v>0</v>
      </c>
      <c r="E44" s="56">
        <f>MAX(C44:D44,0)</f>
        <v>0.69</v>
      </c>
      <c r="G44" s="1" t="str">
        <f>B44</f>
        <v>per 100 referrals</v>
      </c>
      <c r="L44" s="57">
        <v>100</v>
      </c>
      <c r="M44" s="57"/>
      <c r="R44" s="49"/>
    </row>
    <row r="45" spans="2:18" ht="15" hidden="1" customHeight="1" x14ac:dyDescent="0.25">
      <c r="B45" s="49" t="s">
        <v>89</v>
      </c>
      <c r="C45" s="49">
        <f>C11/100</f>
        <v>0.28999999999999998</v>
      </c>
      <c r="D45" s="49">
        <f>E11/100</f>
        <v>0</v>
      </c>
      <c r="E45" s="56">
        <f>MAX(C45:D45,0)</f>
        <v>0.28999999999999998</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4.7489999999999997</v>
      </c>
      <c r="D48" s="56">
        <f>D42</f>
        <v>0</v>
      </c>
      <c r="E48" s="56">
        <f>MAX(C48:D48)</f>
        <v>4.7489999999999997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0.69</v>
      </c>
      <c r="D50" s="49">
        <f t="shared" si="9"/>
        <v>0</v>
      </c>
      <c r="E50" s="49">
        <f>MAX(C50:D50)</f>
        <v>0.69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0.28999999999999998</v>
      </c>
      <c r="D51" s="49">
        <f>IF(($E45&gt;0),D45,D44)</f>
        <v>0</v>
      </c>
      <c r="E51" s="49">
        <f>MAX(C51:D51)</f>
        <v>0.28999999999999998</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4.7489999999999997</v>
      </c>
      <c r="D54" s="56">
        <f>D48</f>
        <v>0</v>
      </c>
      <c r="E54" s="56">
        <f>MAX(C54:D54)</f>
        <v>4.7489999999999997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0.69</v>
      </c>
      <c r="D56" s="49">
        <f t="shared" si="10"/>
        <v>0</v>
      </c>
      <c r="E56" s="49">
        <f>MAX(C56:D56)</f>
        <v>0.69</v>
      </c>
      <c r="G56" s="1" t="str">
        <f>G50</f>
        <v>per 100 referrals</v>
      </c>
      <c r="L56" s="58">
        <f>IF(($E50&gt;0),L50,L49)</f>
        <v>100</v>
      </c>
      <c r="M56" s="58"/>
    </row>
    <row r="57" spans="2:18" ht="15" hidden="1" customHeight="1" x14ac:dyDescent="0.25">
      <c r="B57" s="49" t="str">
        <f>IF(($E51&gt;0),B51,B49)</f>
        <v>per 100 youth petitioned</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4.7489999999999997</v>
      </c>
      <c r="D60" s="56">
        <f>D54</f>
        <v>0</v>
      </c>
      <c r="E60" s="56">
        <f>MAX(C60:D60)</f>
        <v>4.7489999999999997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0.69</v>
      </c>
      <c r="D62" s="49">
        <f t="shared" si="11"/>
        <v>0</v>
      </c>
      <c r="E62" s="49">
        <f>MAX(C62:D62)</f>
        <v>0.69</v>
      </c>
      <c r="G62" s="1" t="str">
        <f>G56</f>
        <v>per 100 referrals</v>
      </c>
      <c r="L62" s="58">
        <f>IF(($E56&gt;0),L56,L55)</f>
        <v>100</v>
      </c>
      <c r="M62" s="58"/>
    </row>
    <row r="63" spans="2:18" ht="15" hidden="1" customHeight="1" x14ac:dyDescent="0.25">
      <c r="B63" s="49" t="str">
        <f>IF(($E57&gt;0),B57,B55)</f>
        <v>per 100 youth petitioned</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4.7489999999999997</v>
      </c>
      <c r="D66" s="56">
        <f>D60</f>
        <v>0</v>
      </c>
      <c r="E66" s="56">
        <f>MAX(C66:D66)</f>
        <v>4.7489999999999997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0.69</v>
      </c>
      <c r="D68" s="49">
        <f t="shared" si="12"/>
        <v>0</v>
      </c>
      <c r="E68" s="49">
        <f>MAX(C68:D68)</f>
        <v>0.69</v>
      </c>
      <c r="G68" s="1" t="str">
        <f>G62</f>
        <v>per 100 referrals</v>
      </c>
      <c r="L68" s="58">
        <f>IF(($E62&gt;0),L62,L61)</f>
        <v>100</v>
      </c>
      <c r="M68" s="58">
        <f>IF((B68=G68),1,2)</f>
        <v>1</v>
      </c>
    </row>
    <row r="69" spans="2:13" ht="15" hidden="1" customHeight="1" x14ac:dyDescent="0.25">
      <c r="B69" s="49" t="str">
        <f>IF(($E63&gt;0),B63,B61)</f>
        <v>per 100 youth petitioned</v>
      </c>
      <c r="C69" s="49">
        <f>IF(($E63&gt;0),C63,C62)</f>
        <v>0.28999999999999998</v>
      </c>
      <c r="D69" s="49">
        <f>IF(($E63&gt;0),D63,D62)</f>
        <v>0</v>
      </c>
      <c r="E69" s="49">
        <f>MAX(C69:D69)</f>
        <v>0.28999999999999998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Joseph</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4749</v>
      </c>
      <c r="D6" s="34"/>
      <c r="E6" s="33">
        <f>'Data Entry'!H6</f>
        <v>31</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3.3691303432301538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31</v>
      </c>
      <c r="P7" s="42">
        <f t="shared" ref="P7:P15" si="4">C7</f>
        <v>16</v>
      </c>
      <c r="Q7" s="42">
        <f>C6-C7</f>
        <v>4733</v>
      </c>
      <c r="R7" s="42">
        <f t="shared" ref="R7:R15" si="5">SUM(N7:Q7)</f>
        <v>4780</v>
      </c>
      <c r="S7" s="30">
        <f t="shared" ref="S7:S15" si="6">R7*((((N7*Q7)-(O7*P7))^2))</f>
        <v>1175956480</v>
      </c>
      <c r="T7" s="30">
        <f t="shared" ref="T7:T15" si="7">(N7+O7)*(P7+Q7)*(N7+P7)*(O7+Q7)</f>
        <v>11221621056</v>
      </c>
      <c r="U7" s="31">
        <f t="shared" ref="U7:U15" si="8">IF((S7&gt;0),S7/T7,"- -")</f>
        <v>0.10479381491600423</v>
      </c>
    </row>
    <row r="8" spans="2:21" ht="18" customHeight="1" x14ac:dyDescent="0.25">
      <c r="B8" s="32" t="str">
        <f>'Data Entry'!A8</f>
        <v>3. Refer to Juvenile Court</v>
      </c>
      <c r="C8" s="33">
        <f>'Data Entry'!C8</f>
        <v>69</v>
      </c>
      <c r="D8" s="34">
        <f>IF((AND(C67&gt;0,C8&gt;0)),(C8/C67),0)</f>
        <v>431.25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69</v>
      </c>
      <c r="Q8" s="42">
        <f>(C$67*L67)-C8</f>
        <v>-53</v>
      </c>
      <c r="R8" s="42">
        <f t="shared" si="5"/>
        <v>16.049999999999997</v>
      </c>
      <c r="S8" s="30">
        <f t="shared" si="6"/>
        <v>191.03512499999999</v>
      </c>
      <c r="T8" s="30">
        <f t="shared" si="7"/>
        <v>-2922.84</v>
      </c>
      <c r="U8" s="31">
        <f t="shared" si="8"/>
        <v>-6.5359419263456078E-2</v>
      </c>
    </row>
    <row r="9" spans="2:21" ht="18" customHeight="1" x14ac:dyDescent="0.25">
      <c r="B9" s="32" t="str">
        <f>'Data Entry'!A9</f>
        <v xml:space="preserve">4. Cases Diverted </v>
      </c>
      <c r="C9" s="33">
        <f>'Data Entry'!C9</f>
        <v>5</v>
      </c>
      <c r="D9" s="34">
        <f>IF((AND(C68&gt;0,C9&gt;0)),((C9/C68)),0)</f>
        <v>7.2463768115942031</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64</v>
      </c>
      <c r="R9" s="42">
        <f t="shared" si="5"/>
        <v>69</v>
      </c>
      <c r="S9" s="30">
        <f t="shared" si="6"/>
        <v>0</v>
      </c>
      <c r="T9" s="30">
        <f t="shared" si="7"/>
        <v>0</v>
      </c>
      <c r="U9" s="31" t="str">
        <f t="shared" si="8"/>
        <v>- -</v>
      </c>
    </row>
    <row r="10" spans="2:21" ht="18" customHeight="1" x14ac:dyDescent="0.25">
      <c r="B10" s="32" t="str">
        <f>'Data Entry'!A10</f>
        <v>5. Cases Involving Secure Detention</v>
      </c>
      <c r="C10" s="33">
        <f>'Data Entry'!C10</f>
        <v>22</v>
      </c>
      <c r="D10" s="34">
        <f>IF(((AND(C68&gt;0,C10&gt;0))),(C10/(C68)),0)</f>
        <v>31.884057971014496</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22</v>
      </c>
      <c r="Q10" s="42">
        <f>(C$68*L68)-C10</f>
        <v>47</v>
      </c>
      <c r="R10" s="42">
        <f t="shared" si="5"/>
        <v>69</v>
      </c>
      <c r="S10" s="30">
        <f t="shared" si="6"/>
        <v>0</v>
      </c>
      <c r="T10" s="30">
        <f t="shared" si="7"/>
        <v>0</v>
      </c>
      <c r="U10" s="31" t="str">
        <f t="shared" si="8"/>
        <v>- -</v>
      </c>
    </row>
    <row r="11" spans="2:21" ht="18" customHeight="1" x14ac:dyDescent="0.25">
      <c r="B11" s="32" t="str">
        <f>'Data Entry'!A11</f>
        <v>6. Cases Petitioned (Charge Filed)</v>
      </c>
      <c r="C11" s="33">
        <f>'Data Entry'!C11</f>
        <v>29</v>
      </c>
      <c r="D11" s="34">
        <f>IF(((AND(C68&gt;0,C11&gt;0))),(C11/(C68)),0)</f>
        <v>42.028985507246382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29</v>
      </c>
      <c r="Q11" s="42">
        <f>(C$68*L68)-C11</f>
        <v>40</v>
      </c>
      <c r="R11" s="42">
        <f t="shared" si="5"/>
        <v>69</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55.172413793103452</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12.999999999999996</v>
      </c>
      <c r="R12" s="42">
        <f t="shared" si="5"/>
        <v>28.999999999999996</v>
      </c>
      <c r="S12" s="30">
        <f t="shared" si="6"/>
        <v>0</v>
      </c>
      <c r="T12" s="30">
        <f t="shared" si="7"/>
        <v>0</v>
      </c>
      <c r="U12" s="31" t="str">
        <f t="shared" si="8"/>
        <v>- -</v>
      </c>
    </row>
    <row r="13" spans="2:21" ht="18" customHeight="1" x14ac:dyDescent="0.25">
      <c r="B13" s="32" t="str">
        <f>'Data Entry'!A13</f>
        <v>8. Cases Resulting in Probation Placement</v>
      </c>
      <c r="C13" s="33">
        <f>'Data Entry'!C13</f>
        <v>8</v>
      </c>
      <c r="D13" s="34">
        <f>IF(((AND(C70&gt;0,C13&gt;0))),(C13/(C70)),0)</f>
        <v>50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v>
      </c>
      <c r="Q13" s="42">
        <f>(C70*L70)-C13</f>
        <v>8</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81.25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3</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28.999999999999996</v>
      </c>
      <c r="R15" s="42">
        <f t="shared" si="5"/>
        <v>28.999999999999996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4.7489999999999997</v>
      </c>
      <c r="D42" s="56">
        <f>E6/1000</f>
        <v>3.1E-2</v>
      </c>
      <c r="E42" s="56">
        <f>MAX(C42:D42)</f>
        <v>4.7489999999999997</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0.69</v>
      </c>
      <c r="D44" s="56">
        <f>E8/100</f>
        <v>0</v>
      </c>
      <c r="E44" s="56">
        <f>MAX(C44:D44,0)</f>
        <v>0.69</v>
      </c>
      <c r="G44" s="1" t="str">
        <f>B44</f>
        <v>per 100 referrals</v>
      </c>
      <c r="L44" s="57">
        <v>100</v>
      </c>
      <c r="M44" s="57"/>
      <c r="R44" s="49"/>
    </row>
    <row r="45" spans="2:18" ht="15" hidden="1" customHeight="1" x14ac:dyDescent="0.25">
      <c r="B45" s="49" t="s">
        <v>89</v>
      </c>
      <c r="C45" s="49">
        <f>C11/100</f>
        <v>0.28999999999999998</v>
      </c>
      <c r="D45" s="49">
        <f>E11/100</f>
        <v>0</v>
      </c>
      <c r="E45" s="56">
        <f>MAX(C45:D45,0)</f>
        <v>0.28999999999999998</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4.7489999999999997</v>
      </c>
      <c r="D48" s="56">
        <f>D42</f>
        <v>3.1E-2</v>
      </c>
      <c r="E48" s="56">
        <f>MAX(C48:D48)</f>
        <v>4.7489999999999997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0.69</v>
      </c>
      <c r="D50" s="49">
        <f t="shared" si="9"/>
        <v>0</v>
      </c>
      <c r="E50" s="49">
        <f>MAX(C50:D50)</f>
        <v>0.69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0.28999999999999998</v>
      </c>
      <c r="D51" s="49">
        <f>IF(($E45&gt;0),D45,D44)</f>
        <v>0</v>
      </c>
      <c r="E51" s="49">
        <f>MAX(C51:D51)</f>
        <v>0.28999999999999998</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4.7489999999999997</v>
      </c>
      <c r="D54" s="56">
        <f>D48</f>
        <v>3.1E-2</v>
      </c>
      <c r="E54" s="56">
        <f>MAX(C54:D54)</f>
        <v>4.7489999999999997</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0.69</v>
      </c>
      <c r="D56" s="49">
        <f t="shared" si="10"/>
        <v>0</v>
      </c>
      <c r="E56" s="49">
        <f>MAX(C56:D56)</f>
        <v>0.69</v>
      </c>
      <c r="G56" s="1" t="str">
        <f>G50</f>
        <v>per 100 referrals</v>
      </c>
      <c r="L56" s="58">
        <f>IF(($E50&gt;0),L50,L49)</f>
        <v>100</v>
      </c>
      <c r="M56" s="58"/>
    </row>
    <row r="57" spans="2:18" ht="15" hidden="1" customHeight="1" x14ac:dyDescent="0.25">
      <c r="B57" s="49" t="str">
        <f>IF(($E51&gt;0),B51,B49)</f>
        <v>per 100 youth petitioned</v>
      </c>
      <c r="C57" s="49">
        <f>IF(($E51&gt;0),C51,C50)</f>
        <v>0.28999999999999998</v>
      </c>
      <c r="D57" s="49">
        <f>IF(($E51&gt;0),D51,D50)</f>
        <v>0</v>
      </c>
      <c r="E57" s="49">
        <f>MAX(C57:D57)</f>
        <v>0.28999999999999998</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4.7489999999999997</v>
      </c>
      <c r="D60" s="56">
        <f>D54</f>
        <v>3.1E-2</v>
      </c>
      <c r="E60" s="56">
        <f>MAX(C60:D60)</f>
        <v>4.7489999999999997</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0.69</v>
      </c>
      <c r="D62" s="49">
        <f t="shared" si="11"/>
        <v>0</v>
      </c>
      <c r="E62" s="49">
        <f>MAX(C62:D62)</f>
        <v>0.69</v>
      </c>
      <c r="G62" s="1" t="str">
        <f>G56</f>
        <v>per 100 referrals</v>
      </c>
      <c r="L62" s="58">
        <f>IF(($E56&gt;0),L56,L55)</f>
        <v>100</v>
      </c>
      <c r="M62" s="58"/>
    </row>
    <row r="63" spans="2:18" ht="15" hidden="1" customHeight="1" x14ac:dyDescent="0.25">
      <c r="B63" s="49" t="str">
        <f>IF(($E57&gt;0),B57,B55)</f>
        <v>per 100 youth petitioned</v>
      </c>
      <c r="C63" s="49">
        <f>IF(($E57&gt;0),C57,C56)</f>
        <v>0.28999999999999998</v>
      </c>
      <c r="D63" s="49">
        <f>IF(($E57&gt;0),D57,D56)</f>
        <v>0</v>
      </c>
      <c r="E63" s="49">
        <f>MAX(C63:D63)</f>
        <v>0.28999999999999998</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4.7489999999999997</v>
      </c>
      <c r="D66" s="56">
        <f>D60</f>
        <v>3.1E-2</v>
      </c>
      <c r="E66" s="56">
        <f>MAX(C66:D66)</f>
        <v>4.7489999999999997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0.69</v>
      </c>
      <c r="D68" s="49">
        <f t="shared" si="12"/>
        <v>0</v>
      </c>
      <c r="E68" s="49">
        <f>MAX(C68:D68)</f>
        <v>0.69</v>
      </c>
      <c r="G68" s="1" t="str">
        <f>G62</f>
        <v>per 100 referrals</v>
      </c>
      <c r="L68" s="58">
        <f>IF(($E62&gt;0),L62,L61)</f>
        <v>100</v>
      </c>
      <c r="M68" s="58">
        <f>IF((B68=G68),1,2)</f>
        <v>1</v>
      </c>
    </row>
    <row r="69" spans="2:13" ht="15" hidden="1" customHeight="1" x14ac:dyDescent="0.25">
      <c r="B69" s="49" t="str">
        <f>IF(($E63&gt;0),B63,B61)</f>
        <v>per 100 youth petitioned</v>
      </c>
      <c r="C69" s="49">
        <f>IF(($E63&gt;0),C63,C62)</f>
        <v>0.28999999999999998</v>
      </c>
      <c r="D69" s="49">
        <f>IF(($E63&gt;0),D63,D62)</f>
        <v>0</v>
      </c>
      <c r="E69" s="49">
        <f>MAX(C69:D69)</f>
        <v>0.28999999999999998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U47JMPN4QEAR-1806752177-30220</_dlc_DocId>
    <_dlc_DocIdUrl xmlns="ac3811b5-0f3e-49e2-ba69-f2ffa0c782af">
      <Url>https://michiganphi.sharepoint.com/sites/CMDMC/_layouts/15/DocIdRedir.aspx?ID=U47JMPN4QEAR-1806752177-30220</Url>
      <Description>U47JMPN4QEAR-1806752177-30220</Description>
    </_dlc_DocIdUrl>
  </documentManagement>
</p:properties>
</file>

<file path=customXml/itemProps1.xml><?xml version="1.0" encoding="utf-8"?>
<ds:datastoreItem xmlns:ds="http://schemas.openxmlformats.org/officeDocument/2006/customXml" ds:itemID="{338157B9-48C8-410E-819D-D49C10CE6CDC}"/>
</file>

<file path=customXml/itemProps2.xml><?xml version="1.0" encoding="utf-8"?>
<ds:datastoreItem xmlns:ds="http://schemas.openxmlformats.org/officeDocument/2006/customXml" ds:itemID="{10E6864C-09EF-4FDF-ADC2-A9C6394F59EE}"/>
</file>

<file path=customXml/itemProps3.xml><?xml version="1.0" encoding="utf-8"?>
<ds:datastoreItem xmlns:ds="http://schemas.openxmlformats.org/officeDocument/2006/customXml" ds:itemID="{9EEB2143-30FF-4EA1-9D53-15FBB84D2E46}"/>
</file>

<file path=customXml/itemProps4.xml><?xml version="1.0" encoding="utf-8"?>
<ds:datastoreItem xmlns:ds="http://schemas.openxmlformats.org/officeDocument/2006/customXml" ds:itemID="{EA5C8EC4-C990-44D6-BD07-1F01ED3A37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a51691d2-027a-46db-a04a-9633093687c8</vt:lpwstr>
  </property>
</Properties>
</file>