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7FE7FDFC-4F20-45D8-883F-FC20B9075AC2}" xr6:coauthVersionLast="47" xr6:coauthVersionMax="47" xr10:uidLastSave="{0232DBB1-DD9C-4246-9F44-35AD103F5EB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c r="J27" i="3"/>
  <c r="G42" i="3"/>
  <c r="G43" i="3"/>
  <c r="G49" i="3"/>
  <c r="G55" i="3"/>
  <c r="G61" i="3"/>
  <c r="G67" i="3" s="1"/>
  <c r="G44" i="3"/>
  <c r="G50" i="3"/>
  <c r="G56" i="3"/>
  <c r="G62" i="3"/>
  <c r="G68" i="3"/>
  <c r="G45" i="3"/>
  <c r="G46" i="3"/>
  <c r="G48" i="3"/>
  <c r="G54" i="3"/>
  <c r="G60" i="3"/>
  <c r="G66" i="3"/>
  <c r="L48" i="3"/>
  <c r="G51" i="3"/>
  <c r="G57" i="3"/>
  <c r="G63" i="3"/>
  <c r="G52" i="3"/>
  <c r="G58" i="3"/>
  <c r="G64" i="3" s="1"/>
  <c r="G70" i="3" s="1"/>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c r="M66" i="4"/>
  <c r="F27" i="3"/>
  <c r="M66" i="3"/>
  <c r="M66" i="7" l="1"/>
  <c r="F27" i="7"/>
  <c r="F27" i="2"/>
  <c r="M66" i="2"/>
  <c r="F27" i="5"/>
  <c r="M66" i="5"/>
  <c r="F27" i="8"/>
  <c r="M66" i="8"/>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4" i="6"/>
  <c r="C50" i="6" s="1"/>
  <c r="E43" i="7"/>
  <c r="E46" i="3"/>
  <c r="L52" i="3"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0" i="6" l="1"/>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D64" i="5"/>
  <c r="C64" i="5"/>
  <c r="E64" i="5" s="1"/>
  <c r="L64" i="3"/>
  <c r="L56" i="8"/>
  <c r="B56" i="8"/>
  <c r="C57" i="8"/>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I7" i="9"/>
  <c r="Q8" i="13"/>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L70" i="6"/>
  <c r="C70" i="6"/>
  <c r="Q14" i="6" s="1"/>
  <c r="D70" i="6"/>
  <c r="F13" i="6" s="1"/>
  <c r="C70" i="3"/>
  <c r="D14" i="3" s="1"/>
  <c r="L69" i="7"/>
  <c r="C69" i="7"/>
  <c r="D12" i="7" s="1"/>
  <c r="D63" i="8"/>
  <c r="D70" i="8" s="1"/>
  <c r="F13" i="8" s="1"/>
  <c r="B63" i="8"/>
  <c r="B70" i="8" s="1"/>
  <c r="M70" i="8" s="1"/>
  <c r="C63" i="8"/>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O13" i="6"/>
  <c r="F33" i="3"/>
  <c r="F13" i="4"/>
  <c r="F33" i="4"/>
  <c r="F10" i="4"/>
  <c r="O10" i="4"/>
  <c r="M67" i="5"/>
  <c r="O11" i="3"/>
  <c r="T11" i="3" s="1"/>
  <c r="O14" i="4"/>
  <c r="Q13" i="4"/>
  <c r="F30" i="3"/>
  <c r="Q9" i="3"/>
  <c r="O10" i="3"/>
  <c r="E68" i="3"/>
  <c r="O9" i="3"/>
  <c r="F31" i="3"/>
  <c r="F29" i="3"/>
  <c r="D14" i="4"/>
  <c r="L70" i="7"/>
  <c r="O14" i="7" s="1"/>
  <c r="M69" i="7"/>
  <c r="C70" i="8"/>
  <c r="Q13" i="8" s="1"/>
  <c r="Q13" i="6"/>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F14" i="6"/>
  <c r="B69" i="6"/>
  <c r="M69" i="6" s="1"/>
  <c r="D13" i="6"/>
  <c r="E70" i="6"/>
  <c r="D14" i="6"/>
  <c r="Q14" i="3"/>
  <c r="Q13" i="3"/>
  <c r="D13" i="3"/>
  <c r="F14" i="3"/>
  <c r="E70" i="3"/>
  <c r="O13" i="3"/>
  <c r="Q12" i="7"/>
  <c r="D12" i="3"/>
  <c r="L69" i="3"/>
  <c r="Q12" i="3" s="1"/>
  <c r="E69" i="7"/>
  <c r="E63" i="8"/>
  <c r="D69" i="8" s="1"/>
  <c r="F15" i="8" s="1"/>
  <c r="D15" i="7"/>
  <c r="Q15" i="7"/>
  <c r="D69" i="3"/>
  <c r="E69" i="3" s="1"/>
  <c r="B69" i="3"/>
  <c r="M69" i="3" s="1"/>
  <c r="C69" i="6"/>
  <c r="D12" i="6" s="1"/>
  <c r="F12" i="7"/>
  <c r="O12" i="7"/>
  <c r="O15"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T13" i="6"/>
  <c r="F8" i="2"/>
  <c r="O14" i="8"/>
  <c r="F14" i="8"/>
  <c r="T14" i="4"/>
  <c r="R13" i="6"/>
  <c r="S13" i="6" s="1"/>
  <c r="U13" i="6" s="1"/>
  <c r="J13" i="6" s="1"/>
  <c r="M13" i="6" s="1"/>
  <c r="G13" i="6" s="1"/>
  <c r="B70" i="2"/>
  <c r="F33" i="2" s="1"/>
  <c r="D69" i="5"/>
  <c r="O15" i="5" s="1"/>
  <c r="R14" i="6"/>
  <c r="S14" i="6" s="1"/>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R9" i="3"/>
  <c r="S9" i="3" s="1"/>
  <c r="Q14" i="8"/>
  <c r="T9" i="3"/>
  <c r="K14" i="6"/>
  <c r="T14" i="6"/>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3" l="1"/>
  <c r="S13" i="3" s="1"/>
  <c r="U13" i="3" s="1"/>
  <c r="J13" i="3" s="1"/>
  <c r="M13" i="3" s="1"/>
  <c r="G13" i="3" s="1"/>
  <c r="F32" i="6"/>
  <c r="F35" i="6"/>
  <c r="T13" i="3"/>
  <c r="K13" i="3"/>
  <c r="F15" i="3"/>
  <c r="D15" i="6"/>
  <c r="R14" i="3"/>
  <c r="S14" i="3" s="1"/>
  <c r="Q15" i="3"/>
  <c r="O12" i="6"/>
  <c r="T15" i="7"/>
  <c r="O15" i="3"/>
  <c r="T12" i="7"/>
  <c r="B69" i="8"/>
  <c r="M69" i="8" s="1"/>
  <c r="F12" i="8"/>
  <c r="K15" i="7"/>
  <c r="R12" i="7"/>
  <c r="S12" i="7" s="1"/>
  <c r="K12" i="7"/>
  <c r="C69" i="8"/>
  <c r="D15" i="8" s="1"/>
  <c r="T13" i="8"/>
  <c r="U13" i="8" s="1"/>
  <c r="J13" i="8" s="1"/>
  <c r="M13" i="8" s="1"/>
  <c r="R15" i="7"/>
  <c r="S15" i="7" s="1"/>
  <c r="U15" i="7" s="1"/>
  <c r="J15" i="7" s="1"/>
  <c r="M15" i="7" s="1"/>
  <c r="L69" i="8"/>
  <c r="O15" i="8" s="1"/>
  <c r="F35" i="3"/>
  <c r="O12" i="3"/>
  <c r="R12" i="3" s="1"/>
  <c r="S12" i="3" s="1"/>
  <c r="F32" i="3"/>
  <c r="F12" i="3"/>
  <c r="R14" i="8"/>
  <c r="S14" i="8" s="1"/>
  <c r="E69" i="6"/>
  <c r="K14" i="3"/>
  <c r="T14" i="3"/>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G13" i="9"/>
  <c r="M14" i="13"/>
  <c r="T14" i="8"/>
  <c r="L13" i="6"/>
  <c r="R14" i="16" s="1"/>
  <c r="D13" i="2"/>
  <c r="E70" i="2"/>
  <c r="Q14" i="2"/>
  <c r="K14" i="2" s="1"/>
  <c r="M13" i="4"/>
  <c r="G13" i="4" s="1"/>
  <c r="G14" i="16" s="1"/>
  <c r="L9" i="4"/>
  <c r="O10" i="16" s="1"/>
  <c r="R13" i="7"/>
  <c r="S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3" l="1"/>
  <c r="P14" i="16" s="1"/>
  <c r="R15" i="3"/>
  <c r="S15" i="3" s="1"/>
  <c r="U15" i="3" s="1"/>
  <c r="J15" i="3" s="1"/>
  <c r="M15" i="3" s="1"/>
  <c r="G15" i="3" s="1"/>
  <c r="I16" i="16" s="1"/>
  <c r="U12" i="7"/>
  <c r="J12" i="7" s="1"/>
  <c r="L12" i="7" s="1"/>
  <c r="D12" i="8"/>
  <c r="E69" i="8"/>
  <c r="K15" i="6"/>
  <c r="K12" i="6"/>
  <c r="T15" i="3"/>
  <c r="U14" i="3"/>
  <c r="J14" i="3" s="1"/>
  <c r="M14" i="3" s="1"/>
  <c r="G14" i="3" s="1"/>
  <c r="G13" i="8"/>
  <c r="I13" i="9" s="1"/>
  <c r="U13" i="7"/>
  <c r="J13" i="7" s="1"/>
  <c r="M13" i="7" s="1"/>
  <c r="L13" i="8"/>
  <c r="T14" i="16" s="1"/>
  <c r="K12" i="3"/>
  <c r="K15" i="3"/>
  <c r="Q12" i="8"/>
  <c r="T12" i="6"/>
  <c r="L15" i="7"/>
  <c r="S16" i="16" s="1"/>
  <c r="O12" i="8"/>
  <c r="T15" i="6"/>
  <c r="Q15" i="8"/>
  <c r="R15" i="8" s="1"/>
  <c r="S15" i="8" s="1"/>
  <c r="U15" i="8" s="1"/>
  <c r="J15" i="8" s="1"/>
  <c r="U14" i="8"/>
  <c r="J14" i="8" s="1"/>
  <c r="N30" i="8" s="1"/>
  <c r="F32" i="8"/>
  <c r="F35" i="8"/>
  <c r="T12" i="3"/>
  <c r="U12" i="3" s="1"/>
  <c r="J12" i="3" s="1"/>
  <c r="M12" i="3" s="1"/>
  <c r="G12" i="3" s="1"/>
  <c r="I13" i="16" s="1"/>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P13" i="9"/>
  <c r="K9" i="7"/>
  <c r="T14" i="2"/>
  <c r="V12" i="13"/>
  <c r="U10" i="13"/>
  <c r="X14" i="13"/>
  <c r="N11" i="9"/>
  <c r="T15" i="5"/>
  <c r="W14" i="13"/>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N13" i="9" l="1"/>
  <c r="V14" i="13"/>
  <c r="S13" i="16"/>
  <c r="Q12" i="9"/>
  <c r="M12" i="7"/>
  <c r="L15" i="3"/>
  <c r="P16" i="16" s="1"/>
  <c r="U13" i="2"/>
  <c r="J13" i="2" s="1"/>
  <c r="M13" i="2" s="1"/>
  <c r="G13" i="2" s="1"/>
  <c r="E14" i="16" s="1"/>
  <c r="L15" i="6"/>
  <c r="R16" i="16" s="1"/>
  <c r="Y13" i="13"/>
  <c r="R12" i="8"/>
  <c r="S12" i="8" s="1"/>
  <c r="K14" i="16"/>
  <c r="L13" i="7"/>
  <c r="S14" i="16" s="1"/>
  <c r="Q14" i="13"/>
  <c r="Q15" i="9"/>
  <c r="L12" i="3"/>
  <c r="P13" i="16" s="1"/>
  <c r="N30" i="3"/>
  <c r="U14" i="2"/>
  <c r="J14" i="2" s="1"/>
  <c r="M14" i="2" s="1"/>
  <c r="G14" i="2" s="1"/>
  <c r="E15" i="16" s="1"/>
  <c r="I15" i="16"/>
  <c r="I15" i="13"/>
  <c r="E14" i="9"/>
  <c r="L14" i="3"/>
  <c r="R13" i="9"/>
  <c r="Z14" i="13"/>
  <c r="T12" i="8"/>
  <c r="U11" i="7"/>
  <c r="J11" i="7" s="1"/>
  <c r="M11" i="7" s="1"/>
  <c r="K12" i="8"/>
  <c r="M14" i="8"/>
  <c r="G14" i="8" s="1"/>
  <c r="K15" i="16" s="1"/>
  <c r="T15" i="8"/>
  <c r="Y16" i="13"/>
  <c r="K15" i="8"/>
  <c r="L15" i="8" s="1"/>
  <c r="T16" i="16" s="1"/>
  <c r="U10" i="7"/>
  <c r="J10" i="7" s="1"/>
  <c r="M10" i="7" s="1"/>
  <c r="L14" i="8"/>
  <c r="T15" i="16" s="1"/>
  <c r="L12" i="6"/>
  <c r="R13" i="16" s="1"/>
  <c r="L8" i="6"/>
  <c r="R9" i="16" s="1"/>
  <c r="L15" i="5"/>
  <c r="Q16" i="16" s="1"/>
  <c r="T9" i="13"/>
  <c r="L8" i="9"/>
  <c r="X15" i="13"/>
  <c r="P14" i="9"/>
  <c r="G8" i="9"/>
  <c r="Q14" i="9"/>
  <c r="Y15" i="13"/>
  <c r="E9" i="13"/>
  <c r="L10" i="2"/>
  <c r="N11" i="16" s="1"/>
  <c r="L11" i="6"/>
  <c r="R12" i="16" s="1"/>
  <c r="V16" i="13"/>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E14" i="13"/>
  <c r="M12" i="9"/>
  <c r="U13" i="13"/>
  <c r="E12" i="9"/>
  <c r="I13" i="13"/>
  <c r="D8" i="9"/>
  <c r="G9" i="13"/>
  <c r="U9" i="8"/>
  <c r="J9" i="8" s="1"/>
  <c r="M9" i="8" s="1"/>
  <c r="G9" i="8" s="1"/>
  <c r="K10" i="16" s="1"/>
  <c r="C10" i="9"/>
  <c r="E11"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V13" i="13" l="1"/>
  <c r="N12" i="9"/>
  <c r="N15" i="9"/>
  <c r="C13" i="9"/>
  <c r="P15" i="9"/>
  <c r="X16" i="13"/>
  <c r="Q13" i="9"/>
  <c r="Q15" i="13"/>
  <c r="U12" i="8"/>
  <c r="J12" i="8" s="1"/>
  <c r="M12" i="8" s="1"/>
  <c r="G12" i="8" s="1"/>
  <c r="K13" i="16" s="1"/>
  <c r="L11" i="7"/>
  <c r="S12" i="16" s="1"/>
  <c r="L10" i="7"/>
  <c r="S11" i="16" s="1"/>
  <c r="E15" i="13"/>
  <c r="C14" i="9"/>
  <c r="Y14" i="13"/>
  <c r="N30" i="2"/>
  <c r="P15" i="16"/>
  <c r="N14" i="9"/>
  <c r="V15" i="13"/>
  <c r="L14" i="2"/>
  <c r="N15" i="16" s="1"/>
  <c r="I14" i="9"/>
  <c r="R14" i="9"/>
  <c r="Z15" i="13"/>
  <c r="X13" i="13"/>
  <c r="P12" i="9"/>
  <c r="P8" i="9"/>
  <c r="X9"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Y12" i="13"/>
  <c r="L12" i="8"/>
  <c r="T13" i="16" s="1"/>
  <c r="Y11" i="13"/>
  <c r="Q10" i="9"/>
  <c r="T15" i="13"/>
  <c r="L14" i="9"/>
  <c r="Q13" i="13"/>
  <c r="I12" i="9"/>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<sst xmlns="http://schemas.openxmlformats.org/spreadsheetml/2006/main" count="654" uniqueCount="141">
  <si>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</si>
  <si>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</si>
  <si>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</si>
  <si>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</si>
  <si>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</si>
  <si>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</si>
  <si>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</si>
  <si>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</si>
  <si>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</si>
  <si>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</si>
  <si>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</si>
  <si>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</si>
  <si>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</si>
  <si>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</si>
  <si>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</si>
  <si>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</si>
  <si>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</si>
  <si>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</si>
  <si>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</si>
  <si>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</si>
  <si>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</si>
  <si>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</si>
  <si>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</si>
  <si>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</si>
  <si>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</si>
  <si>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</si>
  <si>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</si>
  <si>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</si>
  <si>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</si>
  <si>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</si>
  <si>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</si>
  <si>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</si>
  <si>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</si>
  <si>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</si>
  <si>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</si>
  <si>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</si>
  <si>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</si>
  <si>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</si>
  <si>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</si>
  <si>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</si>
  <si>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</si>
  <si>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</si>
  <si>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</si>
  <si>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</si>
  <si>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</si>
  <si>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</si>
  <si>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</si>
  <si>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</si>
  <si>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</si>
  <si>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</si>
  <si>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</si>
  <si>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</si>
  <si>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</si>
  <si>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</si>
  <si>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</si>
  <si>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</si>
  <si>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</si>
  <si>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</si>
  <si>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</si>
  <si>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</si>
  <si>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</si>
  <si>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</si>
  <si>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</si>
  <si>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</si>
  <si>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</si>
  <si>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</si>
  <si>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</si>
  <si>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</si>
  <si>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</si>
  <si>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</si>
  <si>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</si>
  <si>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</si>
  <si>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</si>
  <si>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</si>
  <si>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</si>
  <si>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</si>
  <si>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</si>
  <si>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</si>
  <si>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</si>
  <si>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</si>
  <si>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</si>
  <si>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</si>
  <si>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</si>
  <si>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</si>
  <si>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</si>
  <si>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</si>
  <si>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</si>
  <si>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</si>
  <si>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</si>
  <si>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</si>
  <si>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</si>
  <si>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</si>
  <si>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</si>
  <si>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</si>
  <si>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</si>
  <si>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</si>
  <si>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</si>
  <si>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</si>
  <si>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</si>
  <si>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</si>
  <si>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</si>
  <si>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</si>
  <si>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</si>
  <si>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</si>
  <si>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</si>
  <si>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</si>
  <si>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</si>
  <si>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</si>
  <si>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</si>
  <si>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</si>
  <si>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</si>
  <si>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</si>
  <si>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</si>
  <si>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</si>
  <si>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</si>
  <si>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</si>
  <si>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</si>
  <si>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</si>
  <si>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</si>
  <si>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</si>
  <si>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</si>
  <si>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</si>
  <si>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</si>
  <si>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</si>
  <si>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</si>
  <si>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</si>
  <si>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</si>
  <si>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</si>
  <si>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</si>
  <si>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</si>
  <si>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</si>
  <si>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</si>
  <si>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</si>
  <si>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</si>
  <si>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</si>
  <si>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</si>
  <si>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St. Clair</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</si>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</sst>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St. Clair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N=28</c:v>
                </c:pt>
                <c:pt idx="2">
                  <c:v>Delinquent Findings, total N=94</c:v>
                </c:pt>
                <c:pt idx="3">
                  <c:v>Petitions, total N=147</c:v>
                </c:pt>
                <c:pt idx="4">
                  <c:v>Detentions, total N=14</c:v>
                </c:pt>
                <c:pt idx="5">
                  <c:v>Referrals, total N=265</c:v>
                </c:pt>
                <c:pt idx="6">
                  <c:v>Arrests, total N=97</c:v>
                </c:pt>
                <c:pt idx="7">
                  <c:v>Population, total N=15869</c:v>
                </c:pt>
              </c:strCache>
            </c:strRef>
          </c:cat>
          <c:val>
            <c:numRef>
              <c:f>'Stacked 100%'!$B$7:$B$14</c:f>
              <c:numCache>
                <c:formatCode>0%</c:formatCode>
                <c:ptCount val="8"/>
                <c:pt idx="0">
                  <c:v>0</c:v>
                </c:pt>
                <c:pt idx="1">
                  <c:v>0.5357142857142857</c:v>
                </c:pt>
                <c:pt idx="2">
                  <c:v>0.2978723404255319</c:v>
                </c:pt>
                <c:pt idx="3">
                  <c:v>0.31292517006802723</c:v>
                </c:pt>
                <c:pt idx="4">
                  <c:v>0.2857142857142857</c:v>
                </c:pt>
                <c:pt idx="5">
                  <c:v>0.24905660377358491</c:v>
                </c:pt>
                <c:pt idx="6">
                  <c:v>0.36082474226804123</c:v>
                </c:pt>
                <c:pt idx="7">
                  <c:v>4.8396244249795196E-2</c:v>
                </c:pt>
              </c:numCache>
            </c:numRef>
          </c:val>
          <c:extLst>
            <c:ext xmlns:c16="http://schemas.microsoft.com/office/drawing/2014/chart" uri="{C3380CC4-5D6E-409C-BE32-E72D297353CC}">
              <c16:uniqueId val="{00000000-3D5C-4413-B65F-19AA924A58C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N=28</c:v>
                </c:pt>
                <c:pt idx="2">
                  <c:v>Delinquent Findings, total N=94</c:v>
                </c:pt>
                <c:pt idx="3">
                  <c:v>Petitions, total N=147</c:v>
                </c:pt>
                <c:pt idx="4">
                  <c:v>Detentions, total N=14</c:v>
                </c:pt>
                <c:pt idx="5">
                  <c:v>Referrals, total N=265</c:v>
                </c:pt>
                <c:pt idx="6">
                  <c:v>Arrests, total N=97</c:v>
                </c:pt>
                <c:pt idx="7">
                  <c:v>Population, total N=15869</c:v>
                </c:pt>
              </c:strCache>
            </c:strRef>
          </c:cat>
          <c:val>
            <c:numRef>
              <c:f>'Stacked 100%'!$C$7:$C$14</c:f>
              <c:numCache>
                <c:formatCode>0%</c:formatCode>
                <c:ptCount val="8"/>
                <c:pt idx="0">
                  <c:v>0</c:v>
                </c:pt>
                <c:pt idx="1">
                  <c:v>0</c:v>
                </c:pt>
                <c:pt idx="2">
                  <c:v>0</c:v>
                </c:pt>
                <c:pt idx="3">
                  <c:v>0</c:v>
                </c:pt>
                <c:pt idx="4">
                  <c:v>0</c:v>
                </c:pt>
                <c:pt idx="5">
                  <c:v>0</c:v>
                </c:pt>
                <c:pt idx="6">
                  <c:v>1.0309278350515464E-2</c:v>
                </c:pt>
                <c:pt idx="7">
                  <c:v>6.1818640115949335E-2</c:v>
                </c:pt>
              </c:numCache>
            </c:numRef>
          </c:val>
          <c:extLst>
            <c:ext xmlns:c16="http://schemas.microsoft.com/office/drawing/2014/chart" uri="{C3380CC4-5D6E-409C-BE32-E72D297353CC}">
              <c16:uniqueId val="{00000001-3D5C-4413-B65F-19AA924A58C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N=28</c:v>
                </c:pt>
                <c:pt idx="2">
                  <c:v>Delinquent Findings, total N=94</c:v>
                </c:pt>
                <c:pt idx="3">
                  <c:v>Petitions, total N=147</c:v>
                </c:pt>
                <c:pt idx="4">
                  <c:v>Detentions, total N=14</c:v>
                </c:pt>
                <c:pt idx="5">
                  <c:v>Referrals, total N=265</c:v>
                </c:pt>
                <c:pt idx="6">
                  <c:v>Arrests, total N=97</c:v>
                </c:pt>
                <c:pt idx="7">
                  <c:v>Population, total N=15869</c:v>
                </c:pt>
              </c:strCache>
            </c:strRef>
          </c:cat>
          <c:val>
            <c:numRef>
              <c:f>'Stacked 100%'!$H$7:$H$14</c:f>
              <c:numCache>
                <c:formatCode>0%</c:formatCode>
                <c:ptCount val="8"/>
                <c:pt idx="0">
                  <c:v>0</c:v>
                </c:pt>
                <c:pt idx="1">
                  <c:v>2.5510204081632651E-3</c:v>
                </c:pt>
                <c:pt idx="2">
                  <c:v>6.7904028972385689E-4</c:v>
                </c:pt>
                <c:pt idx="3">
                  <c:v>3.2393909944930353E-4</c:v>
                </c:pt>
                <c:pt idx="4">
                  <c:v>0</c:v>
                </c:pt>
                <c:pt idx="5">
                  <c:v>1.1391954432182271E-4</c:v>
                </c:pt>
                <c:pt idx="6">
                  <c:v>0</c:v>
                </c:pt>
                <c:pt idx="7">
                  <c:v>1.0086363054087356E-6</c:v>
                </c:pt>
              </c:numCache>
            </c:numRef>
          </c:val>
          <c:extLst>
            <c:ext xmlns:c16="http://schemas.microsoft.com/office/drawing/2014/chart" uri="{C3380CC4-5D6E-409C-BE32-E72D297353CC}">
              <c16:uniqueId val="{00000002-3D5C-4413-B65F-19AA924A58C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N=28</c:v>
                </c:pt>
                <c:pt idx="2">
                  <c:v>Delinquent Findings, total N=94</c:v>
                </c:pt>
                <c:pt idx="3">
                  <c:v>Petitions, total N=147</c:v>
                </c:pt>
                <c:pt idx="4">
                  <c:v>Detentions, total N=14</c:v>
                </c:pt>
                <c:pt idx="5">
                  <c:v>Referrals, total N=265</c:v>
                </c:pt>
                <c:pt idx="6">
                  <c:v>Arrests, total N=97</c:v>
                </c:pt>
                <c:pt idx="7">
                  <c:v>Population, total N=15869</c:v>
                </c:pt>
              </c:strCache>
            </c:strRef>
          </c:cat>
          <c:val>
            <c:numRef>
              <c:f>'Stacked 100%'!$I$7:$I$14</c:f>
              <c:numCache>
                <c:formatCode>0%</c:formatCode>
                <c:ptCount val="8"/>
                <c:pt idx="0">
                  <c:v>0</c:v>
                </c:pt>
                <c:pt idx="1">
                  <c:v>0.39285714285714285</c:v>
                </c:pt>
                <c:pt idx="2">
                  <c:v>0.53191489361702127</c:v>
                </c:pt>
                <c:pt idx="3">
                  <c:v>0.56462585034013602</c:v>
                </c:pt>
                <c:pt idx="4">
                  <c:v>0.5714285714285714</c:v>
                </c:pt>
                <c:pt idx="5">
                  <c:v>0.61132075471698111</c:v>
                </c:pt>
                <c:pt idx="6">
                  <c:v>0.62886597938144329</c:v>
                </c:pt>
                <c:pt idx="7">
                  <c:v>0.87377906610372424</c:v>
                </c:pt>
              </c:numCache>
            </c:numRef>
          </c:val>
          <c:extLst>
            <c:ext xmlns:c16="http://schemas.microsoft.com/office/drawing/2014/chart" uri="{C3380CC4-5D6E-409C-BE32-E72D297353CC}">
              <c16:uniqueId val="{00000003-3D5C-4413-B65F-19AA924A58C2}"/>
            </c:ext>
          </c:extLst>
        </c:ser>
        <c:dLbls>
          <c:showLegendKey val="0"/>
          <c:showVal val="0"/>
          <c:showCatName val="0"/>
          <c:showSerName val="0"/>
          <c:showPercent val="0"/>
          <c:showBubbleSize val="0"/>
        </c:dLbls>
        <c:gapWidth val="150"/>
        <c:overlap val="100"/>
        <c:axId val="72625152"/>
        <c:axId val="7284326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N=28</c:v>
                </c:pt>
                <c:pt idx="2">
                  <c:v>Delinquent Findings, total N=94</c:v>
                </c:pt>
                <c:pt idx="3">
                  <c:v>Petitions, total N=147</c:v>
                </c:pt>
                <c:pt idx="4">
                  <c:v>Detentions, total N=14</c:v>
                </c:pt>
                <c:pt idx="5">
                  <c:v>Referrals, total N=265</c:v>
                </c:pt>
                <c:pt idx="6">
                  <c:v>Arrests, total N=97</c:v>
                </c:pt>
                <c:pt idx="7">
                  <c:v>Population, total N=15869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D5C-4413-B65F-19AA924A58C2}"/>
            </c:ext>
          </c:extLst>
        </c:ser>
        <c:dLbls>
          <c:showLegendKey val="0"/>
          <c:showVal val="0"/>
          <c:showCatName val="0"/>
          <c:showSerName val="0"/>
          <c:showPercent val="0"/>
          <c:showBubbleSize val="0"/>
        </c:dLbls>
        <c:gapWidth val="150"/>
        <c:overlap val="100"/>
        <c:axId val="72962048"/>
        <c:axId val="72845184"/>
      </c:barChart>
      <c:catAx>
        <c:axId val="726251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2843264"/>
        <c:crosses val="autoZero"/>
        <c:auto val="1"/>
        <c:lblAlgn val="ctr"/>
        <c:lblOffset val="100"/>
        <c:noMultiLvlLbl val="0"/>
      </c:catAx>
      <c:valAx>
        <c:axId val="7284326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2625152"/>
        <c:crosses val="autoZero"/>
        <c:crossBetween val="between"/>
      </c:valAx>
      <c:valAx>
        <c:axId val="72845184"/>
        <c:scaling>
          <c:orientation val="minMax"/>
        </c:scaling>
        <c:delete val="1"/>
        <c:axPos val="t"/>
        <c:numFmt formatCode="0%" sourceLinked="1"/>
        <c:majorTickMark val="out"/>
        <c:minorTickMark val="none"/>
        <c:tickLblPos val="nextTo"/>
        <c:crossAx val="72962048"/>
        <c:crosses val="max"/>
        <c:crossBetween val="between"/>
      </c:valAx>
      <c:catAx>
        <c:axId val="72962048"/>
        <c:scaling>
          <c:orientation val="minMax"/>
        </c:scaling>
        <c:delete val="1"/>
        <c:axPos val="l"/>
        <c:numFmt formatCode="General" sourceLinked="1"/>
        <c:majorTickMark val="out"/>
        <c:minorTickMark val="none"/>
        <c:tickLblPos val="nextTo"/>
        <c:crossAx val="72845184"/>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15869</v>
      </c>
      <c r="C6" s="11">
        <v>13866</v>
      </c>
      <c r="D6" s="11">
        <v>768</v>
      </c>
      <c r="E6" s="11">
        <v>981</v>
      </c>
      <c r="F6" s="11">
        <v>155</v>
      </c>
      <c r="G6" s="11"/>
      <c r="H6" s="11">
        <v>99</v>
      </c>
      <c r="I6" s="11"/>
      <c r="J6" s="91">
        <f>SUM(D6:I6)</f>
        <v>2003</v>
      </c>
      <c r="K6" s="92"/>
    </row>
    <row r="7" spans="1:11" ht="15.75" customHeight="1" thickBot="1">
      <c r="A7" s="10" t="s">
        <v>8</v>
      </c>
      <c r="B7" s="11">
        <f t="shared" ref="B7:B15" si="0">SUM(C7:I7)+K7</f>
        <v>97</v>
      </c>
      <c r="C7" s="11">
        <v>61</v>
      </c>
      <c r="D7" s="11">
        <v>35</v>
      </c>
      <c r="E7" s="11">
        <v>1</v>
      </c>
      <c r="F7" s="11">
        <v>0</v>
      </c>
      <c r="G7" s="11">
        <v>0</v>
      </c>
      <c r="H7" s="11">
        <v>0</v>
      </c>
      <c r="I7" s="11"/>
      <c r="J7" s="91">
        <f t="shared" ref="J7:J15" si="1">SUM(D7:I7)</f>
        <v>36</v>
      </c>
      <c r="K7" s="92">
        <v>0</v>
      </c>
    </row>
    <row r="8" spans="1:11" ht="15.75" customHeight="1" thickBot="1">
      <c r="A8" s="10" t="s">
        <v>9</v>
      </c>
      <c r="B8" s="11">
        <f t="shared" si="0"/>
        <v>265</v>
      </c>
      <c r="C8" s="11">
        <v>162</v>
      </c>
      <c r="D8" s="11">
        <v>66</v>
      </c>
      <c r="E8" s="11"/>
      <c r="F8" s="11"/>
      <c r="G8" s="11"/>
      <c r="H8" s="11"/>
      <c r="I8" s="11">
        <v>8</v>
      </c>
      <c r="J8" s="91">
        <f t="shared" si="1"/>
        <v>74</v>
      </c>
      <c r="K8" s="92">
        <v>29</v>
      </c>
    </row>
    <row r="9" spans="1:11" ht="15.75" customHeight="1" thickBot="1">
      <c r="A9" s="10" t="s">
        <v>10</v>
      </c>
      <c r="B9" s="11">
        <f t="shared" si="0"/>
        <v>14</v>
      </c>
      <c r="C9" s="11">
        <v>11</v>
      </c>
      <c r="D9" s="11">
        <v>1</v>
      </c>
      <c r="E9" s="11"/>
      <c r="F9" s="11"/>
      <c r="G9" s="11"/>
      <c r="H9" s="11"/>
      <c r="I9" s="11"/>
      <c r="J9" s="91">
        <f t="shared" si="1"/>
        <v>1</v>
      </c>
      <c r="K9" s="92">
        <v>2</v>
      </c>
    </row>
    <row r="10" spans="1:11" ht="15.75" customHeight="1" thickBot="1">
      <c r="A10" s="10" t="s">
        <v>11</v>
      </c>
      <c r="B10" s="11">
        <f t="shared" si="0"/>
        <v>14</v>
      </c>
      <c r="C10" s="11">
        <v>8</v>
      </c>
      <c r="D10" s="11">
        <v>4</v>
      </c>
      <c r="E10" s="11"/>
      <c r="F10" s="11"/>
      <c r="G10" s="11"/>
      <c r="H10" s="11"/>
      <c r="I10" s="11"/>
      <c r="J10" s="91">
        <f t="shared" si="1"/>
        <v>4</v>
      </c>
      <c r="K10" s="92">
        <v>2</v>
      </c>
    </row>
    <row r="11" spans="1:11" ht="15.75" customHeight="1" thickBot="1">
      <c r="A11" s="10" t="s">
        <v>12</v>
      </c>
      <c r="B11" s="11">
        <f t="shared" si="0"/>
        <v>147</v>
      </c>
      <c r="C11" s="11">
        <v>83</v>
      </c>
      <c r="D11" s="11">
        <v>46</v>
      </c>
      <c r="E11" s="11"/>
      <c r="F11" s="11"/>
      <c r="G11" s="11"/>
      <c r="H11" s="11"/>
      <c r="I11" s="11">
        <v>7</v>
      </c>
      <c r="J11" s="91">
        <f t="shared" si="1"/>
        <v>53</v>
      </c>
      <c r="K11" s="92">
        <v>11</v>
      </c>
    </row>
    <row r="12" spans="1:11" ht="15.75" customHeight="1" thickBot="1">
      <c r="A12" s="10" t="s">
        <v>13</v>
      </c>
      <c r="B12" s="11">
        <f t="shared" si="0"/>
        <v>94</v>
      </c>
      <c r="C12" s="11">
        <v>50</v>
      </c>
      <c r="D12" s="11">
        <v>28</v>
      </c>
      <c r="E12" s="11"/>
      <c r="F12" s="11"/>
      <c r="G12" s="11"/>
      <c r="H12" s="11"/>
      <c r="I12" s="11">
        <v>6</v>
      </c>
      <c r="J12" s="91">
        <f t="shared" si="1"/>
        <v>34</v>
      </c>
      <c r="K12" s="92">
        <v>10</v>
      </c>
    </row>
    <row r="13" spans="1:11" ht="15.75" customHeight="1" thickBot="1">
      <c r="A13" s="10" t="s">
        <v>133</v>
      </c>
      <c r="B13" s="11">
        <f t="shared" si="0"/>
        <v>205</v>
      </c>
      <c r="C13" s="11">
        <v>128</v>
      </c>
      <c r="D13" s="11">
        <v>48</v>
      </c>
      <c r="E13" s="11"/>
      <c r="F13" s="11"/>
      <c r="G13" s="11"/>
      <c r="H13" s="11"/>
      <c r="I13" s="11">
        <v>7</v>
      </c>
      <c r="J13" s="91">
        <f t="shared" si="1"/>
        <v>55</v>
      </c>
      <c r="K13" s="92">
        <v>22</v>
      </c>
    </row>
    <row r="14" spans="1:11" ht="26.25" customHeight="1" thickBot="1">
      <c r="A14" s="10" t="s">
        <v>123</v>
      </c>
      <c r="B14" s="11">
        <f t="shared" si="0"/>
        <v>28</v>
      </c>
      <c r="C14" s="11">
        <v>11</v>
      </c>
      <c r="D14" s="11">
        <v>15</v>
      </c>
      <c r="E14" s="11"/>
      <c r="F14" s="11"/>
      <c r="G14" s="11"/>
      <c r="H14" s="11"/>
      <c r="I14" s="11">
        <v>2</v>
      </c>
      <c r="J14" s="91">
        <f t="shared" si="1"/>
        <v>17</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13866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4.3992499639405738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61</v>
      </c>
      <c r="Q7" s="42">
        <f>C6-C7</f>
        <v>13805</v>
      </c>
      <c r="R7" s="42">
        <f t="shared" ref="R7:R15" si="5">SUM(N7:Q7)</f>
        <v>13866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162</v>
      </c>
      <c r="D8" s="34">
        <f>IF((AND(C67&gt;0,C8&gt;0)),(C8/C67),0)</f>
        <v>265.57377049180326</v>
      </c>
      <c r="E8" s="33">
        <f>'Data Entry'!I8</f>
        <v>8</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8</v>
      </c>
      <c r="O8" s="42">
        <f>((D67*L67)-E8)+0.05</f>
        <v>-7.95</v>
      </c>
      <c r="P8" s="42">
        <f t="shared" si="4"/>
        <v>162</v>
      </c>
      <c r="Q8" s="42">
        <f>(C$67*L67)-C8</f>
        <v>-101</v>
      </c>
      <c r="R8" s="42">
        <f t="shared" si="5"/>
        <v>61.050000000000011</v>
      </c>
      <c r="S8" s="30">
        <f t="shared" si="6"/>
        <v>14060059.810500009</v>
      </c>
      <c r="T8" s="30">
        <f t="shared" si="7"/>
        <v>-56490.574999999801</v>
      </c>
      <c r="U8" s="31">
        <f t="shared" si="8"/>
        <v>-248.89213484727424</v>
      </c>
    </row>
    <row r="9" spans="2:21" ht="18" customHeight="1">
      <c r="B9" s="32" t="str">
        <f>'Data Entry'!A9</f>
        <v xml:space="preserve">4. Cases Diverted </v>
      </c>
      <c r="C9" s="33">
        <f>'Data Entry'!C9</f>
        <v>11</v>
      </c>
      <c r="D9" s="34">
        <f>IF((AND(C68&gt;0,C9&gt;0)),((C9/C68)),0)</f>
        <v>6.7901234567901234</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8</v>
      </c>
      <c r="P9" s="42">
        <f t="shared" si="4"/>
        <v>11</v>
      </c>
      <c r="Q9" s="42">
        <f>(C$68*L68)-C9</f>
        <v>151</v>
      </c>
      <c r="R9" s="42">
        <f t="shared" si="5"/>
        <v>170</v>
      </c>
      <c r="S9" s="30">
        <f t="shared" si="6"/>
        <v>1316480</v>
      </c>
      <c r="T9" s="30">
        <f t="shared" si="7"/>
        <v>2266704</v>
      </c>
      <c r="U9" s="31">
        <f t="shared" si="8"/>
        <v>0.58079043403990993</v>
      </c>
    </row>
    <row r="10" spans="2:21" ht="18" customHeight="1">
      <c r="B10" s="32" t="str">
        <f>'Data Entry'!A10</f>
        <v>5. Cases Involving Secure Detention</v>
      </c>
      <c r="C10" s="33">
        <f>'Data Entry'!C10</f>
        <v>8</v>
      </c>
      <c r="D10" s="34">
        <f>IF(((AND(C68&gt;0,C10&gt;0))),(C10/(C68)),0)</f>
        <v>4.9382716049382713</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8</v>
      </c>
      <c r="P10" s="42">
        <f t="shared" si="4"/>
        <v>8</v>
      </c>
      <c r="Q10" s="42">
        <f>(C$68*L68)-C10</f>
        <v>154</v>
      </c>
      <c r="R10" s="42">
        <f t="shared" si="5"/>
        <v>170</v>
      </c>
      <c r="S10" s="30">
        <f t="shared" si="6"/>
        <v>696320</v>
      </c>
      <c r="T10" s="30">
        <f t="shared" si="7"/>
        <v>1679616</v>
      </c>
      <c r="U10" s="31">
        <f t="shared" si="8"/>
        <v>0.41457094955037344</v>
      </c>
    </row>
    <row r="11" spans="2:21" ht="18" customHeight="1">
      <c r="B11" s="32" t="str">
        <f>'Data Entry'!A11</f>
        <v>6. Cases Petitioned (Charge Filed)</v>
      </c>
      <c r="C11" s="33">
        <f>'Data Entry'!C11</f>
        <v>83</v>
      </c>
      <c r="D11" s="34">
        <f>IF(((AND(C68&gt;0,C11&gt;0))),(C11/(C68)),0)</f>
        <v>51.234567901234563</v>
      </c>
      <c r="E11" s="33">
        <f>'Data Entry'!I11</f>
        <v>7</v>
      </c>
      <c r="F11" s="34">
        <f>IF(((AND($E$11&gt;0,$D$68&gt;0))),($E$11/($D$68)),0)</f>
        <v>87.5</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7</v>
      </c>
      <c r="O11" s="42">
        <f>(D$68*L68)-E11</f>
        <v>1</v>
      </c>
      <c r="P11" s="42">
        <f t="shared" si="4"/>
        <v>83</v>
      </c>
      <c r="Q11" s="42">
        <f>(C$68*L68)-C11</f>
        <v>79</v>
      </c>
      <c r="R11" s="42">
        <f t="shared" si="5"/>
        <v>170</v>
      </c>
      <c r="S11" s="30">
        <f t="shared" si="6"/>
        <v>37553000</v>
      </c>
      <c r="T11" s="30">
        <f t="shared" si="7"/>
        <v>9331200</v>
      </c>
      <c r="U11" s="31">
        <f t="shared" si="8"/>
        <v>4.0244555898491088</v>
      </c>
    </row>
    <row r="12" spans="2:21" ht="18" customHeight="1">
      <c r="B12" s="32" t="str">
        <f>'Data Entry'!A12</f>
        <v>7. Cases Resulting in Delinquent Findings</v>
      </c>
      <c r="C12" s="33">
        <f>'Data Entry'!C12</f>
        <v>50</v>
      </c>
      <c r="D12" s="34">
        <f>IF(((AND(C69&gt;0,C12&gt;0))),(C12/(C69)),0)</f>
        <v>60.24096385542169</v>
      </c>
      <c r="E12" s="33">
        <f>'Data Entry'!I12</f>
        <v>6</v>
      </c>
      <c r="F12" s="34">
        <f>IF(((AND($D$69&gt;0,$E$12&gt;0))),(E12/(D69)),0)</f>
        <v>85.714285714285708</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6</v>
      </c>
      <c r="O12" s="42">
        <f>(D69*L69)-E12</f>
        <v>1.0000000000000009</v>
      </c>
      <c r="P12" s="42">
        <f t="shared" si="4"/>
        <v>50</v>
      </c>
      <c r="Q12" s="42">
        <f>(C69*L69)-C12</f>
        <v>33</v>
      </c>
      <c r="R12" s="42">
        <f t="shared" si="5"/>
        <v>90</v>
      </c>
      <c r="S12" s="30">
        <f t="shared" si="6"/>
        <v>1971359.9999999984</v>
      </c>
      <c r="T12" s="30">
        <f t="shared" si="7"/>
        <v>1106224.0000000002</v>
      </c>
      <c r="U12" s="31">
        <f t="shared" si="8"/>
        <v>1.7820622224793514</v>
      </c>
    </row>
    <row r="13" spans="2:21" ht="18" customHeight="1">
      <c r="B13" s="32" t="str">
        <f>'Data Entry'!A13</f>
        <v>8. Cases Resulting in Probation Placement</v>
      </c>
      <c r="C13" s="33">
        <f>'Data Entry'!C13</f>
        <v>128</v>
      </c>
      <c r="D13" s="34">
        <f>IF(((AND(C70&gt;0,C13&gt;0))),(C13/(C70)),0)</f>
        <v>256</v>
      </c>
      <c r="E13" s="33">
        <f>'Data Entry'!I13</f>
        <v>7</v>
      </c>
      <c r="F13" s="34">
        <f>IF(((AND($D$70&gt;0,$E$13&gt;0))),($E$13/($D$70)),0)</f>
        <v>116.66666666666667</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7</v>
      </c>
      <c r="O13" s="42">
        <f>(D70*L70)-E13</f>
        <v>-1</v>
      </c>
      <c r="P13" s="42">
        <f t="shared" si="4"/>
        <v>128</v>
      </c>
      <c r="Q13" s="42">
        <f>(C70*L70)-C13</f>
        <v>-78</v>
      </c>
      <c r="R13" s="42">
        <f t="shared" si="5"/>
        <v>56</v>
      </c>
      <c r="S13" s="30">
        <f t="shared" si="6"/>
        <v>9784544</v>
      </c>
      <c r="T13" s="30">
        <f t="shared" si="7"/>
        <v>-3199500</v>
      </c>
      <c r="U13" s="31">
        <f t="shared" si="8"/>
        <v>-3.0581478355993124</v>
      </c>
    </row>
    <row r="14" spans="2:21" ht="30.75" customHeight="1">
      <c r="B14" s="32" t="str">
        <f>'Data Entry'!A14</f>
        <v xml:space="preserve">9. Cases Resulting in Confinement in Secure Juvenile Correctional Facilities </v>
      </c>
      <c r="C14" s="33">
        <f>'Data Entry'!C14</f>
        <v>11</v>
      </c>
      <c r="D14" s="34">
        <f>IF(((AND(C70&gt;0,C14&gt;0))), ((C14/(C70))),0)</f>
        <v>22</v>
      </c>
      <c r="E14" s="33">
        <f>'Data Entry'!I14</f>
        <v>2</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2</v>
      </c>
      <c r="O14" s="42">
        <f>(D70*L70)-E14</f>
        <v>4</v>
      </c>
      <c r="P14" s="42">
        <f t="shared" si="4"/>
        <v>11</v>
      </c>
      <c r="Q14" s="42">
        <f>(C70*L70)-C14</f>
        <v>39</v>
      </c>
      <c r="R14" s="42">
        <f t="shared" si="5"/>
        <v>56</v>
      </c>
      <c r="S14" s="30">
        <f t="shared" si="6"/>
        <v>64736</v>
      </c>
      <c r="T14" s="30">
        <f t="shared" si="7"/>
        <v>167700</v>
      </c>
      <c r="U14" s="31">
        <f t="shared" si="8"/>
        <v>0.3860226595110316</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83</v>
      </c>
      <c r="R15" s="42">
        <f t="shared" si="5"/>
        <v>90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13.866</v>
      </c>
      <c r="D42" s="56">
        <f>E6/1000</f>
        <v>0</v>
      </c>
      <c r="E42" s="56">
        <f>MAX(C42:D42)</f>
        <v>13.866</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1.62</v>
      </c>
      <c r="D44" s="56">
        <f>E8/100</f>
        <v>0.08</v>
      </c>
      <c r="E44" s="56">
        <f>MAX(C44:D44,0)</f>
        <v>1.62</v>
      </c>
      <c r="G44" s="1" t="str">
        <f>B44</f>
        <v>per 100 referrals</v>
      </c>
      <c r="L44" s="57">
        <v>100</v>
      </c>
      <c r="M44" s="57"/>
      <c r="R44" s="49"/>
    </row>
    <row r="45" spans="2:18" ht="15" hidden="1" customHeight="1">
      <c r="B45" s="49" t="s">
        <v>89</v>
      </c>
      <c r="C45" s="49">
        <f>C11/100</f>
        <v>0.83</v>
      </c>
      <c r="D45" s="49">
        <f>E11/100</f>
        <v>7.0000000000000007E-2</v>
      </c>
      <c r="E45" s="56">
        <f>MAX(C45:D45,0)</f>
        <v>0.83</v>
      </c>
      <c r="G45" s="1" t="str">
        <f>B45</f>
        <v>per 100 youth petitioned</v>
      </c>
      <c r="L45" s="57">
        <v>100</v>
      </c>
      <c r="M45" s="57"/>
      <c r="R45" s="49"/>
    </row>
    <row r="46" spans="2:18" ht="15" hidden="1" customHeight="1">
      <c r="B46" s="49" t="s">
        <v>90</v>
      </c>
      <c r="C46" s="49">
        <f>C12/100</f>
        <v>0.5</v>
      </c>
      <c r="D46" s="49">
        <f>E12/100</f>
        <v>0.06</v>
      </c>
      <c r="E46" s="56">
        <f>MAX(C46:D46)</f>
        <v>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13.866</v>
      </c>
      <c r="D48" s="56">
        <f>D42</f>
        <v>0</v>
      </c>
      <c r="E48" s="56">
        <f>MAX(C48:D48)</f>
        <v>13.866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1.62</v>
      </c>
      <c r="D50" s="49">
        <f t="shared" si="9"/>
        <v>0.08</v>
      </c>
      <c r="E50" s="49">
        <f>MAX(C50:D50)</f>
        <v>1.62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0.83</v>
      </c>
      <c r="D51" s="49">
        <f>IF(($E45&gt;0),D45,D44)</f>
        <v>7.0000000000000007E-2</v>
      </c>
      <c r="E51" s="49">
        <f>MAX(C51:D51)</f>
        <v>0.83</v>
      </c>
      <c r="G51" s="1" t="str">
        <f>G45</f>
        <v>per 100 youth petitioned</v>
      </c>
      <c r="L51" s="58">
        <f>IF(($E45&gt;0),L45,L44)</f>
        <v>100</v>
      </c>
      <c r="M51" s="58"/>
    </row>
    <row r="52" spans="2:18" ht="15" hidden="1" customHeight="1">
      <c r="B52" s="49" t="str">
        <f>IF(($E46&gt;0),B46,B45)</f>
        <v>per 100 youth found delinquent</v>
      </c>
      <c r="C52" s="49">
        <f>IF(($E46&gt;0),C46,C45)</f>
        <v>0.5</v>
      </c>
      <c r="D52" s="49">
        <f>IF(($E46&gt;0),D46,D45)</f>
        <v>0.06</v>
      </c>
      <c r="E52" s="56">
        <f>MAX(C52:D52)</f>
        <v>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13.866</v>
      </c>
      <c r="D54" s="56">
        <f>D48</f>
        <v>0</v>
      </c>
      <c r="E54" s="56">
        <f>MAX(C54:D54)</f>
        <v>13.866</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1.62</v>
      </c>
      <c r="D56" s="49">
        <f t="shared" si="10"/>
        <v>0.08</v>
      </c>
      <c r="E56" s="49">
        <f>MAX(C56:D56)</f>
        <v>1.62</v>
      </c>
      <c r="G56" s="1" t="str">
        <f>G50</f>
        <v>per 100 referrals</v>
      </c>
      <c r="L56" s="58">
        <f>IF(($E50&gt;0),L50,L49)</f>
        <v>100</v>
      </c>
      <c r="M56" s="58"/>
    </row>
    <row r="57" spans="2:18" ht="15" hidden="1" customHeight="1">
      <c r="B57" s="49" t="str">
        <f>IF(($E51&gt;0),B51,B49)</f>
        <v>per 100 youth petitioned</v>
      </c>
      <c r="C57" s="49">
        <f>IF(($E51&gt;0),C51,C50)</f>
        <v>0.83</v>
      </c>
      <c r="D57" s="49">
        <f>IF(($E51&gt;0),D51,D50)</f>
        <v>7.0000000000000007E-2</v>
      </c>
      <c r="E57" s="49">
        <f>MAX(C57:D57)</f>
        <v>0.83</v>
      </c>
      <c r="G57" s="1" t="str">
        <f>G51</f>
        <v>per 100 youth petitioned</v>
      </c>
      <c r="L57" s="58">
        <f>IF(($E51&gt;0),L51,L50)</f>
        <v>100</v>
      </c>
      <c r="M57" s="58"/>
    </row>
    <row r="58" spans="2:18" ht="15" hidden="1" customHeight="1">
      <c r="B58" s="49" t="str">
        <f>IF(($E52&gt;0),B52,B51)</f>
        <v>per 100 youth found delinquent</v>
      </c>
      <c r="C58" s="49">
        <f>IF(($E52&gt;0),C52,C51)</f>
        <v>0.5</v>
      </c>
      <c r="D58" s="49">
        <f>IF(($E52&gt;0),D52,D51)</f>
        <v>0.06</v>
      </c>
      <c r="E58" s="56">
        <f>MAX(C58:D58)</f>
        <v>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13.866</v>
      </c>
      <c r="D60" s="56">
        <f>D54</f>
        <v>0</v>
      </c>
      <c r="E60" s="56">
        <f>MAX(C60:D60)</f>
        <v>13.866</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1.62</v>
      </c>
      <c r="D62" s="49">
        <f t="shared" si="11"/>
        <v>0.08</v>
      </c>
      <c r="E62" s="49">
        <f>MAX(C62:D62)</f>
        <v>1.62</v>
      </c>
      <c r="G62" s="1" t="str">
        <f>G56</f>
        <v>per 100 referrals</v>
      </c>
      <c r="L62" s="58">
        <f>IF(($E56&gt;0),L56,L55)</f>
        <v>100</v>
      </c>
      <c r="M62" s="58"/>
    </row>
    <row r="63" spans="2:18" ht="15" hidden="1" customHeight="1">
      <c r="B63" s="49" t="str">
        <f>IF(($E57&gt;0),B57,B55)</f>
        <v>per 100 youth petitioned</v>
      </c>
      <c r="C63" s="49">
        <f>IF(($E57&gt;0),C57,C56)</f>
        <v>0.83</v>
      </c>
      <c r="D63" s="49">
        <f>IF(($E57&gt;0),D57,D56)</f>
        <v>7.0000000000000007E-2</v>
      </c>
      <c r="E63" s="49">
        <f>MAX(C63:D63)</f>
        <v>0.83</v>
      </c>
      <c r="G63" s="1" t="str">
        <f>G57</f>
        <v>per 100 youth petitioned</v>
      </c>
      <c r="L63" s="58">
        <f>IF(($E57&gt;0),L57,L56)</f>
        <v>100</v>
      </c>
      <c r="M63" s="58"/>
    </row>
    <row r="64" spans="2:18" ht="15" hidden="1" customHeight="1">
      <c r="B64" s="49" t="str">
        <f>IF(($E58&gt;0),B58,B57)</f>
        <v>per 100 youth found delinquent</v>
      </c>
      <c r="C64" s="49">
        <f>IF(($E58&gt;0),C58,C57)</f>
        <v>0.5</v>
      </c>
      <c r="D64" s="49">
        <f>IF(($E58&gt;0),D58,D57)</f>
        <v>0.06</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13.866</v>
      </c>
      <c r="D66" s="56">
        <f>D60</f>
        <v>0</v>
      </c>
      <c r="E66" s="56">
        <f>MAX(C66:D66)</f>
        <v>13.866</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1.62</v>
      </c>
      <c r="D68" s="49">
        <f t="shared" si="12"/>
        <v>0.08</v>
      </c>
      <c r="E68" s="49">
        <f>MAX(C68:D68)</f>
        <v>1.62</v>
      </c>
      <c r="G68" s="1" t="str">
        <f>G62</f>
        <v>per 100 referrals</v>
      </c>
      <c r="L68" s="58">
        <f>IF(($E62&gt;0),L62,L61)</f>
        <v>100</v>
      </c>
      <c r="M68" s="58">
        <f>IF((B68=G68),1,2)</f>
        <v>1</v>
      </c>
    </row>
    <row r="69" spans="2:13" ht="15" hidden="1" customHeight="1">
      <c r="B69" s="49" t="str">
        <f>IF(($E63&gt;0),B63,B61)</f>
        <v>per 100 youth petitioned</v>
      </c>
      <c r="C69" s="49">
        <f>IF(($E63&gt;0),C63,C62)</f>
        <v>0.83</v>
      </c>
      <c r="D69" s="49">
        <f>IF(($E63&gt;0),D63,D62)</f>
        <v>7.0000000000000007E-2</v>
      </c>
      <c r="E69" s="49">
        <f>MAX(C69:D69)</f>
        <v>0.83</v>
      </c>
      <c r="G69" s="1" t="str">
        <f>G63</f>
        <v>per 100 youth petitioned</v>
      </c>
      <c r="L69" s="58">
        <f>IF(($E63&gt;0),L63,L62)</f>
        <v>100</v>
      </c>
      <c r="M69" s="58">
        <f>IF((B69=G69),1,2)</f>
        <v>1</v>
      </c>
    </row>
    <row r="70" spans="2:13" ht="15" hidden="1" customHeight="1">
      <c r="B70" s="49" t="str">
        <f>IF(($E64&gt;0),B64,B63)</f>
        <v>per 100 youth found delinquent</v>
      </c>
      <c r="C70" s="49">
        <f>IF(($E64&gt;0),C64,C63)</f>
        <v>0.5</v>
      </c>
      <c r="D70" s="49">
        <f>IF(($E64&gt;0),D64,D63)</f>
        <v>0.06</v>
      </c>
      <c r="E70" s="56">
        <f>MAX(C70:D70)</f>
        <v>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13866</v>
      </c>
      <c r="D6" s="34"/>
      <c r="E6" s="33">
        <f>'Data Entry'!J6</f>
        <v>2003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4.3992499639405738</v>
      </c>
      <c r="E7" s="33">
        <f>'Data Entry'!J7</f>
        <v>36</v>
      </c>
      <c r="F7" s="34">
        <f>IF((AND($E$7&gt;0,$D$66&gt;0)),($E$7/$D$66),0)</f>
        <v>17.973040439340988</v>
      </c>
      <c r="G7" s="39">
        <f t="shared" ref="G7:G15" si="0">IF(L$6=100,"*",IF(M7=FALSE,"--",IF(K7=20,"**",($F7/$D7))))</f>
        <v>4.0854783398672483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36</v>
      </c>
      <c r="O7" s="42">
        <f>E6-E7</f>
        <v>1967</v>
      </c>
      <c r="P7" s="42">
        <f t="shared" ref="P7:P15" si="4">C7</f>
        <v>61</v>
      </c>
      <c r="Q7" s="42">
        <f>C6-C7</f>
        <v>13805</v>
      </c>
      <c r="R7" s="42">
        <f t="shared" ref="R7:R15" si="5">SUM(N7:Q7)</f>
        <v>15869</v>
      </c>
      <c r="S7" s="30">
        <f t="shared" ref="S7:S15" si="6">R7*((((N7*Q7)-(O7*P7))^2))</f>
        <v>2255361345195581</v>
      </c>
      <c r="T7" s="30">
        <f t="shared" ref="T7:T15" si="7">(N7+O7)*(P7+Q7)*(N7+P7)*(O7+Q7)</f>
        <v>42490383202632</v>
      </c>
      <c r="U7" s="31">
        <f t="shared" ref="U7:U15" si="8">IF((S7&gt;0),S7/T7,"- -")</f>
        <v>53.079336433376206</v>
      </c>
    </row>
    <row r="8" spans="2:21" ht="18" customHeight="1">
      <c r="B8" s="32" t="str">
        <f>'Data Entry'!A8</f>
        <v>3. Refer to Juvenile Court</v>
      </c>
      <c r="C8" s="33">
        <f>'Data Entry'!C8</f>
        <v>162</v>
      </c>
      <c r="D8" s="34">
        <f>IF((AND(C67&gt;0,C8&gt;0)),(C8/C67),0)</f>
        <v>265.57377049180326</v>
      </c>
      <c r="E8" s="33">
        <f>'Data Entry'!J8</f>
        <v>74</v>
      </c>
      <c r="F8" s="34">
        <f>IF((AND($E$8&gt;0,$D$67&gt;0)),($E8/$D67),0)</f>
        <v>205.55555555555557</v>
      </c>
      <c r="G8" s="39">
        <f t="shared" si="0"/>
        <v>0.77400548696845006</v>
      </c>
      <c r="H8" s="40"/>
      <c r="I8" s="41"/>
      <c r="J8" s="40">
        <f>IF((ABS($U8)&gt;Defaults!D$7),1,2)</f>
        <v>2</v>
      </c>
      <c r="K8" s="39">
        <f>IF((AND(N8&gt;Defaults!B$12,(N8+O8)&gt;Defaults!B$13, P8 &gt; Defaults!B$12, (P8+Q8) &gt; Defaults!B$13)),1,20)</f>
        <v>1</v>
      </c>
      <c r="L8" s="1">
        <f t="shared" si="1"/>
        <v>2</v>
      </c>
      <c r="M8" s="1" t="b">
        <f t="shared" si="2"/>
        <v>1</v>
      </c>
      <c r="N8" s="42">
        <f t="shared" si="3"/>
        <v>74</v>
      </c>
      <c r="O8" s="42">
        <f>((D67*L67)-E8)+0.05</f>
        <v>-37.950000000000003</v>
      </c>
      <c r="P8" s="42">
        <f t="shared" si="4"/>
        <v>162</v>
      </c>
      <c r="Q8" s="42">
        <f>(C$67*L67)-C8</f>
        <v>-101</v>
      </c>
      <c r="R8" s="42">
        <f t="shared" si="5"/>
        <v>97.050000000000011</v>
      </c>
      <c r="S8" s="30">
        <f t="shared" si="6"/>
        <v>170666424.43049988</v>
      </c>
      <c r="T8" s="30">
        <f t="shared" si="7"/>
        <v>-72111687.409999982</v>
      </c>
      <c r="U8" s="31">
        <f t="shared" si="8"/>
        <v>-2.3666957543255736</v>
      </c>
    </row>
    <row r="9" spans="2:21" ht="18" customHeight="1">
      <c r="B9" s="32" t="str">
        <f>'Data Entry'!A9</f>
        <v xml:space="preserve">4. Cases Diverted </v>
      </c>
      <c r="C9" s="33">
        <f>'Data Entry'!C9</f>
        <v>11</v>
      </c>
      <c r="D9" s="34">
        <f>IF((AND(C68&gt;0,C9&gt;0)),((C9/C68)),0)</f>
        <v>6.7901234567901234</v>
      </c>
      <c r="E9" s="33">
        <f>'Data Entry'!J9</f>
        <v>1</v>
      </c>
      <c r="F9" s="34">
        <f>IF((AND($E$9&gt;0,$D$68&gt;0)),(($E$9/$D$68)),0)</f>
        <v>1.3513513513513513</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73</v>
      </c>
      <c r="P9" s="42">
        <f t="shared" si="4"/>
        <v>11</v>
      </c>
      <c r="Q9" s="42">
        <f>(C$68*L68)-C9</f>
        <v>151</v>
      </c>
      <c r="R9" s="42">
        <f t="shared" si="5"/>
        <v>236</v>
      </c>
      <c r="S9" s="30">
        <f t="shared" si="6"/>
        <v>100324544</v>
      </c>
      <c r="T9" s="30">
        <f t="shared" si="7"/>
        <v>32223744</v>
      </c>
      <c r="U9" s="31">
        <f t="shared" si="8"/>
        <v>3.1133732939288494</v>
      </c>
    </row>
    <row r="10" spans="2:21" ht="18" customHeight="1">
      <c r="B10" s="32" t="str">
        <f>'Data Entry'!A10</f>
        <v>5. Cases Involving Secure Detention</v>
      </c>
      <c r="C10" s="33">
        <f>'Data Entry'!C10</f>
        <v>8</v>
      </c>
      <c r="D10" s="34">
        <f>IF(((AND(C68&gt;0,C10&gt;0))),(C10/(C68)),0)</f>
        <v>4.9382716049382713</v>
      </c>
      <c r="E10" s="33">
        <f>'Data Entry'!J10</f>
        <v>4</v>
      </c>
      <c r="F10" s="34">
        <f>IF(((AND($E$10&gt;0,$D$68&gt;0))),($E$10/($D$68)),0)</f>
        <v>5.4054054054054053</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4</v>
      </c>
      <c r="O10" s="42">
        <f>(D$68*L68)-E10</f>
        <v>70</v>
      </c>
      <c r="P10" s="42">
        <f t="shared" si="4"/>
        <v>8</v>
      </c>
      <c r="Q10" s="42">
        <f>(C$68*L68)-C10</f>
        <v>154</v>
      </c>
      <c r="R10" s="42">
        <f t="shared" si="5"/>
        <v>236</v>
      </c>
      <c r="S10" s="30">
        <f t="shared" si="6"/>
        <v>740096</v>
      </c>
      <c r="T10" s="30">
        <f t="shared" si="7"/>
        <v>32223744</v>
      </c>
      <c r="U10" s="31">
        <f t="shared" si="8"/>
        <v>2.2967411856300746E-2</v>
      </c>
    </row>
    <row r="11" spans="2:21" ht="18" customHeight="1">
      <c r="B11" s="32" t="str">
        <f>'Data Entry'!A11</f>
        <v>6. Cases Petitioned (Charge Filed)</v>
      </c>
      <c r="C11" s="33">
        <f>'Data Entry'!C11</f>
        <v>83</v>
      </c>
      <c r="D11" s="34">
        <f>IF(((AND(C68&gt;0,C11&gt;0))),(C11/(C68)),0)</f>
        <v>51.234567901234563</v>
      </c>
      <c r="E11" s="33">
        <f>'Data Entry'!J11</f>
        <v>53</v>
      </c>
      <c r="F11" s="34">
        <f>IF(((AND($E$11&gt;0,$D$68&gt;0))),($E$11/($D$68)),0)</f>
        <v>71.621621621621628</v>
      </c>
      <c r="G11" s="39">
        <f t="shared" si="0"/>
        <v>1.3979159882774344</v>
      </c>
      <c r="H11" s="40"/>
      <c r="I11" s="41"/>
      <c r="J11" s="40">
        <f>IF((ABS($U11)&gt;Defaults!D$7),1,2)</f>
        <v>1</v>
      </c>
      <c r="K11" s="39">
        <f>IF((AND(N11&gt;Defaults!B$12,(N11+O11)&gt;Defaults!B$13, P11 &gt; Defaults!B$12, (P11+Q11) &gt; Defaults!B$13)),1,20)</f>
        <v>1</v>
      </c>
      <c r="L11" s="1">
        <f t="shared" si="1"/>
        <v>1</v>
      </c>
      <c r="M11" s="1" t="b">
        <f t="shared" si="2"/>
        <v>1</v>
      </c>
      <c r="N11" s="42">
        <f t="shared" si="3"/>
        <v>53</v>
      </c>
      <c r="O11" s="42">
        <f>(D$68*L68)-E11</f>
        <v>21</v>
      </c>
      <c r="P11" s="42">
        <f t="shared" si="4"/>
        <v>83</v>
      </c>
      <c r="Q11" s="42">
        <f>(C$68*L68)-C11</f>
        <v>79</v>
      </c>
      <c r="R11" s="42">
        <f t="shared" si="5"/>
        <v>236</v>
      </c>
      <c r="S11" s="30">
        <f t="shared" si="6"/>
        <v>1409660096</v>
      </c>
      <c r="T11" s="30">
        <f t="shared" si="7"/>
        <v>163036800</v>
      </c>
      <c r="U11" s="31">
        <f t="shared" si="8"/>
        <v>8.6462694066615633</v>
      </c>
    </row>
    <row r="12" spans="2:21" ht="18" customHeight="1">
      <c r="B12" s="32" t="str">
        <f>'Data Entry'!A12</f>
        <v>7. Cases Resulting in Delinquent Findings</v>
      </c>
      <c r="C12" s="33">
        <f>'Data Entry'!C12</f>
        <v>50</v>
      </c>
      <c r="D12" s="34">
        <f>IF(((AND(C69&gt;0,C12&gt;0))),(C12/(C69)),0)</f>
        <v>60.24096385542169</v>
      </c>
      <c r="E12" s="33">
        <f>'Data Entry'!J12</f>
        <v>34</v>
      </c>
      <c r="F12" s="34">
        <f>IF(((AND($D$69&gt;0,$E$12&gt;0))),(E12/(D69)),0)</f>
        <v>64.15094339622641</v>
      </c>
      <c r="G12" s="39">
        <f t="shared" si="0"/>
        <v>1.0649056603773583</v>
      </c>
      <c r="H12" s="40"/>
      <c r="I12" s="41"/>
      <c r="J12" s="40">
        <f>IF((ABS($U12)&gt;Defaults!D$7),1,2)</f>
        <v>2</v>
      </c>
      <c r="K12" s="39">
        <f>IF((AND(N12&gt;Defaults!B$12,(N12+O12)&gt;Defaults!B$13, P12 &gt; Defaults!B$12, (P12+Q12) &gt; Defaults!B$13)),1,20)</f>
        <v>1</v>
      </c>
      <c r="L12" s="1">
        <f t="shared" si="1"/>
        <v>2</v>
      </c>
      <c r="M12" s="1" t="b">
        <f t="shared" si="2"/>
        <v>1</v>
      </c>
      <c r="N12" s="42">
        <f t="shared" si="3"/>
        <v>34</v>
      </c>
      <c r="O12" s="42">
        <f>(D69*L69)-E12</f>
        <v>19</v>
      </c>
      <c r="P12" s="42">
        <f t="shared" si="4"/>
        <v>50</v>
      </c>
      <c r="Q12" s="42">
        <f>(C69*L69)-C12</f>
        <v>33</v>
      </c>
      <c r="R12" s="42">
        <f t="shared" si="5"/>
        <v>136</v>
      </c>
      <c r="S12" s="30">
        <f t="shared" si="6"/>
        <v>4023424</v>
      </c>
      <c r="T12" s="30">
        <f t="shared" si="7"/>
        <v>19214832</v>
      </c>
      <c r="U12" s="31">
        <f t="shared" si="8"/>
        <v>0.20939157833906641</v>
      </c>
    </row>
    <row r="13" spans="2:21" ht="18" customHeight="1">
      <c r="B13" s="32" t="str">
        <f>'Data Entry'!A13</f>
        <v>8. Cases Resulting in Probation Placement</v>
      </c>
      <c r="C13" s="33">
        <f>'Data Entry'!C13</f>
        <v>128</v>
      </c>
      <c r="D13" s="34">
        <f>IF(((AND(C70&gt;0,C13&gt;0))),(C13/(C70)),0)</f>
        <v>256</v>
      </c>
      <c r="E13" s="33">
        <f>'Data Entry'!J13</f>
        <v>55</v>
      </c>
      <c r="F13" s="34">
        <f>IF(((AND($D$70&gt;0,$E$13&gt;0))),($E$13/($D$70)),0)</f>
        <v>161.76470588235293</v>
      </c>
      <c r="G13" s="39">
        <f t="shared" si="0"/>
        <v>0.63189338235294112</v>
      </c>
      <c r="H13" s="40"/>
      <c r="I13" s="41"/>
      <c r="J13" s="40">
        <f>IF((ABS($U13)&gt;Defaults!D$7),1,2)</f>
        <v>1</v>
      </c>
      <c r="K13" s="39">
        <f>IF((AND(N13&gt;Defaults!B$12,(N13+O13)&gt;Defaults!B$13, P13 &gt; Defaults!B$12, (P13+Q13) &gt; Defaults!B$13)),1,20)</f>
        <v>1</v>
      </c>
      <c r="L13" s="1">
        <f t="shared" si="1"/>
        <v>1</v>
      </c>
      <c r="M13" s="1" t="b">
        <f t="shared" si="2"/>
        <v>1</v>
      </c>
      <c r="N13" s="42">
        <f t="shared" si="3"/>
        <v>55</v>
      </c>
      <c r="O13" s="42">
        <f>(D70*L70)-E13</f>
        <v>-21</v>
      </c>
      <c r="P13" s="42">
        <f t="shared" si="4"/>
        <v>128</v>
      </c>
      <c r="Q13" s="42">
        <f>(C70*L70)-C13</f>
        <v>-78</v>
      </c>
      <c r="R13" s="42">
        <f t="shared" si="5"/>
        <v>84</v>
      </c>
      <c r="S13" s="30">
        <f t="shared" si="6"/>
        <v>215577936</v>
      </c>
      <c r="T13" s="30">
        <f t="shared" si="7"/>
        <v>-30798900</v>
      </c>
      <c r="U13" s="31">
        <f t="shared" si="8"/>
        <v>-6.9995336197071971</v>
      </c>
    </row>
    <row r="14" spans="2:21" ht="30.75" customHeight="1">
      <c r="B14" s="32" t="str">
        <f>'Data Entry'!A14</f>
        <v xml:space="preserve">9. Cases Resulting in Confinement in Secure Juvenile Correctional Facilities </v>
      </c>
      <c r="C14" s="33">
        <f>'Data Entry'!C14</f>
        <v>11</v>
      </c>
      <c r="D14" s="34">
        <f>IF(((AND(C70&gt;0,C14&gt;0))), ((C14/(C70))),0)</f>
        <v>22</v>
      </c>
      <c r="E14" s="33">
        <f>'Data Entry'!J14</f>
        <v>17</v>
      </c>
      <c r="F14" s="34">
        <f>IF(((AND($D$70&gt;0,$E$14&gt;0))), (($E$14/($D$70))),0)</f>
        <v>49.999999999999993</v>
      </c>
      <c r="G14" s="39">
        <f t="shared" si="0"/>
        <v>2.2727272727272725</v>
      </c>
      <c r="H14" s="40"/>
      <c r="I14" s="41"/>
      <c r="J14" s="40">
        <f>IF((ABS($U14)&gt;Defaults!D$7),1,2)</f>
        <v>1</v>
      </c>
      <c r="K14" s="39">
        <f>IF((AND(N14&gt;Defaults!B$12,(N14+O14)&gt;Defaults!B$13, P14 &gt; Defaults!B$12, (P14+Q14) &gt; Defaults!B$13)),1,20)</f>
        <v>1</v>
      </c>
      <c r="L14" s="1">
        <f t="shared" si="1"/>
        <v>1</v>
      </c>
      <c r="M14" s="1" t="b">
        <f t="shared" si="2"/>
        <v>1</v>
      </c>
      <c r="N14" s="42">
        <f t="shared" si="3"/>
        <v>17</v>
      </c>
      <c r="O14" s="42">
        <f>(D70*L70)-E14</f>
        <v>17</v>
      </c>
      <c r="P14" s="42">
        <f t="shared" si="4"/>
        <v>11</v>
      </c>
      <c r="Q14" s="42">
        <f>(C70*L70)-C14</f>
        <v>39</v>
      </c>
      <c r="R14" s="42">
        <f t="shared" si="5"/>
        <v>84</v>
      </c>
      <c r="S14" s="30">
        <f t="shared" si="6"/>
        <v>19032384</v>
      </c>
      <c r="T14" s="30">
        <f t="shared" si="7"/>
        <v>2665600</v>
      </c>
      <c r="U14" s="31">
        <f t="shared" si="8"/>
        <v>7.14</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53</v>
      </c>
      <c r="P15" s="42">
        <f t="shared" si="4"/>
        <v>0</v>
      </c>
      <c r="Q15" s="42">
        <f>(C69*L69)-C15</f>
        <v>83</v>
      </c>
      <c r="R15" s="42">
        <f t="shared" si="5"/>
        <v>136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13.866</v>
      </c>
      <c r="D42" s="56">
        <f>E6/1000</f>
        <v>2.0030000000000001</v>
      </c>
      <c r="E42" s="56">
        <f>MAX(C42:D42)</f>
        <v>13.866</v>
      </c>
      <c r="G42" s="1" t="str">
        <f>B42</f>
        <v>per 1000 youth</v>
      </c>
      <c r="L42" s="57">
        <v>1000</v>
      </c>
      <c r="M42" s="57"/>
      <c r="R42" s="49"/>
    </row>
    <row r="43" spans="2:18" ht="15" hidden="1" customHeight="1">
      <c r="B43" s="49" t="s">
        <v>87</v>
      </c>
      <c r="C43" s="56">
        <f>C7/100</f>
        <v>0.61</v>
      </c>
      <c r="D43" s="56">
        <f>E7/100</f>
        <v>0.36</v>
      </c>
      <c r="E43" s="56">
        <f>MAX(C43:D43,0)</f>
        <v>0.61</v>
      </c>
      <c r="G43" s="1" t="str">
        <f>B43</f>
        <v>per 100 arrests</v>
      </c>
      <c r="L43" s="57">
        <v>100</v>
      </c>
      <c r="M43" s="57"/>
      <c r="R43" s="49"/>
    </row>
    <row r="44" spans="2:18" ht="15" hidden="1" customHeight="1">
      <c r="B44" s="49" t="s">
        <v>88</v>
      </c>
      <c r="C44" s="56">
        <f>C8/100</f>
        <v>1.62</v>
      </c>
      <c r="D44" s="56">
        <f>E8/100</f>
        <v>0.74</v>
      </c>
      <c r="E44" s="56">
        <f>MAX(C44:D44,0)</f>
        <v>1.62</v>
      </c>
      <c r="G44" s="1" t="str">
        <f>B44</f>
        <v>per 100 referrals</v>
      </c>
      <c r="L44" s="57">
        <v>100</v>
      </c>
      <c r="M44" s="57"/>
      <c r="R44" s="49"/>
    </row>
    <row r="45" spans="2:18" ht="15" hidden="1" customHeight="1">
      <c r="B45" s="49" t="s">
        <v>89</v>
      </c>
      <c r="C45" s="49">
        <f>C11/100</f>
        <v>0.83</v>
      </c>
      <c r="D45" s="49">
        <f>E11/100</f>
        <v>0.53</v>
      </c>
      <c r="E45" s="56">
        <f>MAX(C45:D45,0)</f>
        <v>0.83</v>
      </c>
      <c r="G45" s="1" t="str">
        <f>B45</f>
        <v>per 100 youth petitioned</v>
      </c>
      <c r="L45" s="57">
        <v>100</v>
      </c>
      <c r="M45" s="57"/>
      <c r="R45" s="49"/>
    </row>
    <row r="46" spans="2:18" ht="15" hidden="1" customHeight="1">
      <c r="B46" s="49" t="s">
        <v>90</v>
      </c>
      <c r="C46" s="49">
        <f>C12/100</f>
        <v>0.5</v>
      </c>
      <c r="D46" s="49">
        <f>E12/100</f>
        <v>0.34</v>
      </c>
      <c r="E46" s="56">
        <f>MAX(C46:D46)</f>
        <v>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13.866</v>
      </c>
      <c r="D48" s="56">
        <f>D42</f>
        <v>2.0030000000000001</v>
      </c>
      <c r="E48" s="56">
        <f>MAX(C48:D48)</f>
        <v>13.866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0.36</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1.62</v>
      </c>
      <c r="D50" s="49">
        <f t="shared" si="9"/>
        <v>0.74</v>
      </c>
      <c r="E50" s="49">
        <f>MAX(C50:D50)</f>
        <v>1.62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0.83</v>
      </c>
      <c r="D51" s="49">
        <f>IF(($E45&gt;0),D45,D44)</f>
        <v>0.53</v>
      </c>
      <c r="E51" s="49">
        <f>MAX(C51:D51)</f>
        <v>0.83</v>
      </c>
      <c r="G51" s="1" t="str">
        <f>G45</f>
        <v>per 100 youth petitioned</v>
      </c>
      <c r="L51" s="58">
        <f>IF(($E45&gt;0),L45,L44)</f>
        <v>100</v>
      </c>
      <c r="M51" s="58"/>
    </row>
    <row r="52" spans="2:18" ht="15" hidden="1" customHeight="1">
      <c r="B52" s="49" t="str">
        <f>IF(($E46&gt;0),B46,B45)</f>
        <v>per 100 youth found delinquent</v>
      </c>
      <c r="C52" s="49">
        <f>IF(($E46&gt;0),C46,C45)</f>
        <v>0.5</v>
      </c>
      <c r="D52" s="49">
        <f>IF(($E46&gt;0),D46,D45)</f>
        <v>0.34</v>
      </c>
      <c r="E52" s="56">
        <f>MAX(C52:D52)</f>
        <v>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13.866</v>
      </c>
      <c r="D54" s="56">
        <f>D48</f>
        <v>2.0030000000000001</v>
      </c>
      <c r="E54" s="56">
        <f>MAX(C54:D54)</f>
        <v>13.866</v>
      </c>
      <c r="G54" s="1" t="str">
        <f>G48</f>
        <v>per 1000 youth</v>
      </c>
      <c r="L54" s="58">
        <f>L48</f>
        <v>1000</v>
      </c>
      <c r="M54" s="58"/>
    </row>
    <row r="55" spans="2:18" ht="15" hidden="1" customHeight="1">
      <c r="B55" s="49" t="str">
        <f t="shared" ref="B55:D56" si="10">IF(($E49&gt;0),B49,B48)</f>
        <v>per 100 arrests</v>
      </c>
      <c r="C55" s="49">
        <f t="shared" si="10"/>
        <v>0.61</v>
      </c>
      <c r="D55" s="49">
        <f t="shared" si="10"/>
        <v>0.36</v>
      </c>
      <c r="E55" s="49">
        <f>MAX(C55:D55)</f>
        <v>0.61</v>
      </c>
      <c r="G55" s="1" t="str">
        <f>G49</f>
        <v>per 100 arrests</v>
      </c>
      <c r="L55" s="58">
        <f>IF(($E49&gt;0),L49,L48)</f>
        <v>100</v>
      </c>
      <c r="M55" s="58"/>
    </row>
    <row r="56" spans="2:18" ht="15" hidden="1" customHeight="1">
      <c r="B56" s="49" t="str">
        <f t="shared" si="10"/>
        <v>per 100 referrals</v>
      </c>
      <c r="C56" s="49">
        <f t="shared" si="10"/>
        <v>1.62</v>
      </c>
      <c r="D56" s="49">
        <f t="shared" si="10"/>
        <v>0.74</v>
      </c>
      <c r="E56" s="49">
        <f>MAX(C56:D56)</f>
        <v>1.62</v>
      </c>
      <c r="G56" s="1" t="str">
        <f>G50</f>
        <v>per 100 referrals</v>
      </c>
      <c r="L56" s="58">
        <f>IF(($E50&gt;0),L50,L49)</f>
        <v>100</v>
      </c>
      <c r="M56" s="58"/>
    </row>
    <row r="57" spans="2:18" ht="15" hidden="1" customHeight="1">
      <c r="B57" s="49" t="str">
        <f>IF(($E51&gt;0),B51,B49)</f>
        <v>per 100 youth petitioned</v>
      </c>
      <c r="C57" s="49">
        <f>IF(($E51&gt;0),C51,C50)</f>
        <v>0.83</v>
      </c>
      <c r="D57" s="49">
        <f>IF(($E51&gt;0),D51,D50)</f>
        <v>0.53</v>
      </c>
      <c r="E57" s="49">
        <f>MAX(C57:D57)</f>
        <v>0.83</v>
      </c>
      <c r="G57" s="1" t="str">
        <f>G51</f>
        <v>per 100 youth petitioned</v>
      </c>
      <c r="L57" s="58">
        <f>IF(($E51&gt;0),L51,L50)</f>
        <v>100</v>
      </c>
      <c r="M57" s="58"/>
    </row>
    <row r="58" spans="2:18" ht="15" hidden="1" customHeight="1">
      <c r="B58" s="49" t="str">
        <f>IF(($E52&gt;0),B52,B51)</f>
        <v>per 100 youth found delinquent</v>
      </c>
      <c r="C58" s="49">
        <f>IF(($E52&gt;0),C52,C51)</f>
        <v>0.5</v>
      </c>
      <c r="D58" s="49">
        <f>IF(($E52&gt;0),D52,D51)</f>
        <v>0.34</v>
      </c>
      <c r="E58" s="56">
        <f>MAX(C58:D58)</f>
        <v>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13.866</v>
      </c>
      <c r="D60" s="56">
        <f>D54</f>
        <v>2.0030000000000001</v>
      </c>
      <c r="E60" s="56">
        <f>MAX(C60:D60)</f>
        <v>13.866</v>
      </c>
      <c r="G60" s="1" t="str">
        <f>G54</f>
        <v>per 1000 youth</v>
      </c>
      <c r="L60" s="58">
        <f>L54</f>
        <v>1000</v>
      </c>
      <c r="M60" s="58"/>
    </row>
    <row r="61" spans="2:18" ht="15" hidden="1" customHeight="1">
      <c r="B61" s="49" t="str">
        <f t="shared" ref="B61:D62" si="11">IF(($E55&gt;0),B55,B54)</f>
        <v>per 100 arrests</v>
      </c>
      <c r="C61" s="49">
        <f t="shared" si="11"/>
        <v>0.61</v>
      </c>
      <c r="D61" s="49">
        <f t="shared" si="11"/>
        <v>0.36</v>
      </c>
      <c r="E61" s="49">
        <f>MAX(C61:D61)</f>
        <v>0.61</v>
      </c>
      <c r="G61" s="1" t="str">
        <f>G55</f>
        <v>per 100 arrests</v>
      </c>
      <c r="L61" s="58">
        <f>IF(($E55&gt;0),L55,L54)</f>
        <v>100</v>
      </c>
      <c r="M61" s="58"/>
    </row>
    <row r="62" spans="2:18" ht="15" hidden="1" customHeight="1">
      <c r="B62" s="49" t="str">
        <f t="shared" si="11"/>
        <v>per 100 referrals</v>
      </c>
      <c r="C62" s="49">
        <f t="shared" si="11"/>
        <v>1.62</v>
      </c>
      <c r="D62" s="49">
        <f t="shared" si="11"/>
        <v>0.74</v>
      </c>
      <c r="E62" s="49">
        <f>MAX(C62:D62)</f>
        <v>1.62</v>
      </c>
      <c r="G62" s="1" t="str">
        <f>G56</f>
        <v>per 100 referrals</v>
      </c>
      <c r="L62" s="58">
        <f>IF(($E56&gt;0),L56,L55)</f>
        <v>100</v>
      </c>
      <c r="M62" s="58"/>
    </row>
    <row r="63" spans="2:18" ht="15" hidden="1" customHeight="1">
      <c r="B63" s="49" t="str">
        <f>IF(($E57&gt;0),B57,B55)</f>
        <v>per 100 youth petitioned</v>
      </c>
      <c r="C63" s="49">
        <f>IF(($E57&gt;0),C57,C56)</f>
        <v>0.83</v>
      </c>
      <c r="D63" s="49">
        <f>IF(($E57&gt;0),D57,D56)</f>
        <v>0.53</v>
      </c>
      <c r="E63" s="49">
        <f>MAX(C63:D63)</f>
        <v>0.83</v>
      </c>
      <c r="G63" s="1" t="str">
        <f>G57</f>
        <v>per 100 youth petitioned</v>
      </c>
      <c r="L63" s="58">
        <f>IF(($E57&gt;0),L57,L56)</f>
        <v>100</v>
      </c>
      <c r="M63" s="58"/>
    </row>
    <row r="64" spans="2:18" ht="15" hidden="1" customHeight="1">
      <c r="B64" s="49" t="str">
        <f>IF(($E58&gt;0),B58,B57)</f>
        <v>per 100 youth found delinquent</v>
      </c>
      <c r="C64" s="49">
        <f>IF(($E58&gt;0),C58,C57)</f>
        <v>0.5</v>
      </c>
      <c r="D64" s="49">
        <f>IF(($E58&gt;0),D58,D57)</f>
        <v>0.34</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13.866</v>
      </c>
      <c r="D66" s="56">
        <f>D60</f>
        <v>2.0030000000000001</v>
      </c>
      <c r="E66" s="56">
        <f>MAX(C66:D66)</f>
        <v>13.866</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0.36</v>
      </c>
      <c r="E67" s="49">
        <f>MAX(C67:D67)</f>
        <v>0.61</v>
      </c>
      <c r="G67" s="1" t="str">
        <f>G61</f>
        <v>per 100 arrests</v>
      </c>
      <c r="L67" s="58">
        <f>IF(($E61&gt;0),L61,L60)</f>
        <v>100</v>
      </c>
      <c r="M67" s="58">
        <f>IF((B67=G67),1,2)</f>
        <v>1</v>
      </c>
    </row>
    <row r="68" spans="2:13" ht="15" hidden="1" customHeight="1">
      <c r="B68" s="49" t="str">
        <f t="shared" si="12"/>
        <v>per 100 referrals</v>
      </c>
      <c r="C68" s="49">
        <f t="shared" si="12"/>
        <v>1.62</v>
      </c>
      <c r="D68" s="49">
        <f t="shared" si="12"/>
        <v>0.74</v>
      </c>
      <c r="E68" s="49">
        <f>MAX(C68:D68)</f>
        <v>1.62</v>
      </c>
      <c r="G68" s="1" t="str">
        <f>G62</f>
        <v>per 100 referrals</v>
      </c>
      <c r="L68" s="58">
        <f>IF(($E62&gt;0),L62,L61)</f>
        <v>100</v>
      </c>
      <c r="M68" s="58">
        <f>IF((B68=G68),1,2)</f>
        <v>1</v>
      </c>
    </row>
    <row r="69" spans="2:13" ht="15" hidden="1" customHeight="1">
      <c r="B69" s="49" t="str">
        <f>IF(($E63&gt;0),B63,B61)</f>
        <v>per 100 youth petitioned</v>
      </c>
      <c r="C69" s="49">
        <f>IF(($E63&gt;0),C63,C62)</f>
        <v>0.83</v>
      </c>
      <c r="D69" s="49">
        <f>IF(($E63&gt;0),D63,D62)</f>
        <v>0.53</v>
      </c>
      <c r="E69" s="49">
        <f>MAX(C69:D69)</f>
        <v>0.83</v>
      </c>
      <c r="G69" s="1" t="str">
        <f>G63</f>
        <v>per 100 youth petitioned</v>
      </c>
      <c r="L69" s="58">
        <f>IF(($E63&gt;0),L63,L62)</f>
        <v>100</v>
      </c>
      <c r="M69" s="58">
        <f>IF((B69=G69),1,2)</f>
        <v>1</v>
      </c>
    </row>
    <row r="70" spans="2:13" ht="15" hidden="1" customHeight="1">
      <c r="B70" s="49" t="str">
        <f>IF(($E64&gt;0),B64,B63)</f>
        <v>per 100 youth found delinquent</v>
      </c>
      <c r="C70" s="49">
        <f>IF(($E64&gt;0),C64,C63)</f>
        <v>0.5</v>
      </c>
      <c r="D70" s="49">
        <f>IF(($E64&gt;0),D64,D63)</f>
        <v>0.34</v>
      </c>
      <c r="E70" s="56">
        <f>MAX(C70:D70)</f>
        <v>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St. Clair</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10.359246926229508</v>
      </c>
      <c r="D7" s="72" t="str">
        <f>Hispanic!G7</f>
        <v>**</v>
      </c>
      <c r="E7" s="72" t="str">
        <f>Asian!G7</f>
        <v>*</v>
      </c>
      <c r="F7" s="72" t="str">
        <f>Hawaiian!G7</f>
        <v>*</v>
      </c>
      <c r="G7" s="72" t="str">
        <f>'Am Indian'!G7</f>
        <v>*</v>
      </c>
      <c r="H7" s="72" t="str">
        <f>'Other - Mixed'!G7</f>
        <v>*</v>
      </c>
      <c r="I7" s="73">
        <f>'All Minorities'!G7</f>
        <v>4.0854783398672483</v>
      </c>
      <c r="L7" s="1">
        <f>'Black or African-American'!L7</f>
        <v>1</v>
      </c>
      <c r="M7" s="1">
        <f>Hispanic!L7</f>
        <v>40</v>
      </c>
      <c r="N7" s="1">
        <f>Asian!L7</f>
        <v>139</v>
      </c>
      <c r="O7" s="1" t="e">
        <f>Hawaiian!L7</f>
        <v>#VALUE!</v>
      </c>
      <c r="P7" s="1">
        <f>'Am Indian'!L7</f>
        <v>139</v>
      </c>
      <c r="Q7" s="1" t="e">
        <f>'Other - Mixed'!L7</f>
        <v>#VALUE!</v>
      </c>
      <c r="R7" s="1">
        <f>'All Minorities'!L7</f>
        <v>1</v>
      </c>
    </row>
    <row r="8" spans="2:18" ht="15" customHeight="1">
      <c r="B8" s="71" t="s">
        <v>9</v>
      </c>
      <c r="C8" s="72">
        <f>'Black or African-American'!$G8</f>
        <v>0.71005291005291016</v>
      </c>
      <c r="D8" s="72" t="str">
        <f>Hispanic!G8</f>
        <v>**</v>
      </c>
      <c r="E8" s="72" t="str">
        <f>Asian!G8</f>
        <v>*</v>
      </c>
      <c r="F8" s="72" t="str">
        <f>Hawaiian!G8</f>
        <v>*</v>
      </c>
      <c r="G8" s="72" t="str">
        <f>'Am Indian'!G8</f>
        <v>*</v>
      </c>
      <c r="H8" s="72" t="str">
        <f>'Other - Mixed'!G8</f>
        <v>*</v>
      </c>
      <c r="I8" s="73">
        <f>'All Minorities'!G8</f>
        <v>0.77400548696845006</v>
      </c>
      <c r="L8" s="1">
        <f>'Black or African-American'!L8</f>
        <v>1</v>
      </c>
      <c r="M8" s="1">
        <f>Hispanic!L8</f>
        <v>40</v>
      </c>
      <c r="N8" s="1">
        <f>Asian!L8</f>
        <v>139</v>
      </c>
      <c r="O8" s="1">
        <f>Hawaiian!L8</f>
        <v>139</v>
      </c>
      <c r="P8" s="1">
        <f>'Am Indian'!L8</f>
        <v>139</v>
      </c>
      <c r="Q8" s="1">
        <f>'Other - Mixed'!L8</f>
        <v>119</v>
      </c>
      <c r="R8" s="1">
        <f>'All Minorities'!L8</f>
        <v>2</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c r="B11" s="71" t="s">
        <v>95</v>
      </c>
      <c r="C11" s="72">
        <f>'Black or African-American'!$G11</f>
        <v>1.3603504928806134</v>
      </c>
      <c r="D11" s="72" t="str">
        <f>Hispanic!G11</f>
        <v>--</v>
      </c>
      <c r="E11" s="72" t="str">
        <f>Asian!G11</f>
        <v>*</v>
      </c>
      <c r="F11" s="72" t="str">
        <f>Hawaiian!G11</f>
        <v>*</v>
      </c>
      <c r="G11" s="72" t="str">
        <f>'Am Indian'!G11</f>
        <v>*</v>
      </c>
      <c r="H11" s="72" t="str">
        <f>'Other - Mixed'!G11</f>
        <v>*</v>
      </c>
      <c r="I11" s="73">
        <f>'All Minorities'!G11</f>
        <v>1.3979159882774344</v>
      </c>
      <c r="L11" s="1">
        <f>'Black or African-American'!L11</f>
        <v>1</v>
      </c>
      <c r="M11" s="1" t="e">
        <f>Hispanic!L11</f>
        <v>#VALUE!</v>
      </c>
      <c r="N11" s="1" t="e">
        <f>Asian!L11</f>
        <v>#VALUE!</v>
      </c>
      <c r="O11" s="1" t="e">
        <f>Hawaiian!L11</f>
        <v>#VALUE!</v>
      </c>
      <c r="P11" s="1" t="e">
        <f>'Am Indian'!L11</f>
        <v>#VALUE!</v>
      </c>
      <c r="Q11" s="1">
        <f>'Other - Mixed'!L11</f>
        <v>119</v>
      </c>
      <c r="R11" s="1">
        <f>'All Minorities'!L11</f>
        <v>1</v>
      </c>
    </row>
    <row r="12" spans="2:18" ht="15" customHeight="1">
      <c r="B12" s="71" t="s">
        <v>13</v>
      </c>
      <c r="C12" s="72">
        <f>'Black or African-American'!$G12</f>
        <v>1.0104347826086957</v>
      </c>
      <c r="D12" s="72" t="str">
        <f>Hispanic!G12</f>
        <v>--</v>
      </c>
      <c r="E12" s="72" t="str">
        <f>Asian!G12</f>
        <v>*</v>
      </c>
      <c r="F12" s="72" t="str">
        <f>Hawaiian!G12</f>
        <v>*</v>
      </c>
      <c r="G12" s="72" t="str">
        <f>'Am Indian'!G12</f>
        <v>*</v>
      </c>
      <c r="H12" s="72" t="str">
        <f>'Other - Mixed'!G12</f>
        <v>*</v>
      </c>
      <c r="I12" s="73">
        <f>'All Minorities'!G12</f>
        <v>1.0649056603773583</v>
      </c>
      <c r="L12" s="1">
        <f>'Black or African-American'!L12</f>
        <v>2</v>
      </c>
      <c r="M12" s="1" t="e">
        <f>Hispanic!L12</f>
        <v>#VALUE!</v>
      </c>
      <c r="N12" s="1" t="e">
        <f>Asian!L12</f>
        <v>#VALUE!</v>
      </c>
      <c r="O12" s="1" t="e">
        <f>Hawaiian!L12</f>
        <v>#VALUE!</v>
      </c>
      <c r="P12" s="1" t="e">
        <f>'Am Indian'!L12</f>
        <v>#VALUE!</v>
      </c>
      <c r="Q12" s="1">
        <f>'Other - Mixed'!L12</f>
        <v>139</v>
      </c>
      <c r="R12" s="1">
        <f>'All Minorities'!L12</f>
        <v>2</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f>'All Minorities'!G13</f>
        <v>0.63189338235294112</v>
      </c>
      <c r="L13" s="1">
        <f>'Black or African-American'!L13</f>
        <v>20</v>
      </c>
      <c r="M13" s="1" t="e">
        <f>Hispanic!L13</f>
        <v>#VALUE!</v>
      </c>
      <c r="N13" s="1" t="e">
        <f>Asian!L13</f>
        <v>#VALUE!</v>
      </c>
      <c r="O13" s="1" t="e">
        <f>Hawaiian!L13</f>
        <v>#VALUE!</v>
      </c>
      <c r="P13" s="1" t="e">
        <f>'Am Indian'!L13</f>
        <v>#VALUE!</v>
      </c>
      <c r="Q13" s="1">
        <f>'Other - Mixed'!L13</f>
        <v>139</v>
      </c>
      <c r="R13" s="1">
        <f>'All Minorities'!L13</f>
        <v>1</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f>'All Minorities'!G14</f>
        <v>2.2727272727272725</v>
      </c>
      <c r="L14" s="1">
        <f>'Black or African-American'!L14</f>
        <v>20</v>
      </c>
      <c r="M14" s="1" t="e">
        <f>Hispanic!L14</f>
        <v>#VALUE!</v>
      </c>
      <c r="N14" s="1" t="e">
        <f>Asian!L14</f>
        <v>#VALUE!</v>
      </c>
      <c r="O14" s="1" t="e">
        <f>Hawaiian!L14</f>
        <v>#VALUE!</v>
      </c>
      <c r="P14" s="1" t="e">
        <f>'Am Indian'!L14</f>
        <v>#VALUE!</v>
      </c>
      <c r="Q14" s="1">
        <f>'Other - Mixed'!L14</f>
        <v>139</v>
      </c>
      <c r="R14" s="1">
        <f>'All Minorities'!L14</f>
        <v>1</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15869</v>
      </c>
      <c r="D3" s="57">
        <f>'Data Entry'!C6</f>
        <v>13866</v>
      </c>
      <c r="E3" s="57">
        <f>'Data Entry'!D6</f>
        <v>768</v>
      </c>
      <c r="F3" s="57">
        <f>'Data Entry'!E6</f>
        <v>981</v>
      </c>
      <c r="G3" s="57">
        <f>'Data Entry'!F6</f>
        <v>155</v>
      </c>
      <c r="H3" s="57">
        <f>'Data Entry'!G6</f>
        <v>0</v>
      </c>
      <c r="I3" s="57">
        <f>'Data Entry'!H6</f>
        <v>99</v>
      </c>
      <c r="J3" s="57">
        <f>'Data Entry'!I6</f>
        <v>0</v>
      </c>
      <c r="K3" s="57">
        <f>'Data Entry'!J6</f>
        <v>2003</v>
      </c>
    </row>
    <row r="4" spans="2:11" ht="15" customHeight="1">
      <c r="B4" s="16" t="s">
        <v>8</v>
      </c>
      <c r="C4" s="1">
        <f>IF((C$3&gt;0),(1000*('Data Entry'!B7/'Data Entry'!B$6)), 0)</f>
        <v>6.1125464742579867</v>
      </c>
      <c r="D4" s="1">
        <f>IF((D$3&gt;0),(1000*('Data Entry'!C7/'Data Entry'!C$6)), 0)</f>
        <v>4.3992499639405738</v>
      </c>
      <c r="E4" s="1">
        <f>IF((E$3&gt;0),(1000*('Data Entry'!D7/'Data Entry'!D$6)), 0)</f>
        <v>45.572916666666664</v>
      </c>
      <c r="F4" s="1">
        <f>IF((F$3&gt;0),(1000*('Data Entry'!E7/'Data Entry'!E$6)), 0)</f>
        <v>1.0193679918450562</v>
      </c>
      <c r="G4" s="1">
        <f>IF((G$3&gt;0),(1000*('Data Entry'!F7/'Data Entry'!F$6)), 0)</f>
        <v>0</v>
      </c>
      <c r="H4" s="1">
        <f>IF((H$3&gt;0),(1000*('Data Entry'!G7/'Data Entry'!G$6)), 0)</f>
        <v>0</v>
      </c>
      <c r="I4" s="1">
        <f>IF((I$3&gt;0),(1000*('Data Entry'!H7/'Data Entry'!H$6)), 0)</f>
        <v>0</v>
      </c>
      <c r="J4" s="1">
        <f>IF((J$3&gt;0),(1000*('Data Entry'!I7/'Data Entry'!I$6)), 0)</f>
        <v>0</v>
      </c>
      <c r="K4" s="1">
        <f>IF((K$3&gt;0),(1000*('Data Entry'!J7/'Data Entry'!J$6)), 0)</f>
        <v>17.973040439340991</v>
      </c>
    </row>
    <row r="5" spans="2:11" ht="15" customHeight="1">
      <c r="B5" s="16" t="s">
        <v>9</v>
      </c>
      <c r="C5" s="1">
        <f>IF((C$3&gt;0),(1000*('Data Entry'!B8/'Data Entry'!B$6)), 0)</f>
        <v>16.699224903900685</v>
      </c>
      <c r="D5" s="1">
        <f>IF((D$3&gt;0),(1000*('Data Entry'!C8/'Data Entry'!C$6)), 0)</f>
        <v>11.683254002596279</v>
      </c>
      <c r="E5" s="1">
        <f>IF((E$3&gt;0),(1000*('Data Entry'!D8/'Data Entry'!D$6)), 0)</f>
        <v>85.9375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36.944583125312036</v>
      </c>
    </row>
    <row r="6" spans="2:11" ht="15" customHeight="1">
      <c r="B6" s="16" t="s">
        <v>10</v>
      </c>
      <c r="C6" s="1">
        <f>IF((C$3&gt;0),(1000*('Data Entry'!B9/'Data Entry'!B$6)), 0)</f>
        <v>0.8822232024702249</v>
      </c>
      <c r="D6" s="1">
        <f>IF((D$3&gt;0),(1000*('Data Entry'!C9/'Data Entry'!C$6)), 0)</f>
        <v>0.79330737054666089</v>
      </c>
      <c r="E6" s="1">
        <f>IF((E$3&gt;0),(1000*('Data Entry'!D9/'Data Entry'!D$6)), 0)</f>
        <v>1.3020833333333333</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0.49925112331502752</v>
      </c>
    </row>
    <row r="7" spans="2:11" ht="15" customHeight="1">
      <c r="B7" s="16" t="s">
        <v>11</v>
      </c>
      <c r="C7" s="1">
        <f>IF((C$3&gt;0),(1000*('Data Entry'!B10/'Data Entry'!B$6)), 0)</f>
        <v>0.8822232024702249</v>
      </c>
      <c r="D7" s="1">
        <f>IF((D$3&gt;0),(1000*('Data Entry'!C10/'Data Entry'!C$6)), 0)</f>
        <v>0.57695081494302614</v>
      </c>
      <c r="E7" s="1">
        <f>IF((E$3&gt;0),(1000*('Data Entry'!D10/'Data Entry'!D$6)), 0)</f>
        <v>5.208333333333333</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1.9970044932601101</v>
      </c>
    </row>
    <row r="8" spans="2:11" ht="15" customHeight="1">
      <c r="B8" s="16" t="s">
        <v>95</v>
      </c>
      <c r="C8" s="1">
        <f>IF((C$3&gt;0),(1000*('Data Entry'!B11/'Data Entry'!B$6)), 0)</f>
        <v>9.2633436259373632</v>
      </c>
      <c r="D8" s="1">
        <f>IF((D$3&gt;0),(1000*('Data Entry'!C11/'Data Entry'!C$6)), 0)</f>
        <v>5.9858647050338956</v>
      </c>
      <c r="E8" s="1">
        <f>IF((E$3&gt;0),(1000*('Data Entry'!D11/'Data Entry'!D$6)), 0)</f>
        <v>59.895833333333336</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26.460309535696453</v>
      </c>
    </row>
    <row r="9" spans="2:11" ht="15" customHeight="1">
      <c r="B9" s="16" t="s">
        <v>13</v>
      </c>
      <c r="C9" s="1">
        <f>IF((C$3&gt;0),(1000*('Data Entry'!B12/'Data Entry'!B$6)), 0)</f>
        <v>5.9234986451572249</v>
      </c>
      <c r="D9" s="1">
        <f>IF((D$3&gt;0),(1000*('Data Entry'!C12/'Data Entry'!C$6)), 0)</f>
        <v>3.6059425933939129</v>
      </c>
      <c r="E9" s="1">
        <f>IF((E$3&gt;0),(1000*('Data Entry'!D12/'Data Entry'!D$6)), 0)</f>
        <v>36.458333333333336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16.974538192710934</v>
      </c>
    </row>
    <row r="10" spans="2:11" ht="15" customHeight="1">
      <c r="B10" s="16" t="s">
        <v>14</v>
      </c>
      <c r="C10" s="1">
        <f>IF((C$3&gt;0),(1000*('Data Entry'!B13/'Data Entry'!B$6)), 0)</f>
        <v>12.918268321885437</v>
      </c>
      <c r="D10" s="1">
        <f>IF((D$3&gt;0),(1000*('Data Entry'!C13/'Data Entry'!C$6)), 0)</f>
        <v>9.2312130390884182</v>
      </c>
      <c r="E10" s="1">
        <f>IF((E$3&gt;0),(1000*('Data Entry'!D13/'Data Entry'!D$6)), 0)</f>
        <v>62.5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27.45881178232651</v>
      </c>
    </row>
    <row r="11" spans="2:11" ht="25.5" customHeight="1">
      <c r="B11" s="16" t="s">
        <v>15</v>
      </c>
      <c r="C11" s="1">
        <f>IF((C$3&gt;0),(1000*('Data Entry'!B14/'Data Entry'!B$6)), 0)</f>
        <v>1.7644464049404498</v>
      </c>
      <c r="D11" s="1">
        <f>IF((D$3&gt;0),(1000*('Data Entry'!C14/'Data Entry'!C$6)), 0)</f>
        <v>0.79330737054666089</v>
      </c>
      <c r="E11" s="1">
        <f>IF((E$3&gt;0),(1000*('Data Entry'!D14/'Data Entry'!D$6)), 0)</f>
        <v>19.53125</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8.4872690963554671</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St. Clair</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10.359246926229508</v>
      </c>
      <c r="E19" s="72">
        <f t="shared" si="1"/>
        <v>0.23171404221186148</v>
      </c>
      <c r="F19" s="72" t="str">
        <f t="shared" si="1"/>
        <v>--</v>
      </c>
      <c r="G19" s="72" t="str">
        <f t="shared" si="1"/>
        <v>--</v>
      </c>
      <c r="H19" s="72" t="str">
        <f t="shared" si="1"/>
        <v>--</v>
      </c>
      <c r="I19" s="72" t="str">
        <f t="shared" si="1"/>
        <v>--</v>
      </c>
      <c r="J19" s="73">
        <f t="shared" si="1"/>
        <v>4.0854783398672492</v>
      </c>
    </row>
    <row r="20" spans="2:10" ht="15" customHeight="1">
      <c r="B20" s="71" t="s">
        <v>9</v>
      </c>
      <c r="C20" s="72">
        <f t="shared" ref="C20:J27" si="2">IF(AND(($D5&gt;0),(D5&gt;0)), (D5/$D5),"--")</f>
        <v>1</v>
      </c>
      <c r="D20" s="72">
        <f t="shared" si="2"/>
        <v>7.3556134259259256</v>
      </c>
      <c r="E20" s="72" t="str">
        <f t="shared" si="2"/>
        <v>--</v>
      </c>
      <c r="F20" s="72" t="str">
        <f t="shared" si="2"/>
        <v>--</v>
      </c>
      <c r="G20" s="72" t="str">
        <f t="shared" si="2"/>
        <v>--</v>
      </c>
      <c r="H20" s="72" t="str">
        <f t="shared" si="2"/>
        <v>--</v>
      </c>
      <c r="I20" s="72" t="str">
        <f t="shared" si="2"/>
        <v>--</v>
      </c>
      <c r="J20" s="73">
        <f t="shared" si="2"/>
        <v>3.1621826519480045</v>
      </c>
    </row>
    <row r="21" spans="2:10" ht="15" customHeight="1">
      <c r="B21" s="71" t="s">
        <v>10</v>
      </c>
      <c r="C21" s="72">
        <f t="shared" si="2"/>
        <v>1</v>
      </c>
      <c r="D21" s="72">
        <f t="shared" si="2"/>
        <v>1.6413352272727273</v>
      </c>
      <c r="E21" s="72" t="str">
        <f t="shared" si="2"/>
        <v>--</v>
      </c>
      <c r="F21" s="72" t="str">
        <f t="shared" si="2"/>
        <v>--</v>
      </c>
      <c r="G21" s="72" t="str">
        <f t="shared" si="2"/>
        <v>--</v>
      </c>
      <c r="H21" s="72" t="str">
        <f t="shared" si="2"/>
        <v>--</v>
      </c>
      <c r="I21" s="72" t="str">
        <f t="shared" si="2"/>
        <v>--</v>
      </c>
      <c r="J21" s="73">
        <f t="shared" si="2"/>
        <v>0.62932873417147017</v>
      </c>
    </row>
    <row r="22" spans="2:10" ht="15" customHeight="1">
      <c r="B22" s="71" t="s">
        <v>11</v>
      </c>
      <c r="C22" s="72">
        <f t="shared" si="2"/>
        <v>1</v>
      </c>
      <c r="D22" s="72">
        <f t="shared" si="2"/>
        <v>9.0273437499999982</v>
      </c>
      <c r="E22" s="72" t="str">
        <f t="shared" si="2"/>
        <v>--</v>
      </c>
      <c r="F22" s="72" t="str">
        <f t="shared" si="2"/>
        <v>--</v>
      </c>
      <c r="G22" s="72" t="str">
        <f t="shared" si="2"/>
        <v>--</v>
      </c>
      <c r="H22" s="72" t="str">
        <f t="shared" si="2"/>
        <v>--</v>
      </c>
      <c r="I22" s="72" t="str">
        <f t="shared" si="2"/>
        <v>--</v>
      </c>
      <c r="J22" s="73">
        <f t="shared" si="2"/>
        <v>3.4613080379430858</v>
      </c>
    </row>
    <row r="23" spans="2:10" ht="15" customHeight="1">
      <c r="B23" s="71" t="s">
        <v>95</v>
      </c>
      <c r="C23" s="72">
        <f t="shared" si="2"/>
        <v>1</v>
      </c>
      <c r="D23" s="72">
        <f t="shared" si="2"/>
        <v>10.006212349397591</v>
      </c>
      <c r="E23" s="72" t="str">
        <f t="shared" si="2"/>
        <v>--</v>
      </c>
      <c r="F23" s="72" t="str">
        <f t="shared" si="2"/>
        <v>--</v>
      </c>
      <c r="G23" s="72" t="str">
        <f t="shared" si="2"/>
        <v>--</v>
      </c>
      <c r="H23" s="72" t="str">
        <f t="shared" si="2"/>
        <v>--</v>
      </c>
      <c r="I23" s="72" t="str">
        <f t="shared" si="2"/>
        <v>--</v>
      </c>
      <c r="J23" s="73">
        <f t="shared" si="2"/>
        <v>4.4204656870116512</v>
      </c>
    </row>
    <row r="24" spans="2:10" ht="15" customHeight="1">
      <c r="B24" s="71" t="s">
        <v>13</v>
      </c>
      <c r="C24" s="72">
        <f t="shared" si="2"/>
        <v>1</v>
      </c>
      <c r="D24" s="72">
        <f t="shared" si="2"/>
        <v>10.110625000000001</v>
      </c>
      <c r="E24" s="72" t="str">
        <f t="shared" si="2"/>
        <v>--</v>
      </c>
      <c r="F24" s="72" t="str">
        <f t="shared" si="2"/>
        <v>--</v>
      </c>
      <c r="G24" s="72" t="str">
        <f t="shared" si="2"/>
        <v>--</v>
      </c>
      <c r="H24" s="72" t="str">
        <f t="shared" si="2"/>
        <v>--</v>
      </c>
      <c r="I24" s="72" t="str">
        <f t="shared" si="2"/>
        <v>--</v>
      </c>
      <c r="J24" s="73">
        <f t="shared" si="2"/>
        <v>4.7073789316025962</v>
      </c>
    </row>
    <row r="25" spans="2:10" ht="15" customHeight="1">
      <c r="B25" s="71" t="s">
        <v>14</v>
      </c>
      <c r="C25" s="72">
        <f t="shared" si="2"/>
        <v>1</v>
      </c>
      <c r="D25" s="72">
        <f t="shared" si="2"/>
        <v>6.7705078125</v>
      </c>
      <c r="E25" s="72" t="str">
        <f t="shared" si="2"/>
        <v>--</v>
      </c>
      <c r="F25" s="72" t="str">
        <f t="shared" si="2"/>
        <v>--</v>
      </c>
      <c r="G25" s="72" t="str">
        <f t="shared" si="2"/>
        <v>--</v>
      </c>
      <c r="H25" s="72" t="str">
        <f t="shared" si="2"/>
        <v>--</v>
      </c>
      <c r="I25" s="72" t="str">
        <f t="shared" si="2"/>
        <v>--</v>
      </c>
      <c r="J25" s="73">
        <f t="shared" si="2"/>
        <v>2.974561595107339</v>
      </c>
    </row>
    <row r="26" spans="2:10" ht="25.5" customHeight="1">
      <c r="B26" s="71" t="s">
        <v>15</v>
      </c>
      <c r="C26" s="72">
        <f t="shared" si="2"/>
        <v>1</v>
      </c>
      <c r="D26" s="72">
        <f t="shared" si="2"/>
        <v>24.62002840909091</v>
      </c>
      <c r="E26" s="72" t="str">
        <f t="shared" si="2"/>
        <v>--</v>
      </c>
      <c r="F26" s="72" t="str">
        <f t="shared" si="2"/>
        <v>--</v>
      </c>
      <c r="G26" s="72" t="str">
        <f t="shared" si="2"/>
        <v>--</v>
      </c>
      <c r="H26" s="72" t="str">
        <f t="shared" si="2"/>
        <v>--</v>
      </c>
      <c r="I26" s="72" t="str">
        <f t="shared" si="2"/>
        <v>--</v>
      </c>
      <c r="J26" s="73">
        <f t="shared" si="2"/>
        <v>10.698588480914992</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St. Clair</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13866</v>
      </c>
      <c r="D7" s="104">
        <f>'Data Entry'!D6</f>
        <v>768</v>
      </c>
      <c r="E7" s="105"/>
      <c r="F7" s="106">
        <f>'Data Entry'!E6</f>
        <v>981</v>
      </c>
      <c r="G7" s="105"/>
      <c r="H7" s="106">
        <f>'Data Entry'!F6</f>
        <v>155</v>
      </c>
      <c r="I7" s="105"/>
      <c r="J7" s="106">
        <f>'Data Entry'!G6</f>
        <v>0</v>
      </c>
      <c r="K7" s="105"/>
      <c r="L7" s="106">
        <f>'Data Entry'!H6</f>
        <v>99</v>
      </c>
      <c r="M7" s="105"/>
      <c r="N7" s="106">
        <f>'Data Entry'!I6</f>
        <v>0</v>
      </c>
      <c r="O7" s="105"/>
      <c r="P7" s="106">
        <f>'Data Entry'!J6</f>
        <v>2003</v>
      </c>
      <c r="Q7" s="107"/>
    </row>
    <row r="8" spans="2:26" s="1" customFormat="1" ht="15" customHeight="1">
      <c r="B8" s="142" t="s">
        <v>8</v>
      </c>
      <c r="C8" s="103">
        <f>'Data Entry'!C7</f>
        <v>61</v>
      </c>
      <c r="D8" s="104">
        <f>'Data Entry'!D7</f>
        <v>35</v>
      </c>
      <c r="E8" s="105">
        <f>'Black or African-American'!$G7</f>
        <v>10.359246926229508</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36</v>
      </c>
      <c r="Q8" s="107">
        <f>'All Minorities'!G7</f>
        <v>4.0854783398672483</v>
      </c>
      <c r="R8"/>
      <c r="T8" s="1">
        <f>'Black or African-American'!L7</f>
        <v>1</v>
      </c>
      <c r="U8" s="1">
        <f>Hispanic!L7</f>
        <v>40</v>
      </c>
      <c r="V8" s="1">
        <f>Asian!L7</f>
        <v>139</v>
      </c>
      <c r="W8" s="1" t="e">
        <f>Hawaiian!L7</f>
        <v>#VALUE!</v>
      </c>
      <c r="X8" s="1">
        <f>'Am Indian'!L7</f>
        <v>139</v>
      </c>
      <c r="Y8" s="1" t="e">
        <f>'Other - Mixed'!L7</f>
        <v>#VALUE!</v>
      </c>
      <c r="Z8" s="1">
        <f>'All Minorities'!L7</f>
        <v>1</v>
      </c>
    </row>
    <row r="9" spans="2:26" s="1" customFormat="1" ht="15" customHeight="1">
      <c r="B9" s="142" t="s">
        <v>134</v>
      </c>
      <c r="C9" s="103">
        <f>'Data Entry'!C8</f>
        <v>162</v>
      </c>
      <c r="D9" s="108">
        <f>'Data Entry'!D8</f>
        <v>66</v>
      </c>
      <c r="E9" s="109">
        <f>'Black or African-American'!$G8</f>
        <v>0.71005291005291016</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8</v>
      </c>
      <c r="O9" s="109" t="str">
        <f>'Other - Mixed'!G8</f>
        <v>*</v>
      </c>
      <c r="P9" s="110">
        <f>'Data Entry'!J8</f>
        <v>74</v>
      </c>
      <c r="Q9" s="111">
        <f>'All Minorities'!G8</f>
        <v>0.77400548696845006</v>
      </c>
      <c r="R9"/>
      <c r="T9" s="1">
        <f>'Black or African-American'!L8</f>
        <v>1</v>
      </c>
      <c r="U9" s="1">
        <f>Hispanic!L8</f>
        <v>40</v>
      </c>
      <c r="V9" s="1">
        <f>Asian!L8</f>
        <v>139</v>
      </c>
      <c r="W9" s="1">
        <f>Hawaiian!L8</f>
        <v>139</v>
      </c>
      <c r="X9" s="1">
        <f>'Am Indian'!L8</f>
        <v>139</v>
      </c>
      <c r="Y9" s="1">
        <f>'Other - Mixed'!L8</f>
        <v>119</v>
      </c>
      <c r="Z9" s="1">
        <f>'All Minorities'!L8</f>
        <v>2</v>
      </c>
    </row>
    <row r="10" spans="2:26" s="1" customFormat="1" ht="15" customHeight="1">
      <c r="B10" s="142" t="s">
        <v>10</v>
      </c>
      <c r="C10" s="103">
        <f>'Data Entry'!C9</f>
        <v>11</v>
      </c>
      <c r="D10" s="112">
        <f>'Data Entry'!D9</f>
        <v>1</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8</v>
      </c>
      <c r="D11" s="108">
        <f>'Data Entry'!D10</f>
        <v>4</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4</v>
      </c>
      <c r="Q11" s="111"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83</v>
      </c>
      <c r="D12" s="112">
        <f>'Data Entry'!D11</f>
        <v>46</v>
      </c>
      <c r="E12" s="113">
        <f>'Black or African-American'!$G11</f>
        <v>1.3603504928806134</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7</v>
      </c>
      <c r="O12" s="113" t="str">
        <f>'Other - Mixed'!G11</f>
        <v>*</v>
      </c>
      <c r="P12" s="114">
        <f>'Data Entry'!J11</f>
        <v>53</v>
      </c>
      <c r="Q12" s="115">
        <f>'All Minorities'!G11</f>
        <v>1.3979159882774344</v>
      </c>
      <c r="R12"/>
      <c r="T12" s="1">
        <f>'Black or African-American'!L11</f>
        <v>1</v>
      </c>
      <c r="U12" s="1" t="e">
        <f>Hispanic!L11</f>
        <v>#VALUE!</v>
      </c>
      <c r="V12" s="1" t="e">
        <f>Asian!L11</f>
        <v>#VALUE!</v>
      </c>
      <c r="W12" s="1" t="e">
        <f>Hawaiian!L11</f>
        <v>#VALUE!</v>
      </c>
      <c r="X12" s="1" t="e">
        <f>'Am Indian'!L11</f>
        <v>#VALUE!</v>
      </c>
      <c r="Y12" s="1">
        <f>'Other - Mixed'!L11</f>
        <v>119</v>
      </c>
      <c r="Z12" s="1">
        <f>'All Minorities'!L11</f>
        <v>1</v>
      </c>
    </row>
    <row r="13" spans="2:26" s="1" customFormat="1" ht="15" customHeight="1">
      <c r="B13" s="142" t="s">
        <v>13</v>
      </c>
      <c r="C13" s="103">
        <f>'Data Entry'!C12</f>
        <v>50</v>
      </c>
      <c r="D13" s="108">
        <f>'Data Entry'!D12</f>
        <v>28</v>
      </c>
      <c r="E13" s="109">
        <f>'Black or African-American'!$G12</f>
        <v>1.0104347826086957</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6</v>
      </c>
      <c r="O13" s="109" t="str">
        <f>'Other - Mixed'!G12</f>
        <v>*</v>
      </c>
      <c r="P13" s="110">
        <f>'Data Entry'!J12</f>
        <v>34</v>
      </c>
      <c r="Q13" s="111">
        <f>'All Minorities'!G12</f>
        <v>1.0649056603773583</v>
      </c>
      <c r="R13"/>
      <c r="T13" s="1">
        <f>'Black or African-American'!L12</f>
        <v>2</v>
      </c>
      <c r="U13" s="1" t="e">
        <f>Hispanic!L12</f>
        <v>#VALUE!</v>
      </c>
      <c r="V13" s="1" t="e">
        <f>Asian!L12</f>
        <v>#VALUE!</v>
      </c>
      <c r="W13" s="1" t="e">
        <f>Hawaiian!L12</f>
        <v>#VALUE!</v>
      </c>
      <c r="X13" s="1" t="e">
        <f>'Am Indian'!L12</f>
        <v>#VALUE!</v>
      </c>
      <c r="Y13" s="1">
        <f>'Other - Mixed'!L12</f>
        <v>139</v>
      </c>
      <c r="Z13" s="1">
        <f>'All Minorities'!L12</f>
        <v>2</v>
      </c>
    </row>
    <row r="14" spans="2:26" s="1" customFormat="1" ht="15" customHeight="1">
      <c r="B14" s="142" t="s">
        <v>133</v>
      </c>
      <c r="C14" s="103">
        <f>'Data Entry'!C13</f>
        <v>128</v>
      </c>
      <c r="D14" s="112">
        <f>'Data Entry'!D13</f>
        <v>48</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7</v>
      </c>
      <c r="O14" s="113" t="str">
        <f>'Other - Mixed'!G13</f>
        <v>*</v>
      </c>
      <c r="P14" s="114">
        <f>'Data Entry'!J13</f>
        <v>55</v>
      </c>
      <c r="Q14" s="115">
        <f>'All Minorities'!G13</f>
        <v>0.63189338235294112</v>
      </c>
      <c r="R14"/>
      <c r="T14" s="1">
        <f>'Black or African-American'!L13</f>
        <v>20</v>
      </c>
      <c r="U14" s="1" t="e">
        <f>Hispanic!L13</f>
        <v>#VALUE!</v>
      </c>
      <c r="V14" s="1" t="e">
        <f>Asian!L13</f>
        <v>#VALUE!</v>
      </c>
      <c r="W14" s="1" t="e">
        <f>Hawaiian!L13</f>
        <v>#VALUE!</v>
      </c>
      <c r="X14" s="1" t="e">
        <f>'Am Indian'!L13</f>
        <v>#VALUE!</v>
      </c>
      <c r="Y14" s="1">
        <f>'Other - Mixed'!L13</f>
        <v>139</v>
      </c>
      <c r="Z14" s="1">
        <f>'All Minorities'!L13</f>
        <v>1</v>
      </c>
    </row>
    <row r="15" spans="2:26" s="1" customFormat="1" ht="33">
      <c r="B15" s="144" t="s">
        <v>123</v>
      </c>
      <c r="C15" s="103">
        <f>'Data Entry'!C14</f>
        <v>11</v>
      </c>
      <c r="D15" s="108">
        <f>'Data Entry'!D14</f>
        <v>15</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17</v>
      </c>
      <c r="Q15" s="111">
        <f>'All Minorities'!G14</f>
        <v>2.2727272727272725</v>
      </c>
      <c r="R15"/>
      <c r="T15" s="1">
        <f>'Black or African-American'!L14</f>
        <v>20</v>
      </c>
      <c r="U15" s="1" t="e">
        <f>Hispanic!L14</f>
        <v>#VALUE!</v>
      </c>
      <c r="V15" s="1" t="e">
        <f>Asian!L14</f>
        <v>#VALUE!</v>
      </c>
      <c r="W15" s="1" t="e">
        <f>Hawaiian!L14</f>
        <v>#VALUE!</v>
      </c>
      <c r="X15" s="1" t="e">
        <f>'Am Indian'!L14</f>
        <v>#VALUE!</v>
      </c>
      <c r="Y15" s="1">
        <f>'Other - Mixed'!L14</f>
        <v>139</v>
      </c>
      <c r="Z15" s="1">
        <f>'All Minorities'!L14</f>
        <v>1</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St. Clair</v>
      </c>
    </row>
    <row r="6" spans="1:12">
      <c r="A6" s="135" t="str">
        <f>CONCATENATE("Percentage of Minorities at Stages of the Juvenile Justice System, ", A5, " 2024")</f>
        <v>Percentage of Minorities at Stages of the Juvenile Justice System, County: St. Clair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6.9226160758861708</v>
      </c>
    </row>
    <row r="8" spans="1:12" ht="25.5" customHeight="1">
      <c r="A8" s="151" t="str">
        <f>CONCATENATE("Confinement, total N=", 'Data Entry'!B14)</f>
        <v>Confinement, total N=28</v>
      </c>
      <c r="B8" s="150">
        <f>'Data Entry'!D14/'Data Entry'!B14</f>
        <v>0.5357142857142857</v>
      </c>
      <c r="C8" s="150">
        <f>'Data Entry'!E14/'Data Entry'!B14</f>
        <v>0</v>
      </c>
      <c r="D8" s="150">
        <f>'Data Entry'!F14/'Data Entry'!B14</f>
        <v>0</v>
      </c>
      <c r="E8" s="150">
        <f>'Data Entry'!G14/'Data Entry'!B14</f>
        <v>0</v>
      </c>
      <c r="F8" s="150">
        <f>'Data Entry'!H14/'Data Entry'!B14</f>
        <v>0</v>
      </c>
      <c r="G8" s="150">
        <f>'Data Entry'!I14/'Data Entry'!B14</f>
        <v>7.1428571428571425E-2</v>
      </c>
      <c r="H8" s="150">
        <f>SUM(D8:G8)/'Data Entry'!B14</f>
        <v>2.5510204081632651E-3</v>
      </c>
      <c r="I8" s="150">
        <f>'Data Entry'!C14/'Data Entry'!B14</f>
        <v>0.39285714285714285</v>
      </c>
      <c r="K8" s="96" t="str">
        <f>A8</f>
        <v>Confinement, total N=28</v>
      </c>
      <c r="L8">
        <f>I14/(SUM(B14:G14))</f>
        <v>6.9226160758861708</v>
      </c>
    </row>
    <row r="9" spans="1:12">
      <c r="A9" s="128" t="str">
        <f>CONCATENATE("Delinquent Findings, total N=", 'Data Entry'!B12)</f>
        <v>Delinquent Findings, total N=94</v>
      </c>
      <c r="B9" s="150">
        <f>'Data Entry'!D12/'Data Entry'!B12</f>
        <v>0.2978723404255319</v>
      </c>
      <c r="C9" s="150">
        <f>'Data Entry'!E12/'Data Entry'!B12</f>
        <v>0</v>
      </c>
      <c r="D9" s="150">
        <f>'Data Entry'!F12/'Data Entry'!B12</f>
        <v>0</v>
      </c>
      <c r="E9" s="150">
        <f>'Data Entry'!G12/'Data Entry'!B12</f>
        <v>0</v>
      </c>
      <c r="F9" s="150">
        <f>'Data Entry'!H12/'Data Entry'!B12</f>
        <v>0</v>
      </c>
      <c r="G9" s="150">
        <f>'Data Entry'!I12/'Data Entry'!B12</f>
        <v>6.3829787234042548E-2</v>
      </c>
      <c r="H9" s="150">
        <f>SUM(D9:G9)/'Data Entry'!B12</f>
        <v>6.7904028972385689E-4</v>
      </c>
      <c r="I9" s="150">
        <f>'Data Entry'!C12/'Data Entry'!B12</f>
        <v>0.53191489361702127</v>
      </c>
      <c r="K9" s="96" t="str">
        <f t="shared" si="0"/>
        <v>Delinquent Findings, total N=94</v>
      </c>
      <c r="L9">
        <f>I14/(SUM(B14:G14))</f>
        <v>6.9226160758861708</v>
      </c>
    </row>
    <row r="10" spans="1:12">
      <c r="A10" s="128" t="str">
        <f>CONCATENATE("Petitions, total N=", 'Data Entry'!B11)</f>
        <v>Petitions, total N=147</v>
      </c>
      <c r="B10" s="150">
        <f>'Data Entry'!D11/'Data Entry'!B11</f>
        <v>0.31292517006802723</v>
      </c>
      <c r="C10" s="150">
        <f>'Data Entry'!E11/'Data Entry'!B11</f>
        <v>0</v>
      </c>
      <c r="D10" s="150">
        <f>'Data Entry'!F11/'Data Entry'!B11</f>
        <v>0</v>
      </c>
      <c r="E10" s="150">
        <f>'Data Entry'!G11/'Data Entry'!B11</f>
        <v>0</v>
      </c>
      <c r="F10" s="150">
        <f>'Data Entry'!H11/'Data Entry'!B11</f>
        <v>0</v>
      </c>
      <c r="G10" s="150">
        <f>'Data Entry'!I11/'Data Entry'!B11</f>
        <v>4.7619047619047616E-2</v>
      </c>
      <c r="H10" s="150">
        <f>SUM(D10:G10)/'Data Entry'!B11</f>
        <v>3.2393909944930353E-4</v>
      </c>
      <c r="I10" s="150">
        <f>'Data Entry'!C11/'Data Entry'!B11</f>
        <v>0.56462585034013602</v>
      </c>
      <c r="K10" s="96" t="str">
        <f t="shared" si="0"/>
        <v>Petitions, total N=147</v>
      </c>
      <c r="L10">
        <f>I14/(SUM(B14:G14))</f>
        <v>6.9226160758861708</v>
      </c>
    </row>
    <row r="11" spans="1:12">
      <c r="A11" s="128" t="str">
        <f>CONCATENATE("Detentions, total N=", 'Data Entry'!B10)</f>
        <v>Detentions, total N=14</v>
      </c>
      <c r="B11" s="150">
        <f>'Data Entry'!D10/'Data Entry'!B10</f>
        <v>0.2857142857142857</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0.5714285714285714</v>
      </c>
      <c r="K11" s="96" t="str">
        <f t="shared" si="0"/>
        <v>Detentions, total N=14</v>
      </c>
      <c r="L11">
        <f>I14/(SUM(B14:G14))</f>
        <v>6.9226160758861708</v>
      </c>
    </row>
    <row r="12" spans="1:12">
      <c r="A12" s="128" t="str">
        <f>CONCATENATE("Referrals, total N=", 'Data Entry'!B8)</f>
        <v>Referrals, total N=265</v>
      </c>
      <c r="B12" s="150">
        <f>'Data Entry'!D8/'Data Entry'!B8</f>
        <v>0.24905660377358491</v>
      </c>
      <c r="C12" s="150">
        <f>'Data Entry'!E8/'Data Entry'!B8</f>
        <v>0</v>
      </c>
      <c r="D12" s="150">
        <f>'Data Entry'!F8/'Data Entry'!B8</f>
        <v>0</v>
      </c>
      <c r="E12" s="150">
        <f>'Data Entry'!G8/'Data Entry'!B8</f>
        <v>0</v>
      </c>
      <c r="F12" s="150">
        <f>'Data Entry'!H8/'Data Entry'!B8</f>
        <v>0</v>
      </c>
      <c r="G12" s="150">
        <f>'Data Entry'!I8/'Data Entry'!B8</f>
        <v>3.0188679245283019E-2</v>
      </c>
      <c r="H12" s="150">
        <f>SUM(D12:G12)/'Data Entry'!B8</f>
        <v>1.1391954432182271E-4</v>
      </c>
      <c r="I12" s="150">
        <f>'Data Entry'!C8/'Data Entry'!B8</f>
        <v>0.61132075471698111</v>
      </c>
      <c r="K12" s="96" t="str">
        <f t="shared" si="0"/>
        <v>Referrals, total N=265</v>
      </c>
      <c r="L12">
        <f>I14/(SUM(B14:G14))</f>
        <v>6.9226160758861708</v>
      </c>
    </row>
    <row r="13" spans="1:12">
      <c r="A13" s="128" t="str">
        <f>CONCATENATE("Arrests, total N=", 'Data Entry'!B7)</f>
        <v>Arrests, total N=97</v>
      </c>
      <c r="B13" s="150">
        <f>'Data Entry'!D7/'Data Entry'!B7</f>
        <v>0.36082474226804123</v>
      </c>
      <c r="C13" s="150">
        <f>'Data Entry'!E7/'Data Entry'!B7</f>
        <v>1.0309278350515464E-2</v>
      </c>
      <c r="D13" s="150">
        <f>'Data Entry'!F7/'Data Entry'!B7</f>
        <v>0</v>
      </c>
      <c r="E13" s="150">
        <f>'Data Entry'!G7/'Data Entry'!B7</f>
        <v>0</v>
      </c>
      <c r="F13" s="150">
        <f>'Data Entry'!H7/'Data Entry'!B7</f>
        <v>0</v>
      </c>
      <c r="G13" s="150">
        <f>'Data Entry'!I7/'Data Entry'!B7</f>
        <v>0</v>
      </c>
      <c r="H13" s="150">
        <f>SUM(D13:G13)/'Data Entry'!B7</f>
        <v>0</v>
      </c>
      <c r="I13" s="150">
        <f>'Data Entry'!C7/'Data Entry'!B7</f>
        <v>0.62886597938144329</v>
      </c>
      <c r="K13" s="96" t="str">
        <f t="shared" si="0"/>
        <v>Arrests, total N=97</v>
      </c>
      <c r="L13">
        <f>I14/(SUM(B14:G14))</f>
        <v>6.9226160758861708</v>
      </c>
    </row>
    <row r="14" spans="1:12">
      <c r="A14" s="128" t="str">
        <f>CONCATENATE("Population, total N=", 'Data Entry'!B6)</f>
        <v>Population, total N=15869</v>
      </c>
      <c r="B14" s="150">
        <f>'Data Entry'!D6/'Data Entry'!B6</f>
        <v>4.8396244249795196E-2</v>
      </c>
      <c r="C14" s="150">
        <f>'Data Entry'!E6/'Data Entry'!B6</f>
        <v>6.1818640115949335E-2</v>
      </c>
      <c r="D14" s="150">
        <f>'Data Entry'!F6/'Data Entry'!B6</f>
        <v>9.7674711702060626E-3</v>
      </c>
      <c r="E14" s="150">
        <f>'Data Entry'!G6/'Data Entry'!B6</f>
        <v>0</v>
      </c>
      <c r="F14" s="150">
        <f>'Data Entry'!H6/'Data Entry'!B6</f>
        <v>6.2385783603251619E-3</v>
      </c>
      <c r="G14" s="150">
        <f>'Data Entry'!I6/'Data Entry'!B6</f>
        <v>0</v>
      </c>
      <c r="H14" s="150">
        <f>SUM(D14:G14)/'Data Entry'!B6</f>
        <v>1.0086363054087356E-6</v>
      </c>
      <c r="I14" s="150">
        <f>'Data Entry'!C6/'Data Entry'!B6</f>
        <v>0.87377906610372424</v>
      </c>
      <c r="K14" s="96" t="str">
        <f t="shared" si="0"/>
        <v>Population, total N=15869</v>
      </c>
      <c r="L14">
        <f>I14/(SUM(B14:G14))</f>
        <v>6.9226160758861708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St. Clair</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13866</v>
      </c>
      <c r="D7" s="104">
        <f>'Data Entry'!D6</f>
        <v>768</v>
      </c>
      <c r="E7" s="105"/>
      <c r="F7" s="106">
        <f>'Data Entry'!E6</f>
        <v>981</v>
      </c>
      <c r="G7" s="105"/>
      <c r="H7" s="106">
        <f>'Data Entry'!F6</f>
        <v>155</v>
      </c>
      <c r="I7" s="105"/>
      <c r="J7" s="106">
        <f>'Data Entry'!J6</f>
        <v>2003</v>
      </c>
      <c r="K7" s="107"/>
    </row>
    <row r="8" spans="2:30" s="1" customFormat="1" ht="15" customHeight="1">
      <c r="B8" s="121" t="s">
        <v>8</v>
      </c>
      <c r="C8" s="103">
        <f>'Data Entry'!C7</f>
        <v>61</v>
      </c>
      <c r="D8" s="104">
        <f>'Data Entry'!D7</f>
        <v>35</v>
      </c>
      <c r="E8" s="105">
        <f>'Black or African-American'!$G7</f>
        <v>10.359246926229508</v>
      </c>
      <c r="F8" s="106">
        <f>'Data Entry'!E7</f>
        <v>1</v>
      </c>
      <c r="G8" s="105" t="str">
        <f>Hispanic!G7</f>
        <v>**</v>
      </c>
      <c r="H8" s="106">
        <f>'Data Entry'!F7</f>
        <v>0</v>
      </c>
      <c r="I8" s="105" t="str">
        <f>Asian!G7</f>
        <v>*</v>
      </c>
      <c r="J8" s="106">
        <f>'Data Entry'!J7</f>
        <v>36</v>
      </c>
      <c r="K8" s="107">
        <f>'All Minorities'!G7</f>
        <v>4.0854783398672483</v>
      </c>
      <c r="L8"/>
      <c r="N8" s="1">
        <f>'Black or African-American'!L7</f>
        <v>1</v>
      </c>
      <c r="O8" s="1">
        <f>Hispanic!L7</f>
        <v>40</v>
      </c>
      <c r="P8" s="1">
        <f>Asian!L7</f>
        <v>139</v>
      </c>
      <c r="Q8" s="1" t="e">
        <f>Hawaiian!L7</f>
        <v>#VALUE!</v>
      </c>
      <c r="R8" s="1">
        <f>'Am Indian'!L7</f>
        <v>139</v>
      </c>
      <c r="S8" s="1" t="e">
        <f>'Other - Mixed'!L7</f>
        <v>#VALUE!</v>
      </c>
      <c r="T8" s="1">
        <f>'All Minorities'!L7</f>
        <v>1</v>
      </c>
    </row>
    <row r="9" spans="2:30" s="1" customFormat="1" ht="15" customHeight="1">
      <c r="B9" s="121" t="s">
        <v>134</v>
      </c>
      <c r="C9" s="103">
        <f>'Data Entry'!C8</f>
        <v>162</v>
      </c>
      <c r="D9" s="108">
        <f>'Data Entry'!D8</f>
        <v>66</v>
      </c>
      <c r="E9" s="109">
        <f>'Black or African-American'!$G8</f>
        <v>0.71005291005291016</v>
      </c>
      <c r="F9" s="110">
        <f>'Data Entry'!E8</f>
        <v>0</v>
      </c>
      <c r="G9" s="109" t="str">
        <f>Hispanic!G8</f>
        <v>**</v>
      </c>
      <c r="H9" s="110">
        <f>'Data Entry'!F8</f>
        <v>0</v>
      </c>
      <c r="I9" s="109" t="str">
        <f>Asian!G8</f>
        <v>*</v>
      </c>
      <c r="J9" s="110">
        <f>'Data Entry'!J8</f>
        <v>74</v>
      </c>
      <c r="K9" s="111">
        <f>'All Minorities'!G8</f>
        <v>0.77400548696845006</v>
      </c>
      <c r="L9"/>
      <c r="N9" s="1">
        <f>'Black or African-American'!L8</f>
        <v>1</v>
      </c>
      <c r="O9" s="1">
        <f>Hispanic!L8</f>
        <v>40</v>
      </c>
      <c r="P9" s="1">
        <f>Asian!L8</f>
        <v>139</v>
      </c>
      <c r="Q9" s="1">
        <f>Hawaiian!L8</f>
        <v>139</v>
      </c>
      <c r="R9" s="1">
        <f>'Am Indian'!L8</f>
        <v>139</v>
      </c>
      <c r="S9" s="1">
        <f>'Other - Mixed'!L8</f>
        <v>119</v>
      </c>
      <c r="T9" s="1">
        <f>'All Minorities'!L8</f>
        <v>2</v>
      </c>
    </row>
    <row r="10" spans="2:30" s="1" customFormat="1" ht="15" customHeight="1">
      <c r="B10" s="121" t="s">
        <v>10</v>
      </c>
      <c r="C10" s="103">
        <f>'Data Entry'!C9</f>
        <v>11</v>
      </c>
      <c r="D10" s="112">
        <f>'Data Entry'!D9</f>
        <v>1</v>
      </c>
      <c r="E10" s="113" t="str">
        <f>'Black or African-American'!$G9</f>
        <v>**</v>
      </c>
      <c r="F10" s="114">
        <f>'Data Entry'!E9</f>
        <v>0</v>
      </c>
      <c r="G10" s="113" t="str">
        <f>Hispanic!G9</f>
        <v>--</v>
      </c>
      <c r="H10" s="114">
        <f>'Data Entry'!F9</f>
        <v>0</v>
      </c>
      <c r="I10" s="113" t="str">
        <f>Asian!G9</f>
        <v>*</v>
      </c>
      <c r="J10" s="114">
        <f>'Data Entry'!J9</f>
        <v>1</v>
      </c>
      <c r="K10" s="115"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8</v>
      </c>
      <c r="D11" s="108">
        <f>'Data Entry'!D10</f>
        <v>4</v>
      </c>
      <c r="E11" s="109" t="str">
        <f>'Black or African-American'!$G10</f>
        <v>**</v>
      </c>
      <c r="F11" s="110">
        <f>'Data Entry'!E10</f>
        <v>0</v>
      </c>
      <c r="G11" s="109" t="str">
        <f>Hispanic!G10</f>
        <v>--</v>
      </c>
      <c r="H11" s="110">
        <f>'Data Entry'!F10</f>
        <v>0</v>
      </c>
      <c r="I11" s="109" t="str">
        <f>Asian!G10</f>
        <v>*</v>
      </c>
      <c r="J11" s="110">
        <f>'Data Entry'!J10</f>
        <v>4</v>
      </c>
      <c r="K11" s="111"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83</v>
      </c>
      <c r="D12" s="112">
        <f>'Data Entry'!D11</f>
        <v>46</v>
      </c>
      <c r="E12" s="113">
        <f>'Black or African-American'!$G11</f>
        <v>1.3603504928806134</v>
      </c>
      <c r="F12" s="114">
        <f>'Data Entry'!E11</f>
        <v>0</v>
      </c>
      <c r="G12" s="113" t="str">
        <f>Hispanic!G11</f>
        <v>--</v>
      </c>
      <c r="H12" s="114">
        <f>'Data Entry'!F11</f>
        <v>0</v>
      </c>
      <c r="I12" s="113" t="str">
        <f>Asian!G11</f>
        <v>*</v>
      </c>
      <c r="J12" s="114">
        <f>'Data Entry'!J11</f>
        <v>53</v>
      </c>
      <c r="K12" s="115">
        <f>'All Minorities'!G11</f>
        <v>1.3979159882774344</v>
      </c>
      <c r="L12"/>
      <c r="N12" s="1">
        <f>'Black or African-American'!L11</f>
        <v>1</v>
      </c>
      <c r="O12" s="1" t="e">
        <f>Hispanic!L11</f>
        <v>#VALUE!</v>
      </c>
      <c r="P12" s="1" t="e">
        <f>Asian!L11</f>
        <v>#VALUE!</v>
      </c>
      <c r="Q12" s="1" t="e">
        <f>Hawaiian!L11</f>
        <v>#VALUE!</v>
      </c>
      <c r="R12" s="1" t="e">
        <f>'Am Indian'!L11</f>
        <v>#VALUE!</v>
      </c>
      <c r="S12" s="1">
        <f>'Other - Mixed'!L11</f>
        <v>119</v>
      </c>
      <c r="T12" s="1">
        <f>'All Minorities'!L11</f>
        <v>1</v>
      </c>
    </row>
    <row r="13" spans="2:30" s="1" customFormat="1" ht="15" customHeight="1">
      <c r="B13" s="121" t="s">
        <v>13</v>
      </c>
      <c r="C13" s="103">
        <f>'Data Entry'!C12</f>
        <v>50</v>
      </c>
      <c r="D13" s="108">
        <f>'Data Entry'!D12</f>
        <v>28</v>
      </c>
      <c r="E13" s="109">
        <f>'Black or African-American'!$G12</f>
        <v>1.0104347826086957</v>
      </c>
      <c r="F13" s="110">
        <f>'Data Entry'!E12</f>
        <v>0</v>
      </c>
      <c r="G13" s="109" t="str">
        <f>Hispanic!G12</f>
        <v>--</v>
      </c>
      <c r="H13" s="110">
        <f>'Data Entry'!F12</f>
        <v>0</v>
      </c>
      <c r="I13" s="109" t="str">
        <f>Asian!G12</f>
        <v>*</v>
      </c>
      <c r="J13" s="110">
        <f>'Data Entry'!J12</f>
        <v>34</v>
      </c>
      <c r="K13" s="111">
        <f>'All Minorities'!G12</f>
        <v>1.0649056603773583</v>
      </c>
      <c r="L13"/>
      <c r="N13" s="1">
        <f>'Black or African-American'!L12</f>
        <v>2</v>
      </c>
      <c r="O13" s="1" t="e">
        <f>Hispanic!L12</f>
        <v>#VALUE!</v>
      </c>
      <c r="P13" s="1" t="e">
        <f>Asian!L12</f>
        <v>#VALUE!</v>
      </c>
      <c r="Q13" s="1" t="e">
        <f>Hawaiian!L12</f>
        <v>#VALUE!</v>
      </c>
      <c r="R13" s="1" t="e">
        <f>'Am Indian'!L12</f>
        <v>#VALUE!</v>
      </c>
      <c r="S13" s="1">
        <f>'Other - Mixed'!L12</f>
        <v>139</v>
      </c>
      <c r="T13" s="1">
        <f>'All Minorities'!L12</f>
        <v>2</v>
      </c>
      <c r="W13" s="8"/>
      <c r="X13" s="8"/>
      <c r="Y13" s="8"/>
      <c r="Z13" s="8"/>
      <c r="AA13" s="8"/>
      <c r="AB13" s="8"/>
      <c r="AC13" s="8"/>
      <c r="AD13" s="8"/>
    </row>
    <row r="14" spans="2:30" s="1" customFormat="1" ht="15" customHeight="1">
      <c r="B14" s="121" t="s">
        <v>14</v>
      </c>
      <c r="C14" s="103">
        <f>'Data Entry'!C13</f>
        <v>128</v>
      </c>
      <c r="D14" s="112">
        <f>'Data Entry'!D13</f>
        <v>48</v>
      </c>
      <c r="E14" s="113" t="str">
        <f>'Black or African-American'!$G13</f>
        <v>**</v>
      </c>
      <c r="F14" s="114">
        <f>'Data Entry'!E13</f>
        <v>0</v>
      </c>
      <c r="G14" s="113" t="str">
        <f>Hispanic!G13</f>
        <v>--</v>
      </c>
      <c r="H14" s="114">
        <f>'Data Entry'!F13</f>
        <v>0</v>
      </c>
      <c r="I14" s="113" t="str">
        <f>Asian!G13</f>
        <v>*</v>
      </c>
      <c r="J14" s="114">
        <f>'Data Entry'!J13</f>
        <v>55</v>
      </c>
      <c r="K14" s="115">
        <f>'All Minorities'!G13</f>
        <v>0.63189338235294112</v>
      </c>
      <c r="L14"/>
      <c r="N14" s="1">
        <f>'Black or African-American'!L13</f>
        <v>20</v>
      </c>
      <c r="O14" s="1" t="e">
        <f>Hispanic!L13</f>
        <v>#VALUE!</v>
      </c>
      <c r="P14" s="1" t="e">
        <f>Asian!L13</f>
        <v>#VALUE!</v>
      </c>
      <c r="Q14" s="1" t="e">
        <f>Hawaiian!L13</f>
        <v>#VALUE!</v>
      </c>
      <c r="R14" s="1" t="e">
        <f>'Am Indian'!L13</f>
        <v>#VALUE!</v>
      </c>
      <c r="S14" s="1">
        <f>'Other - Mixed'!L13</f>
        <v>139</v>
      </c>
      <c r="T14" s="1">
        <f>'All Minorities'!L13</f>
        <v>1</v>
      </c>
      <c r="W14" s="8"/>
      <c r="X14" s="8"/>
      <c r="Y14" s="8"/>
      <c r="Z14" s="8"/>
      <c r="AA14" s="8"/>
      <c r="AB14" s="8"/>
      <c r="AC14" s="8"/>
      <c r="AD14" s="8"/>
    </row>
    <row r="15" spans="2:30" s="1" customFormat="1" ht="33">
      <c r="B15" s="126" t="s">
        <v>123</v>
      </c>
      <c r="C15" s="103">
        <f>'Data Entry'!C14</f>
        <v>11</v>
      </c>
      <c r="D15" s="108">
        <f>'Data Entry'!D14</f>
        <v>15</v>
      </c>
      <c r="E15" s="109" t="str">
        <f>'Black or African-American'!$G14</f>
        <v>**</v>
      </c>
      <c r="F15" s="110">
        <f>'Data Entry'!E14</f>
        <v>0</v>
      </c>
      <c r="G15" s="109" t="str">
        <f>Hispanic!G14</f>
        <v>--</v>
      </c>
      <c r="H15" s="110">
        <f>'Data Entry'!F14</f>
        <v>0</v>
      </c>
      <c r="I15" s="109" t="str">
        <f>Asian!G14</f>
        <v>*</v>
      </c>
      <c r="J15" s="110">
        <f>'Data Entry'!J14</f>
        <v>17</v>
      </c>
      <c r="K15" s="111">
        <f>'All Minorities'!G14</f>
        <v>2.2727272727272725</v>
      </c>
      <c r="L15"/>
      <c r="N15" s="1">
        <f>'Black or African-American'!L14</f>
        <v>20</v>
      </c>
      <c r="O15" s="1" t="e">
        <f>Hispanic!L14</f>
        <v>#VALUE!</v>
      </c>
      <c r="P15" s="1" t="e">
        <f>Asian!L14</f>
        <v>#VALUE!</v>
      </c>
      <c r="Q15" s="1" t="e">
        <f>Hawaiian!L14</f>
        <v>#VALUE!</v>
      </c>
      <c r="R15" s="1" t="e">
        <f>'Am Indian'!L14</f>
        <v>#VALUE!</v>
      </c>
      <c r="S15" s="1">
        <f>'Other - Mixed'!L14</f>
        <v>139</v>
      </c>
      <c r="T15" s="1">
        <f>'All Minorities'!L14</f>
        <v>1</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13866</v>
      </c>
      <c r="D6" s="34"/>
      <c r="E6" s="33">
        <f>'Data Entry'!D6</f>
        <v>768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4.3992499639405738</v>
      </c>
      <c r="E7" s="33">
        <f>'Data Entry'!D7</f>
        <v>35</v>
      </c>
      <c r="F7" s="34">
        <f>IF((AND($E$7&gt;0,$D$66&gt;0)),($E$7/$D$66),0)</f>
        <v>45.572916666666664</v>
      </c>
      <c r="G7" s="39">
        <f>IF(L$6=100,"*",IF(M7=FALSE,"--",IF(K7=20,"**",($F7/$D7))))</f>
        <v>10.359246926229508</v>
      </c>
      <c r="H7" s="40"/>
      <c r="I7" s="41"/>
      <c r="J7" s="40">
        <f>IF((ABS($U7)&gt;Defaults!D$7),1,2)</f>
        <v>1</v>
      </c>
      <c r="K7" s="39">
        <f>IF((AND(N7&gt;Defaults!B$12,(N7+O7)&gt;Defaults!B$13, P7 &gt; Defaults!B$12, (P7+Q7) &gt; Defaults!B$13)),1,20)</f>
        <v>1</v>
      </c>
      <c r="L7" s="1">
        <f>(J7*K7+L$6)-1</f>
        <v>1</v>
      </c>
      <c r="M7" s="1" t="b">
        <f t="shared" ref="M7:M15" si="0">(ISNUMBER(J7))</f>
        <v>1</v>
      </c>
      <c r="N7" s="42">
        <f t="shared" ref="N7:N15" si="1">E7</f>
        <v>35</v>
      </c>
      <c r="O7" s="42">
        <f>E6-E7</f>
        <v>733</v>
      </c>
      <c r="P7" s="42">
        <f t="shared" ref="P7:P15" si="2">C7</f>
        <v>61</v>
      </c>
      <c r="Q7" s="42">
        <f>C6-C7</f>
        <v>13805</v>
      </c>
      <c r="R7" s="42">
        <f t="shared" ref="R7:R15" si="3">SUM(N7:Q7)</f>
        <v>14634</v>
      </c>
      <c r="S7" s="30">
        <f t="shared" ref="S7:S15" si="4">R7*((((N7*Q7)-(O7*P7))^2))</f>
        <v>2813370774947496</v>
      </c>
      <c r="T7" s="30">
        <f t="shared" ref="T7:T15" si="5">(N7+O7)*(P7+Q7)*(N7+P7)*(O7+Q7)</f>
        <v>14862378369024</v>
      </c>
      <c r="U7" s="31">
        <f t="shared" ref="U7:U15" si="6">IF((S7&gt;0),S7/T7,"- -")</f>
        <v>189.29478883481337</v>
      </c>
    </row>
    <row r="8" spans="2:21" ht="18" customHeight="1">
      <c r="B8" s="32" t="str">
        <f>'Data Entry'!A8</f>
        <v>3. Refer to Juvenile Court</v>
      </c>
      <c r="C8" s="33">
        <f>'Data Entry'!C8</f>
        <v>162</v>
      </c>
      <c r="D8" s="34">
        <f>IF((AND(C67&gt;0,C8&gt;0)),(C8/C67),0)</f>
        <v>265.57377049180326</v>
      </c>
      <c r="E8" s="33">
        <f>'Data Entry'!D8</f>
        <v>66</v>
      </c>
      <c r="F8" s="34">
        <f>IF((AND($E$8&gt;0,$D$67&gt;0)),($E8/$D67),0)</f>
        <v>188.57142857142858</v>
      </c>
      <c r="G8" s="39">
        <f t="shared" ref="G8:G15" si="7">IF(L$6=100,"*",IF(M8=FALSE,"--",IF(K8=20,"**",($F8/$D8))))</f>
        <v>0.71005291005291016</v>
      </c>
      <c r="H8" s="40"/>
      <c r="I8" s="41"/>
      <c r="J8" s="40">
        <f>IF((ABS($U8)&gt;Defaults!D$7),1,2)</f>
        <v>1</v>
      </c>
      <c r="K8" s="39">
        <f>IF((AND(N8&gt;Defaults!B$12,(N8+O8)&gt;Defaults!B$13, P8 &gt; Defaults!B$12, (P8+Q8) &gt; Defaults!B$13)),1,20)</f>
        <v>1</v>
      </c>
      <c r="L8" s="1">
        <f t="shared" ref="L8:L15" si="8">(J8*K8+L$6)-1</f>
        <v>1</v>
      </c>
      <c r="M8" s="1" t="b">
        <f t="shared" si="0"/>
        <v>1</v>
      </c>
      <c r="N8" s="42">
        <f t="shared" si="1"/>
        <v>66</v>
      </c>
      <c r="O8" s="42">
        <f>((D67*L67)-E8)+0.05</f>
        <v>-30.95</v>
      </c>
      <c r="P8" s="42">
        <f t="shared" si="2"/>
        <v>162</v>
      </c>
      <c r="Q8" s="42">
        <f>(C$67*L67)-C8</f>
        <v>-101</v>
      </c>
      <c r="R8" s="42">
        <f t="shared" si="3"/>
        <v>96.050000000000011</v>
      </c>
      <c r="S8" s="30">
        <f t="shared" si="4"/>
        <v>262162175.08050013</v>
      </c>
      <c r="T8" s="30">
        <f t="shared" si="5"/>
        <v>-64322379.029999986</v>
      </c>
      <c r="U8" s="31">
        <f t="shared" si="6"/>
        <v>-4.0757537117560219</v>
      </c>
    </row>
    <row r="9" spans="2:21" ht="18" customHeight="1">
      <c r="B9" s="32" t="str">
        <f>'Data Entry'!A9</f>
        <v xml:space="preserve">4. Cases Diverted </v>
      </c>
      <c r="C9" s="33">
        <f>'Data Entry'!C9</f>
        <v>11</v>
      </c>
      <c r="D9" s="34">
        <f>IF((AND(C68&gt;0,C9&gt;0)),((C9/C68)),0)</f>
        <v>6.7901234567901234</v>
      </c>
      <c r="E9" s="33">
        <f>'Data Entry'!D9</f>
        <v>1</v>
      </c>
      <c r="F9" s="34">
        <f>IF((AND($E$9&gt;0,$D$68&gt;0)),(($E$9/$D$68)),0)</f>
        <v>1.5151515151515151</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65</v>
      </c>
      <c r="P9" s="42">
        <f t="shared" si="2"/>
        <v>11</v>
      </c>
      <c r="Q9" s="42">
        <f>(C$68*L68)-C9</f>
        <v>151</v>
      </c>
      <c r="R9" s="42">
        <f t="shared" si="3"/>
        <v>228</v>
      </c>
      <c r="S9" s="30">
        <f t="shared" si="4"/>
        <v>72525888</v>
      </c>
      <c r="T9" s="30">
        <f t="shared" si="5"/>
        <v>27713664</v>
      </c>
      <c r="U9" s="31">
        <f t="shared" si="6"/>
        <v>2.6169721910462651</v>
      </c>
    </row>
    <row r="10" spans="2:21" ht="18" customHeight="1">
      <c r="B10" s="32" t="str">
        <f>'Data Entry'!A10</f>
        <v>5. Cases Involving Secure Detention</v>
      </c>
      <c r="C10" s="33">
        <f>'Data Entry'!C10</f>
        <v>8</v>
      </c>
      <c r="D10" s="34">
        <f>IF(((AND(C68&gt;0,C10&gt;0))),(C10/(C68)),0)</f>
        <v>4.9382716049382713</v>
      </c>
      <c r="E10" s="33">
        <f>'Data Entry'!D10</f>
        <v>4</v>
      </c>
      <c r="F10" s="34">
        <f>IF(((AND($E$10&gt;0,$D$68&gt;0))),($E$10/($D$68)),0)</f>
        <v>6.0606060606060606</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4</v>
      </c>
      <c r="O10" s="42">
        <f>(D$68*L68)-E10</f>
        <v>62</v>
      </c>
      <c r="P10" s="42">
        <f t="shared" si="2"/>
        <v>8</v>
      </c>
      <c r="Q10" s="42">
        <f>(C$68*L68)-C10</f>
        <v>154</v>
      </c>
      <c r="R10" s="42">
        <f t="shared" si="3"/>
        <v>228</v>
      </c>
      <c r="S10" s="30">
        <f t="shared" si="4"/>
        <v>3283200</v>
      </c>
      <c r="T10" s="30">
        <f t="shared" si="5"/>
        <v>27713664</v>
      </c>
      <c r="U10" s="31">
        <f t="shared" si="6"/>
        <v>0.11846863698715551</v>
      </c>
    </row>
    <row r="11" spans="2:21" ht="18" customHeight="1">
      <c r="B11" s="32" t="str">
        <f>'Data Entry'!A11</f>
        <v>6. Cases Petitioned (Charge Filed)</v>
      </c>
      <c r="C11" s="33">
        <f>'Data Entry'!C11</f>
        <v>83</v>
      </c>
      <c r="D11" s="34">
        <f>IF(((AND(C68&gt;0,C11&gt;0))),(C11/(C68)),0)</f>
        <v>51.234567901234563</v>
      </c>
      <c r="E11" s="33">
        <f>'Data Entry'!D11</f>
        <v>46</v>
      </c>
      <c r="F11" s="34">
        <f>IF(((AND($E$11&gt;0,$D$68&gt;0))),($E$11/($D$68)),0)</f>
        <v>69.696969696969688</v>
      </c>
      <c r="G11" s="39">
        <f t="shared" si="7"/>
        <v>1.3603504928806134</v>
      </c>
      <c r="H11" s="40"/>
      <c r="I11" s="41"/>
      <c r="J11" s="40">
        <f>IF((ABS($U11)&gt;Defaults!D$7),1,2)</f>
        <v>1</v>
      </c>
      <c r="K11" s="39">
        <f>IF((AND(N11&gt;Defaults!B$12,(N11+O11)&gt;Defaults!B$13, P11 &gt; Defaults!B$12, (P11+Q11) &gt; Defaults!B$13)),1,20)</f>
        <v>1</v>
      </c>
      <c r="L11" s="1">
        <f t="shared" si="8"/>
        <v>1</v>
      </c>
      <c r="M11" s="1" t="b">
        <f t="shared" si="0"/>
        <v>1</v>
      </c>
      <c r="N11" s="42">
        <f t="shared" si="1"/>
        <v>46</v>
      </c>
      <c r="O11" s="42">
        <f>(D$68*L68)-E11</f>
        <v>20</v>
      </c>
      <c r="P11" s="42">
        <f t="shared" si="2"/>
        <v>83</v>
      </c>
      <c r="Q11" s="42">
        <f>(C$68*L68)-C11</f>
        <v>79</v>
      </c>
      <c r="R11" s="42">
        <f t="shared" si="3"/>
        <v>228</v>
      </c>
      <c r="S11" s="30">
        <f t="shared" si="4"/>
        <v>888442128</v>
      </c>
      <c r="T11" s="30">
        <f t="shared" si="5"/>
        <v>136547532</v>
      </c>
      <c r="U11" s="31">
        <f t="shared" si="6"/>
        <v>6.5064678576541395</v>
      </c>
    </row>
    <row r="12" spans="2:21" ht="18" customHeight="1">
      <c r="B12" s="32" t="str">
        <f>'Data Entry'!A12</f>
        <v>7. Cases Resulting in Delinquent Findings</v>
      </c>
      <c r="C12" s="33">
        <f>'Data Entry'!C12</f>
        <v>50</v>
      </c>
      <c r="D12" s="34">
        <f>IF(((AND(C69&gt;0,C12&gt;0))),(C12/(C69)),0)</f>
        <v>60.24096385542169</v>
      </c>
      <c r="E12" s="33">
        <f>'Data Entry'!D12</f>
        <v>28</v>
      </c>
      <c r="F12" s="34">
        <f>IF(((AND($D$69&gt;0,$E$12&gt;0))),(E12/(D69)),0)</f>
        <v>60.869565217391305</v>
      </c>
      <c r="G12" s="39">
        <f t="shared" si="7"/>
        <v>1.0104347826086957</v>
      </c>
      <c r="H12" s="40"/>
      <c r="I12" s="41"/>
      <c r="J12" s="40">
        <f>IF((ABS($U12)&gt;Defaults!D$7),1,2)</f>
        <v>2</v>
      </c>
      <c r="K12" s="39">
        <f>IF((AND(N12&gt;Defaults!B$12,(N12+O12)&gt;Defaults!B$13, P12 &gt; Defaults!B$12, (P12+Q12) &gt; Defaults!B$13)),1,20)</f>
        <v>1</v>
      </c>
      <c r="L12" s="1">
        <f t="shared" si="8"/>
        <v>2</v>
      </c>
      <c r="M12" s="1" t="b">
        <f t="shared" si="0"/>
        <v>1</v>
      </c>
      <c r="N12" s="42">
        <f t="shared" si="1"/>
        <v>28</v>
      </c>
      <c r="O12" s="42">
        <f>(D69*L69)-E12</f>
        <v>18</v>
      </c>
      <c r="P12" s="42">
        <f t="shared" si="2"/>
        <v>50</v>
      </c>
      <c r="Q12" s="42">
        <f>(C69*L69)-C12</f>
        <v>33</v>
      </c>
      <c r="R12" s="42">
        <f t="shared" si="3"/>
        <v>129</v>
      </c>
      <c r="S12" s="30">
        <f t="shared" si="4"/>
        <v>74304</v>
      </c>
      <c r="T12" s="30">
        <f t="shared" si="5"/>
        <v>15188004</v>
      </c>
      <c r="U12" s="31">
        <f t="shared" si="6"/>
        <v>4.8922820931572046E-3</v>
      </c>
    </row>
    <row r="13" spans="2:21" ht="18" customHeight="1">
      <c r="B13" s="32" t="str">
        <f>'Data Entry'!A13</f>
        <v>8. Cases Resulting in Probation Placement</v>
      </c>
      <c r="C13" s="33">
        <f>'Data Entry'!C13</f>
        <v>128</v>
      </c>
      <c r="D13" s="34">
        <f>IF(((AND(C70&gt;0,C13&gt;0))),(C13/(C70)),0)</f>
        <v>256</v>
      </c>
      <c r="E13" s="33">
        <f>'Data Entry'!D13</f>
        <v>48</v>
      </c>
      <c r="F13" s="34">
        <f>IF(((AND($D$70&gt;0,$E$13&gt;0))),($E$13/($D$70)),0)</f>
        <v>171.42857142857142</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48</v>
      </c>
      <c r="O13" s="42">
        <f>(D70*L70)-E13</f>
        <v>-19.999999999999996</v>
      </c>
      <c r="P13" s="42">
        <f t="shared" si="2"/>
        <v>128</v>
      </c>
      <c r="Q13" s="42">
        <f>(C70*L70)-C13</f>
        <v>-78</v>
      </c>
      <c r="R13" s="42">
        <f t="shared" si="3"/>
        <v>78</v>
      </c>
      <c r="S13" s="30">
        <f t="shared" si="4"/>
        <v>109344768.00000009</v>
      </c>
      <c r="T13" s="30">
        <f t="shared" si="5"/>
        <v>-24147200.000000004</v>
      </c>
      <c r="U13" s="31">
        <f t="shared" si="6"/>
        <v>-4.5282586800954174</v>
      </c>
    </row>
    <row r="14" spans="2:21" ht="30.75" customHeight="1">
      <c r="B14" s="32" t="str">
        <f>'Data Entry'!A14</f>
        <v xml:space="preserve">9. Cases Resulting in Confinement in Secure Juvenile Correctional Facilities </v>
      </c>
      <c r="C14" s="33">
        <f>'Data Entry'!C14</f>
        <v>11</v>
      </c>
      <c r="D14" s="34">
        <f>IF(((AND(C70&gt;0,C14&gt;0))), ((C14/(C70))),0)</f>
        <v>22</v>
      </c>
      <c r="E14" s="33">
        <f>'Data Entry'!D14</f>
        <v>15</v>
      </c>
      <c r="F14" s="34">
        <f>IF(((AND($D$70&gt;0,$E$14&gt;0))), (($E$14/($D$70))),0)</f>
        <v>53.571428571428569</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15</v>
      </c>
      <c r="O14" s="42">
        <f>(D70*L70)-E14</f>
        <v>13.000000000000004</v>
      </c>
      <c r="P14" s="42">
        <f t="shared" si="2"/>
        <v>11</v>
      </c>
      <c r="Q14" s="42">
        <f>(C70*L70)-C14</f>
        <v>39</v>
      </c>
      <c r="R14" s="42">
        <f t="shared" si="3"/>
        <v>78</v>
      </c>
      <c r="S14" s="30">
        <f t="shared" si="4"/>
        <v>15238392</v>
      </c>
      <c r="T14" s="30">
        <f t="shared" si="5"/>
        <v>1892800.0000000005</v>
      </c>
      <c r="U14" s="31">
        <f t="shared" si="6"/>
        <v>8.0507142857142835</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46</v>
      </c>
      <c r="P15" s="42">
        <f t="shared" si="2"/>
        <v>0</v>
      </c>
      <c r="Q15" s="42">
        <f>(C69*L69)-C15</f>
        <v>83</v>
      </c>
      <c r="R15" s="42">
        <f t="shared" si="3"/>
        <v>129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13.866</v>
      </c>
      <c r="D42" s="56">
        <f>E6/1000</f>
        <v>0.76800000000000002</v>
      </c>
      <c r="E42" s="56">
        <f>MAX(C42:D42)</f>
        <v>13.866</v>
      </c>
      <c r="G42" s="1" t="str">
        <f>B42</f>
        <v>per 1000 youth</v>
      </c>
      <c r="L42" s="57">
        <v>1000</v>
      </c>
      <c r="M42" s="57"/>
      <c r="R42" s="49"/>
    </row>
    <row r="43" spans="2:18" ht="15" hidden="1" customHeight="1">
      <c r="B43" s="49" t="s">
        <v>87</v>
      </c>
      <c r="C43" s="56">
        <f>C7/100</f>
        <v>0.61</v>
      </c>
      <c r="D43" s="56">
        <f>E7/100</f>
        <v>0.35</v>
      </c>
      <c r="E43" s="56">
        <f>MAX(C43:D43,0)</f>
        <v>0.61</v>
      </c>
      <c r="G43" s="1" t="str">
        <f>B43</f>
        <v>per 100 arrests</v>
      </c>
      <c r="L43" s="57">
        <v>100</v>
      </c>
      <c r="M43" s="57"/>
      <c r="R43" s="49"/>
    </row>
    <row r="44" spans="2:18" ht="15" hidden="1" customHeight="1">
      <c r="B44" s="49" t="s">
        <v>88</v>
      </c>
      <c r="C44" s="56">
        <f>C8/100</f>
        <v>1.62</v>
      </c>
      <c r="D44" s="56">
        <f>E8/100</f>
        <v>0.66</v>
      </c>
      <c r="E44" s="56">
        <f>MAX(C44:D44,0)</f>
        <v>1.62</v>
      </c>
      <c r="G44" s="1" t="str">
        <f>B44</f>
        <v>per 100 referrals</v>
      </c>
      <c r="L44" s="57">
        <v>100</v>
      </c>
      <c r="M44" s="57"/>
      <c r="R44" s="49"/>
    </row>
    <row r="45" spans="2:18" ht="15" hidden="1" customHeight="1">
      <c r="B45" s="49" t="s">
        <v>89</v>
      </c>
      <c r="C45" s="49">
        <f>C11/100</f>
        <v>0.83</v>
      </c>
      <c r="D45" s="49">
        <f>E11/100</f>
        <v>0.46</v>
      </c>
      <c r="E45" s="56">
        <f>MAX(C45:D45,0)</f>
        <v>0.83</v>
      </c>
      <c r="G45" s="1" t="str">
        <f>B45</f>
        <v>per 100 youth petitioned</v>
      </c>
      <c r="L45" s="57">
        <v>100</v>
      </c>
      <c r="M45" s="57"/>
      <c r="R45" s="49"/>
    </row>
    <row r="46" spans="2:18" ht="15" hidden="1" customHeight="1">
      <c r="B46" s="49" t="s">
        <v>90</v>
      </c>
      <c r="C46" s="49">
        <f>C12/100</f>
        <v>0.5</v>
      </c>
      <c r="D46" s="49">
        <f>E12/100</f>
        <v>0.28000000000000003</v>
      </c>
      <c r="E46" s="56">
        <f>MAX(C46:D46)</f>
        <v>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13.866</v>
      </c>
      <c r="D48" s="56">
        <f>D42</f>
        <v>0.76800000000000002</v>
      </c>
      <c r="E48" s="56">
        <f>MAX(C48:D48)</f>
        <v>13.866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0.61</v>
      </c>
      <c r="D49" s="49">
        <f t="shared" si="9"/>
        <v>0.35</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1.62</v>
      </c>
      <c r="D50" s="49">
        <f t="shared" si="9"/>
        <v>0.66</v>
      </c>
      <c r="E50" s="49">
        <f>MAX(C50:D50)</f>
        <v>1.62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0.83</v>
      </c>
      <c r="D51" s="49">
        <f>IF(($E45&gt;0),D45,D44)</f>
        <v>0.46</v>
      </c>
      <c r="E51" s="49">
        <f>MAX(C51:D51)</f>
        <v>0.83</v>
      </c>
      <c r="G51" s="1" t="str">
        <f>G45</f>
        <v>per 100 youth petitioned</v>
      </c>
      <c r="L51" s="58">
        <f>IF(($E45&gt;0),L45,L44)</f>
        <v>100</v>
      </c>
      <c r="M51" s="58"/>
    </row>
    <row r="52" spans="2:18" ht="15" hidden="1" customHeight="1">
      <c r="B52" s="49" t="str">
        <f>IF(($E46&gt;0),B46,B45)</f>
        <v>per 100 youth found delinquent</v>
      </c>
      <c r="C52" s="49">
        <f>IF(($E46&gt;0),C46,C45)</f>
        <v>0.5</v>
      </c>
      <c r="D52" s="49">
        <f>IF(($E46&gt;0),D46,D45)</f>
        <v>0.28000000000000003</v>
      </c>
      <c r="E52" s="56">
        <f>MAX(C52:D52)</f>
        <v>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13.866</v>
      </c>
      <c r="D54" s="56">
        <f>D48</f>
        <v>0.76800000000000002</v>
      </c>
      <c r="E54" s="56">
        <f>MAX(C54:D54)</f>
        <v>13.866</v>
      </c>
      <c r="G54" s="1" t="str">
        <f>G48</f>
        <v>per 1000 youth</v>
      </c>
      <c r="L54" s="58">
        <f>L48</f>
        <v>1000</v>
      </c>
      <c r="M54" s="58"/>
    </row>
    <row r="55" spans="2:18" ht="15" hidden="1" customHeight="1">
      <c r="B55" s="49" t="str">
        <f t="shared" ref="B55:D56" si="10">IF(($E49&gt;0),B49,B48)</f>
        <v>per 100 arrests</v>
      </c>
      <c r="C55" s="49">
        <f t="shared" si="10"/>
        <v>0.61</v>
      </c>
      <c r="D55" s="49">
        <f t="shared" si="10"/>
        <v>0.35</v>
      </c>
      <c r="E55" s="49">
        <f>MAX(C55:D55)</f>
        <v>0.61</v>
      </c>
      <c r="G55" s="1" t="str">
        <f>G49</f>
        <v>per 100 arrests</v>
      </c>
      <c r="L55" s="58">
        <f>IF(($E49&gt;0),L49,L48)</f>
        <v>100</v>
      </c>
      <c r="M55" s="58"/>
    </row>
    <row r="56" spans="2:18" ht="15" hidden="1" customHeight="1">
      <c r="B56" s="49" t="str">
        <f t="shared" si="10"/>
        <v>per 100 referrals</v>
      </c>
      <c r="C56" s="49">
        <f t="shared" si="10"/>
        <v>1.62</v>
      </c>
      <c r="D56" s="49">
        <f t="shared" si="10"/>
        <v>0.66</v>
      </c>
      <c r="E56" s="49">
        <f>MAX(C56:D56)</f>
        <v>1.62</v>
      </c>
      <c r="G56" s="1" t="str">
        <f>G50</f>
        <v>per 100 referrals</v>
      </c>
      <c r="L56" s="58">
        <f>IF(($E50&gt;0),L50,L49)</f>
        <v>100</v>
      </c>
      <c r="M56" s="58"/>
    </row>
    <row r="57" spans="2:18" ht="15" hidden="1" customHeight="1">
      <c r="B57" s="49" t="str">
        <f>IF(($E51&gt;0),B51,B49)</f>
        <v>per 100 youth petitioned</v>
      </c>
      <c r="C57" s="49">
        <f>IF(($E51&gt;0),C51,C50)</f>
        <v>0.83</v>
      </c>
      <c r="D57" s="49">
        <f>IF(($E51&gt;0),D51,D50)</f>
        <v>0.46</v>
      </c>
      <c r="E57" s="49">
        <f>MAX(C57:D57)</f>
        <v>0.83</v>
      </c>
      <c r="G57" s="1" t="str">
        <f>G51</f>
        <v>per 100 youth petitioned</v>
      </c>
      <c r="L57" s="58">
        <f>IF(($E51&gt;0),L51,L50)</f>
        <v>100</v>
      </c>
      <c r="M57" s="58"/>
    </row>
    <row r="58" spans="2:18" ht="15" hidden="1" customHeight="1">
      <c r="B58" s="49" t="str">
        <f>IF(($E52&gt;0),B52,B51)</f>
        <v>per 100 youth found delinquent</v>
      </c>
      <c r="C58" s="49">
        <f>IF(($E52&gt;0),C52,C51)</f>
        <v>0.5</v>
      </c>
      <c r="D58" s="49">
        <f>IF(($E52&gt;0),D52,D51)</f>
        <v>0.28000000000000003</v>
      </c>
      <c r="E58" s="56">
        <f>MAX(C58:D58)</f>
        <v>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13.866</v>
      </c>
      <c r="D60" s="56">
        <f>D54</f>
        <v>0.76800000000000002</v>
      </c>
      <c r="E60" s="56">
        <f>MAX(C60:D60)</f>
        <v>13.866</v>
      </c>
      <c r="G60" s="1" t="str">
        <f>G54</f>
        <v>per 1000 youth</v>
      </c>
      <c r="L60" s="58">
        <f>L54</f>
        <v>1000</v>
      </c>
      <c r="M60" s="58"/>
    </row>
    <row r="61" spans="2:18" ht="15" hidden="1" customHeight="1">
      <c r="B61" s="49" t="str">
        <f t="shared" ref="B61:D62" si="11">IF(($E55&gt;0),B55,B54)</f>
        <v>per 100 arrests</v>
      </c>
      <c r="C61" s="49">
        <f t="shared" si="11"/>
        <v>0.61</v>
      </c>
      <c r="D61" s="49">
        <f t="shared" si="11"/>
        <v>0.35</v>
      </c>
      <c r="E61" s="49">
        <f>MAX(C61:D61)</f>
        <v>0.61</v>
      </c>
      <c r="G61" s="1" t="str">
        <f>G55</f>
        <v>per 100 arrests</v>
      </c>
      <c r="L61" s="58">
        <f>IF(($E55&gt;0),L55,L54)</f>
        <v>100</v>
      </c>
      <c r="M61" s="58"/>
    </row>
    <row r="62" spans="2:18" ht="15" hidden="1" customHeight="1">
      <c r="B62" s="49" t="str">
        <f t="shared" si="11"/>
        <v>per 100 referrals</v>
      </c>
      <c r="C62" s="49">
        <f t="shared" si="11"/>
        <v>1.62</v>
      </c>
      <c r="D62" s="49">
        <f t="shared" si="11"/>
        <v>0.66</v>
      </c>
      <c r="E62" s="49">
        <f>MAX(C62:D62)</f>
        <v>1.62</v>
      </c>
      <c r="G62" s="1" t="str">
        <f>G56</f>
        <v>per 100 referrals</v>
      </c>
      <c r="L62" s="58">
        <f>IF(($E56&gt;0),L56,L55)</f>
        <v>100</v>
      </c>
      <c r="M62" s="58"/>
    </row>
    <row r="63" spans="2:18" ht="15" hidden="1" customHeight="1">
      <c r="B63" s="49" t="str">
        <f>IF(($E57&gt;0),B57,B55)</f>
        <v>per 100 youth petitioned</v>
      </c>
      <c r="C63" s="49">
        <f>IF(($E57&gt;0),C57,C56)</f>
        <v>0.83</v>
      </c>
      <c r="D63" s="49">
        <f>IF(($E57&gt;0),D57,D56)</f>
        <v>0.46</v>
      </c>
      <c r="E63" s="49">
        <f>MAX(C63:D63)</f>
        <v>0.83</v>
      </c>
      <c r="G63" s="1" t="str">
        <f>G57</f>
        <v>per 100 youth petitioned</v>
      </c>
      <c r="L63" s="58">
        <f>IF(($E57&gt;0),L57,L56)</f>
        <v>100</v>
      </c>
      <c r="M63" s="58"/>
    </row>
    <row r="64" spans="2:18" ht="15" hidden="1" customHeight="1">
      <c r="B64" s="49" t="str">
        <f>IF(($E58&gt;0),B58,B57)</f>
        <v>per 100 youth found delinquent</v>
      </c>
      <c r="C64" s="49">
        <f>IF(($E58&gt;0),C58,C57)</f>
        <v>0.5</v>
      </c>
      <c r="D64" s="49">
        <f>IF(($E58&gt;0),D58,D57)</f>
        <v>0.28000000000000003</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13.866</v>
      </c>
      <c r="D66" s="56">
        <f>D60</f>
        <v>0.76800000000000002</v>
      </c>
      <c r="E66" s="56">
        <f>MAX(C66:D66)</f>
        <v>13.866</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0.35</v>
      </c>
      <c r="E67" s="49">
        <f>MAX(C67:D67)</f>
        <v>0.61</v>
      </c>
      <c r="G67" s="1" t="str">
        <f>G61</f>
        <v>per 100 arrests</v>
      </c>
      <c r="L67" s="58">
        <f>IF(($E61&gt;0),L61,L60)</f>
        <v>100</v>
      </c>
      <c r="M67" s="58">
        <f>IF((B67=G67),1,2)</f>
        <v>1</v>
      </c>
    </row>
    <row r="68" spans="2:13" ht="15" hidden="1" customHeight="1">
      <c r="B68" s="49" t="str">
        <f t="shared" si="12"/>
        <v>per 100 referrals</v>
      </c>
      <c r="C68" s="49">
        <f t="shared" si="12"/>
        <v>1.62</v>
      </c>
      <c r="D68" s="49">
        <f t="shared" si="12"/>
        <v>0.66</v>
      </c>
      <c r="E68" s="49">
        <f>MAX(C68:D68)</f>
        <v>1.62</v>
      </c>
      <c r="G68" s="1" t="str">
        <f>G62</f>
        <v>per 100 referrals</v>
      </c>
      <c r="L68" s="58">
        <f>IF(($E62&gt;0),L62,L61)</f>
        <v>100</v>
      </c>
      <c r="M68" s="58">
        <f>IF((B68=G68),1,2)</f>
        <v>1</v>
      </c>
    </row>
    <row r="69" spans="2:13" ht="15" hidden="1" customHeight="1">
      <c r="B69" s="49" t="str">
        <f>IF(($E63&gt;0),B63,B61)</f>
        <v>per 100 youth petitioned</v>
      </c>
      <c r="C69" s="49">
        <f>IF(($E63&gt;0),C63,C62)</f>
        <v>0.83</v>
      </c>
      <c r="D69" s="49">
        <f>IF(($E63&gt;0),D63,D62)</f>
        <v>0.46</v>
      </c>
      <c r="E69" s="49">
        <f>MAX(C69:D69)</f>
        <v>0.83</v>
      </c>
      <c r="G69" s="1" t="str">
        <f>G63</f>
        <v>per 100 youth petitioned</v>
      </c>
      <c r="L69" s="58">
        <f>IF(($E63&gt;0),L63,L62)</f>
        <v>100</v>
      </c>
      <c r="M69" s="58">
        <f>IF((B69=G69),1,2)</f>
        <v>1</v>
      </c>
    </row>
    <row r="70" spans="2:13" ht="15" hidden="1" customHeight="1">
      <c r="B70" s="49" t="str">
        <f>IF(($E64&gt;0),B64,B63)</f>
        <v>per 100 youth found delinquent</v>
      </c>
      <c r="C70" s="49">
        <f>IF(($E64&gt;0),C64,C63)</f>
        <v>0.5</v>
      </c>
      <c r="D70" s="49">
        <f>IF(($E64&gt;0),D64,D63)</f>
        <v>0.28000000000000003</v>
      </c>
      <c r="E70" s="56">
        <f>MAX(C70:D70)</f>
        <v>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13866</v>
      </c>
      <c r="D6" s="34"/>
      <c r="E6" s="33">
        <f>'Data Entry'!F6</f>
        <v>155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4.3992499639405738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155</v>
      </c>
      <c r="P7" s="42">
        <f t="shared" ref="P7:P15" si="4">C7</f>
        <v>61</v>
      </c>
      <c r="Q7" s="42">
        <f>C6-C7</f>
        <v>13805</v>
      </c>
      <c r="R7" s="42">
        <f t="shared" ref="R7:R15" si="5">SUM(N7:Q7)</f>
        <v>14021</v>
      </c>
      <c r="S7" s="30">
        <f t="shared" ref="S7:S15" si="6">R7*((((N7*Q7)-(O7*P7))^2))</f>
        <v>1253435687525</v>
      </c>
      <c r="T7" s="30">
        <f t="shared" ref="T7:T15" si="7">(N7+O7)*(P7+Q7)*(N7+P7)*(O7+Q7)</f>
        <v>1830198298800</v>
      </c>
      <c r="U7" s="31">
        <f t="shared" ref="U7:U15" si="8">IF((S7&gt;0),S7/T7,"- -")</f>
        <v>0.68486332237705394</v>
      </c>
    </row>
    <row r="8" spans="2:21" ht="18" customHeight="1">
      <c r="B8" s="32" t="str">
        <f>'Data Entry'!A8</f>
        <v>3. Refer to Juvenile Court</v>
      </c>
      <c r="C8" s="33">
        <f>'Data Entry'!C8</f>
        <v>162</v>
      </c>
      <c r="D8" s="34">
        <f>IF((AND(C67&gt;0,C8&gt;0)),(C8/C67),0)</f>
        <v>265.57377049180326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162</v>
      </c>
      <c r="Q8" s="42">
        <f>(C$67*L67)-C8</f>
        <v>-101</v>
      </c>
      <c r="R8" s="42">
        <f t="shared" si="5"/>
        <v>61.050000000000011</v>
      </c>
      <c r="S8" s="30">
        <f t="shared" si="6"/>
        <v>4005.4905000000008</v>
      </c>
      <c r="T8" s="30">
        <f t="shared" si="7"/>
        <v>-49879.395000000004</v>
      </c>
      <c r="U8" s="31">
        <f t="shared" si="8"/>
        <v>-8.0303510096704264E-2</v>
      </c>
    </row>
    <row r="9" spans="2:21" ht="18" customHeight="1">
      <c r="B9" s="32" t="str">
        <f>'Data Entry'!A9</f>
        <v xml:space="preserve">4. Cases Diverted </v>
      </c>
      <c r="C9" s="33">
        <f>'Data Entry'!C9</f>
        <v>11</v>
      </c>
      <c r="D9" s="34">
        <f>IF((AND(C68&gt;0,C9&gt;0)),((C9/C68)),0)</f>
        <v>6.7901234567901234</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151</v>
      </c>
      <c r="R9" s="42">
        <f t="shared" si="5"/>
        <v>162</v>
      </c>
      <c r="S9" s="30">
        <f t="shared" si="6"/>
        <v>0</v>
      </c>
      <c r="T9" s="30">
        <f t="shared" si="7"/>
        <v>0</v>
      </c>
      <c r="U9" s="31" t="str">
        <f t="shared" si="8"/>
        <v>- -</v>
      </c>
    </row>
    <row r="10" spans="2:21" ht="18" customHeight="1">
      <c r="B10" s="32" t="str">
        <f>'Data Entry'!A10</f>
        <v>5. Cases Involving Secure Detention</v>
      </c>
      <c r="C10" s="33">
        <f>'Data Entry'!C10</f>
        <v>8</v>
      </c>
      <c r="D10" s="34">
        <f>IF(((AND(C68&gt;0,C10&gt;0))),(C10/(C68)),0)</f>
        <v>4.9382716049382713</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154</v>
      </c>
      <c r="R10" s="42">
        <f t="shared" si="5"/>
        <v>162</v>
      </c>
      <c r="S10" s="30">
        <f t="shared" si="6"/>
        <v>0</v>
      </c>
      <c r="T10" s="30">
        <f t="shared" si="7"/>
        <v>0</v>
      </c>
      <c r="U10" s="31" t="str">
        <f t="shared" si="8"/>
        <v>- -</v>
      </c>
    </row>
    <row r="11" spans="2:21" ht="18" customHeight="1">
      <c r="B11" s="32" t="str">
        <f>'Data Entry'!A11</f>
        <v>6. Cases Petitioned (Charge Filed)</v>
      </c>
      <c r="C11" s="33">
        <f>'Data Entry'!C11</f>
        <v>83</v>
      </c>
      <c r="D11" s="34">
        <f>IF(((AND(C68&gt;0,C11&gt;0))),(C11/(C68)),0)</f>
        <v>51.234567901234563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83</v>
      </c>
      <c r="Q11" s="42">
        <f>(C$68*L68)-C11</f>
        <v>79</v>
      </c>
      <c r="R11" s="42">
        <f t="shared" si="5"/>
        <v>162</v>
      </c>
      <c r="S11" s="30">
        <f t="shared" si="6"/>
        <v>0</v>
      </c>
      <c r="T11" s="30">
        <f t="shared" si="7"/>
        <v>0</v>
      </c>
      <c r="U11" s="31" t="str">
        <f t="shared" si="8"/>
        <v>- -</v>
      </c>
    </row>
    <row r="12" spans="2:21" ht="18" customHeight="1">
      <c r="B12" s="32" t="str">
        <f>'Data Entry'!A12</f>
        <v>7. Cases Resulting in Delinquent Findings</v>
      </c>
      <c r="C12" s="33">
        <f>'Data Entry'!C12</f>
        <v>50</v>
      </c>
      <c r="D12" s="34">
        <f>IF(((AND(C69&gt;0,C12&gt;0))),(C12/(C69)),0)</f>
        <v>60.24096385542169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50</v>
      </c>
      <c r="Q12" s="42">
        <f>(C69*L69)-C12</f>
        <v>33</v>
      </c>
      <c r="R12" s="42">
        <f t="shared" si="5"/>
        <v>83</v>
      </c>
      <c r="S12" s="30">
        <f t="shared" si="6"/>
        <v>0</v>
      </c>
      <c r="T12" s="30">
        <f t="shared" si="7"/>
        <v>0</v>
      </c>
      <c r="U12" s="31" t="str">
        <f t="shared" si="8"/>
        <v>- -</v>
      </c>
    </row>
    <row r="13" spans="2:21" ht="18" customHeight="1">
      <c r="B13" s="32" t="str">
        <f>'Data Entry'!A13</f>
        <v>8. Cases Resulting in Probation Placement</v>
      </c>
      <c r="C13" s="33">
        <f>'Data Entry'!C13</f>
        <v>128</v>
      </c>
      <c r="D13" s="34">
        <f>IF(((AND(C70&gt;0,C13&gt;0))),(C13/(C70)),0)</f>
        <v>256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128</v>
      </c>
      <c r="Q13" s="42">
        <f>(C70*L70)-C13</f>
        <v>-78</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22</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39</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83</v>
      </c>
      <c r="R15" s="42">
        <f t="shared" si="5"/>
        <v>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13.866</v>
      </c>
      <c r="D42" s="56">
        <f>E6/1000</f>
        <v>0.155</v>
      </c>
      <c r="E42" s="56">
        <f>MAX(C42:D42)</f>
        <v>13.866</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1.62</v>
      </c>
      <c r="D44" s="56">
        <f>E8/100</f>
        <v>0</v>
      </c>
      <c r="E44" s="56">
        <f>MAX(C44:D44,0)</f>
        <v>1.62</v>
      </c>
      <c r="G44" s="1" t="str">
        <f>B44</f>
        <v>per 100 referrals</v>
      </c>
      <c r="L44" s="57">
        <v>100</v>
      </c>
      <c r="M44" s="57"/>
      <c r="R44" s="49"/>
    </row>
    <row r="45" spans="2:18" ht="15" hidden="1" customHeight="1">
      <c r="B45" s="49" t="s">
        <v>89</v>
      </c>
      <c r="C45" s="49">
        <f>C11/100</f>
        <v>0.83</v>
      </c>
      <c r="D45" s="49">
        <f>E11/100</f>
        <v>0</v>
      </c>
      <c r="E45" s="56">
        <f>MAX(C45:D45,0)</f>
        <v>0.83</v>
      </c>
      <c r="G45" s="1" t="str">
        <f>B45</f>
        <v>per 100 youth petitioned</v>
      </c>
      <c r="L45" s="57">
        <v>100</v>
      </c>
      <c r="M45" s="57"/>
      <c r="R45" s="49"/>
    </row>
    <row r="46" spans="2:18" ht="15" hidden="1" customHeight="1">
      <c r="B46" s="49" t="s">
        <v>90</v>
      </c>
      <c r="C46" s="49">
        <f>C12/100</f>
        <v>0.5</v>
      </c>
      <c r="D46" s="49">
        <f>E12/100</f>
        <v>0</v>
      </c>
      <c r="E46" s="56">
        <f>MAX(C46:D46)</f>
        <v>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13.866</v>
      </c>
      <c r="D48" s="56">
        <f>D42</f>
        <v>0.155</v>
      </c>
      <c r="E48" s="56">
        <f>MAX(C48:D48)</f>
        <v>13.866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1.62</v>
      </c>
      <c r="D50" s="49">
        <f t="shared" si="9"/>
        <v>0</v>
      </c>
      <c r="E50" s="49">
        <f>MAX(C50:D50)</f>
        <v>1.62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0.83</v>
      </c>
      <c r="D51" s="49">
        <f>IF(($E45&gt;0),D45,D44)</f>
        <v>0</v>
      </c>
      <c r="E51" s="49">
        <f>MAX(C51:D51)</f>
        <v>0.83</v>
      </c>
      <c r="G51" s="1" t="str">
        <f>G45</f>
        <v>per 100 youth petitioned</v>
      </c>
      <c r="L51" s="58">
        <f>IF(($E45&gt;0),L45,L44)</f>
        <v>100</v>
      </c>
      <c r="M51" s="58"/>
    </row>
    <row r="52" spans="2:18" ht="15" hidden="1" customHeight="1">
      <c r="B52" s="49" t="str">
        <f>IF(($E46&gt;0),B46,B45)</f>
        <v>per 100 youth found delinquent</v>
      </c>
      <c r="C52" s="49">
        <f>IF(($E46&gt;0),C46,C45)</f>
        <v>0.5</v>
      </c>
      <c r="D52" s="49">
        <f>IF(($E46&gt;0),D46,D45)</f>
        <v>0</v>
      </c>
      <c r="E52" s="56">
        <f>MAX(C52:D52)</f>
        <v>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13.866</v>
      </c>
      <c r="D54" s="56">
        <f>D48</f>
        <v>0.155</v>
      </c>
      <c r="E54" s="56">
        <f>MAX(C54:D54)</f>
        <v>13.866</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1.62</v>
      </c>
      <c r="D56" s="49">
        <f t="shared" si="10"/>
        <v>0</v>
      </c>
      <c r="E56" s="49">
        <f>MAX(C56:D56)</f>
        <v>1.62</v>
      </c>
      <c r="G56" s="1" t="str">
        <f>G50</f>
        <v>per 100 referrals</v>
      </c>
      <c r="L56" s="58">
        <f>IF(($E50&gt;0),L50,L49)</f>
        <v>100</v>
      </c>
      <c r="M56" s="58"/>
    </row>
    <row r="57" spans="2:18" ht="15" hidden="1" customHeight="1">
      <c r="B57" s="49" t="str">
        <f>IF(($E51&gt;0),B51,B49)</f>
        <v>per 100 youth petitioned</v>
      </c>
      <c r="C57" s="49">
        <f>IF(($E51&gt;0),C51,C50)</f>
        <v>0.83</v>
      </c>
      <c r="D57" s="49">
        <f>IF(($E51&gt;0),D51,D50)</f>
        <v>0</v>
      </c>
      <c r="E57" s="49">
        <f>MAX(C57:D57)</f>
        <v>0.83</v>
      </c>
      <c r="G57" s="1" t="str">
        <f>G51</f>
        <v>per 100 youth petitioned</v>
      </c>
      <c r="L57" s="58">
        <f>IF(($E51&gt;0),L51,L50)</f>
        <v>100</v>
      </c>
      <c r="M57" s="58"/>
    </row>
    <row r="58" spans="2:18" ht="15" hidden="1" customHeight="1">
      <c r="B58" s="49" t="str">
        <f>IF(($E52&gt;0),B52,B51)</f>
        <v>per 100 youth found delinquent</v>
      </c>
      <c r="C58" s="49">
        <f>IF(($E52&gt;0),C52,C51)</f>
        <v>0.5</v>
      </c>
      <c r="D58" s="49">
        <f>IF(($E52&gt;0),D52,D51)</f>
        <v>0</v>
      </c>
      <c r="E58" s="56">
        <f>MAX(C58:D58)</f>
        <v>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13.866</v>
      </c>
      <c r="D60" s="56">
        <f>D54</f>
        <v>0.155</v>
      </c>
      <c r="E60" s="56">
        <f>MAX(C60:D60)</f>
        <v>13.866</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1.62</v>
      </c>
      <c r="D62" s="49">
        <f t="shared" si="11"/>
        <v>0</v>
      </c>
      <c r="E62" s="49">
        <f>MAX(C62:D62)</f>
        <v>1.62</v>
      </c>
      <c r="G62" s="1" t="str">
        <f>G56</f>
        <v>per 100 referrals</v>
      </c>
      <c r="L62" s="58">
        <f>IF(($E56&gt;0),L56,L55)</f>
        <v>100</v>
      </c>
      <c r="M62" s="58"/>
    </row>
    <row r="63" spans="2:18" ht="15" hidden="1" customHeight="1">
      <c r="B63" s="49" t="str">
        <f>IF(($E57&gt;0),B57,B55)</f>
        <v>per 100 youth petitioned</v>
      </c>
      <c r="C63" s="49">
        <f>IF(($E57&gt;0),C57,C56)</f>
        <v>0.83</v>
      </c>
      <c r="D63" s="49">
        <f>IF(($E57&gt;0),D57,D56)</f>
        <v>0</v>
      </c>
      <c r="E63" s="49">
        <f>MAX(C63:D63)</f>
        <v>0.83</v>
      </c>
      <c r="G63" s="1" t="str">
        <f>G57</f>
        <v>per 100 youth petitioned</v>
      </c>
      <c r="L63" s="58">
        <f>IF(($E57&gt;0),L57,L56)</f>
        <v>100</v>
      </c>
      <c r="M63" s="58"/>
    </row>
    <row r="64" spans="2:18" ht="15" hidden="1" customHeight="1">
      <c r="B64" s="49" t="str">
        <f>IF(($E58&gt;0),B58,B57)</f>
        <v>per 100 youth found delinquent</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13.866</v>
      </c>
      <c r="D66" s="56">
        <f>D60</f>
        <v>0.155</v>
      </c>
      <c r="E66" s="56">
        <f>MAX(C66:D66)</f>
        <v>13.866</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1.62</v>
      </c>
      <c r="D68" s="49">
        <f t="shared" si="12"/>
        <v>0</v>
      </c>
      <c r="E68" s="49">
        <f>MAX(C68:D68)</f>
        <v>1.62</v>
      </c>
      <c r="G68" s="1" t="str">
        <f>G62</f>
        <v>per 100 referrals</v>
      </c>
      <c r="L68" s="58">
        <f>IF(($E62&gt;0),L62,L61)</f>
        <v>100</v>
      </c>
      <c r="M68" s="58">
        <f>IF((B68=G68),1,2)</f>
        <v>1</v>
      </c>
    </row>
    <row r="69" spans="2:13" ht="15" hidden="1" customHeight="1">
      <c r="B69" s="49" t="str">
        <f>IF(($E63&gt;0),B63,B61)</f>
        <v>per 100 youth petitioned</v>
      </c>
      <c r="C69" s="49">
        <f>IF(($E63&gt;0),C63,C62)</f>
        <v>0.83</v>
      </c>
      <c r="D69" s="49">
        <f>IF(($E63&gt;0),D63,D62)</f>
        <v>0</v>
      </c>
      <c r="E69" s="49">
        <f>MAX(C69:D69)</f>
        <v>0.83</v>
      </c>
      <c r="G69" s="1" t="str">
        <f>G63</f>
        <v>per 100 youth petitioned</v>
      </c>
      <c r="L69" s="58">
        <f>IF(($E63&gt;0),L63,L62)</f>
        <v>100</v>
      </c>
      <c r="M69" s="58">
        <f>IF((B69=G69),1,2)</f>
        <v>1</v>
      </c>
    </row>
    <row r="70" spans="2:13" ht="15" hidden="1" customHeight="1">
      <c r="B70" s="49" t="str">
        <f>IF(($E64&gt;0),B64,B63)</f>
        <v>per 100 youth found delinquent</v>
      </c>
      <c r="C70" s="49">
        <f>IF(($E64&gt;0),C64,C63)</f>
        <v>0.5</v>
      </c>
      <c r="D70" s="49">
        <f>IF(($E64&gt;0),D64,D63)</f>
        <v>0</v>
      </c>
      <c r="E70" s="56">
        <f>MAX(C70:D70)</f>
        <v>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13866</v>
      </c>
      <c r="D6" s="34"/>
      <c r="E6" s="33">
        <f>'Data Entry'!E6</f>
        <v>981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4.3992499639405738</v>
      </c>
      <c r="E7" s="33">
        <f>'Data Entry'!E7</f>
        <v>1</v>
      </c>
      <c r="F7" s="34">
        <f>IF((AND($E$7&gt;0,$D$66&gt;0)),($E$7/$D$66),0)</f>
        <v>1.019367991845056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980</v>
      </c>
      <c r="P7" s="42">
        <f t="shared" ref="P7:P15" si="4">C7</f>
        <v>61</v>
      </c>
      <c r="Q7" s="42">
        <f>C6-C7</f>
        <v>13805</v>
      </c>
      <c r="R7" s="42">
        <f t="shared" ref="R7:R15" si="5">SUM(N7:Q7)</f>
        <v>14847</v>
      </c>
      <c r="S7" s="30">
        <f t="shared" ref="S7:S15" si="6">R7*((((N7*Q7)-(O7*P7))^2))</f>
        <v>31382113179375</v>
      </c>
      <c r="T7" s="30">
        <f t="shared" ref="T7:T15" si="7">(N7+O7)*(P7+Q7)*(N7+P7)*(O7+Q7)</f>
        <v>12469045841820</v>
      </c>
      <c r="U7" s="31">
        <f t="shared" ref="U7:U15" si="8">IF((S7&gt;0),S7/T7,"- -")</f>
        <v>2.5168014920694541</v>
      </c>
    </row>
    <row r="8" spans="2:21" ht="18" customHeight="1">
      <c r="B8" s="32" t="str">
        <f>'Data Entry'!A8</f>
        <v>3. Refer to Juvenile Court</v>
      </c>
      <c r="C8" s="33">
        <f>'Data Entry'!C8</f>
        <v>162</v>
      </c>
      <c r="D8" s="34">
        <f>IF((AND(C67&gt;0,C8&gt;0)),(C8/C67),0)</f>
        <v>265.57377049180326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162</v>
      </c>
      <c r="Q8" s="42">
        <f>(C$67*L67)-C8</f>
        <v>-101</v>
      </c>
      <c r="R8" s="42">
        <f t="shared" si="5"/>
        <v>62.050000000000011</v>
      </c>
      <c r="S8" s="30">
        <f t="shared" si="6"/>
        <v>1795355.3205000001</v>
      </c>
      <c r="T8" s="30">
        <f t="shared" si="7"/>
        <v>-1037091.1950000001</v>
      </c>
      <c r="U8" s="31">
        <f t="shared" si="8"/>
        <v>-1.7311450807370898</v>
      </c>
    </row>
    <row r="9" spans="2:21" ht="18" customHeight="1">
      <c r="B9" s="32" t="str">
        <f>'Data Entry'!A9</f>
        <v xml:space="preserve">4. Cases Diverted </v>
      </c>
      <c r="C9" s="33">
        <f>'Data Entry'!C9</f>
        <v>11</v>
      </c>
      <c r="D9" s="34">
        <f>IF((AND(C68&gt;0,C9&gt;0)),((C9/C68)),0)</f>
        <v>6.7901234567901234</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151</v>
      </c>
      <c r="R9" s="42">
        <f t="shared" si="5"/>
        <v>162</v>
      </c>
      <c r="S9" s="30">
        <f t="shared" si="6"/>
        <v>0</v>
      </c>
      <c r="T9" s="30">
        <f t="shared" si="7"/>
        <v>0</v>
      </c>
      <c r="U9" s="31" t="str">
        <f t="shared" si="8"/>
        <v>- -</v>
      </c>
    </row>
    <row r="10" spans="2:21" ht="18" customHeight="1">
      <c r="B10" s="32" t="str">
        <f>'Data Entry'!A10</f>
        <v>5. Cases Involving Secure Detention</v>
      </c>
      <c r="C10" s="33">
        <f>'Data Entry'!C10</f>
        <v>8</v>
      </c>
      <c r="D10" s="34">
        <f>IF(((AND(C68&gt;0,C10&gt;0))),(C10/(C68)),0)</f>
        <v>4.9382716049382713</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154</v>
      </c>
      <c r="R10" s="42">
        <f t="shared" si="5"/>
        <v>162</v>
      </c>
      <c r="S10" s="30">
        <f t="shared" si="6"/>
        <v>0</v>
      </c>
      <c r="T10" s="30">
        <f t="shared" si="7"/>
        <v>0</v>
      </c>
      <c r="U10" s="31" t="str">
        <f t="shared" si="8"/>
        <v>- -</v>
      </c>
    </row>
    <row r="11" spans="2:21" ht="18" customHeight="1">
      <c r="B11" s="32" t="str">
        <f>'Data Entry'!A11</f>
        <v>6. Cases Petitioned (Charge Filed)</v>
      </c>
      <c r="C11" s="33">
        <f>'Data Entry'!C11</f>
        <v>83</v>
      </c>
      <c r="D11" s="34">
        <f>IF(((AND(C68&gt;0,C11&gt;0))),(C11/(C68)),0)</f>
        <v>51.234567901234563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83</v>
      </c>
      <c r="Q11" s="42">
        <f>(C$68*L68)-C11</f>
        <v>79</v>
      </c>
      <c r="R11" s="42">
        <f t="shared" si="5"/>
        <v>162</v>
      </c>
      <c r="S11" s="30">
        <f t="shared" si="6"/>
        <v>0</v>
      </c>
      <c r="T11" s="30">
        <f t="shared" si="7"/>
        <v>0</v>
      </c>
      <c r="U11" s="31" t="str">
        <f t="shared" si="8"/>
        <v>- -</v>
      </c>
    </row>
    <row r="12" spans="2:21" ht="18" customHeight="1">
      <c r="B12" s="32" t="str">
        <f>'Data Entry'!A12</f>
        <v>7. Cases Resulting in Delinquent Findings</v>
      </c>
      <c r="C12" s="33">
        <f>'Data Entry'!C12</f>
        <v>50</v>
      </c>
      <c r="D12" s="34">
        <f>IF(((AND(C69&gt;0,C12&gt;0))),(C12/(C69)),0)</f>
        <v>60.24096385542169</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50</v>
      </c>
      <c r="Q12" s="42">
        <f>(C69*L69)-C12</f>
        <v>33</v>
      </c>
      <c r="R12" s="42">
        <f t="shared" si="5"/>
        <v>83</v>
      </c>
      <c r="S12" s="30">
        <f t="shared" si="6"/>
        <v>0</v>
      </c>
      <c r="T12" s="30">
        <f t="shared" si="7"/>
        <v>0</v>
      </c>
      <c r="U12" s="31" t="str">
        <f t="shared" si="8"/>
        <v>- -</v>
      </c>
    </row>
    <row r="13" spans="2:21" ht="18" customHeight="1">
      <c r="B13" s="32" t="str">
        <f>'Data Entry'!A13</f>
        <v>8. Cases Resulting in Probation Placement</v>
      </c>
      <c r="C13" s="33">
        <f>'Data Entry'!C13</f>
        <v>128</v>
      </c>
      <c r="D13" s="34">
        <f>IF(((AND(C70&gt;0,C13&gt;0))),(C13/(C70)),0)</f>
        <v>256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128</v>
      </c>
      <c r="Q13" s="42">
        <f>(C70*L70)-C13</f>
        <v>-78</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22</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39</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83</v>
      </c>
      <c r="R15" s="42">
        <f t="shared" si="5"/>
        <v>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13.866</v>
      </c>
      <c r="D42" s="56">
        <f>E6/1000</f>
        <v>0.98099999999999998</v>
      </c>
      <c r="E42" s="56">
        <f>MAX(C42:D42)</f>
        <v>13.866</v>
      </c>
      <c r="G42" s="1" t="str">
        <f>B42</f>
        <v>per 1000 youth</v>
      </c>
      <c r="L42" s="57">
        <v>1000</v>
      </c>
      <c r="M42" s="57"/>
      <c r="R42" s="49"/>
    </row>
    <row r="43" spans="2:18" ht="15" hidden="1" customHeight="1">
      <c r="B43" s="49" t="s">
        <v>87</v>
      </c>
      <c r="C43" s="56">
        <f>C7/100</f>
        <v>0.61</v>
      </c>
      <c r="D43" s="56">
        <f>E7/100</f>
        <v>0.01</v>
      </c>
      <c r="E43" s="56">
        <f>MAX(C43:D43,0)</f>
        <v>0.61</v>
      </c>
      <c r="G43" s="1" t="str">
        <f>B43</f>
        <v>per 100 arrests</v>
      </c>
      <c r="L43" s="57">
        <v>100</v>
      </c>
      <c r="M43" s="57"/>
      <c r="R43" s="49"/>
    </row>
    <row r="44" spans="2:18" ht="15" hidden="1" customHeight="1">
      <c r="B44" s="49" t="s">
        <v>88</v>
      </c>
      <c r="C44" s="56">
        <f>C8/100</f>
        <v>1.62</v>
      </c>
      <c r="D44" s="56">
        <f>E8/100</f>
        <v>0</v>
      </c>
      <c r="E44" s="56">
        <f>MAX(C44:D44,0)</f>
        <v>1.62</v>
      </c>
      <c r="G44" s="1" t="str">
        <f>B44</f>
        <v>per 100 referrals</v>
      </c>
      <c r="L44" s="57">
        <v>100</v>
      </c>
      <c r="M44" s="57"/>
      <c r="R44" s="49"/>
    </row>
    <row r="45" spans="2:18" ht="15" hidden="1" customHeight="1">
      <c r="B45" s="49" t="s">
        <v>89</v>
      </c>
      <c r="C45" s="49">
        <f>C11/100</f>
        <v>0.83</v>
      </c>
      <c r="D45" s="49">
        <f>E11/100</f>
        <v>0</v>
      </c>
      <c r="E45" s="56">
        <f>MAX(C45:D45,0)</f>
        <v>0.83</v>
      </c>
      <c r="G45" s="1" t="str">
        <f>B45</f>
        <v>per 100 youth petitioned</v>
      </c>
      <c r="L45" s="57">
        <v>100</v>
      </c>
      <c r="M45" s="57"/>
      <c r="R45" s="49"/>
    </row>
    <row r="46" spans="2:18" ht="15" hidden="1" customHeight="1">
      <c r="B46" s="49" t="s">
        <v>90</v>
      </c>
      <c r="C46" s="49">
        <f>C12/100</f>
        <v>0.5</v>
      </c>
      <c r="D46" s="49">
        <f>E12/100</f>
        <v>0</v>
      </c>
      <c r="E46" s="56">
        <f>MAX(C46:D46)</f>
        <v>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13.866</v>
      </c>
      <c r="D48" s="56">
        <f>D42</f>
        <v>0.98099999999999998</v>
      </c>
      <c r="E48" s="56">
        <f>MAX(C48:D48)</f>
        <v>13.866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0.01</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1.62</v>
      </c>
      <c r="D50" s="49">
        <f t="shared" si="9"/>
        <v>0</v>
      </c>
      <c r="E50" s="49">
        <f>MAX(C50:D50)</f>
        <v>1.62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0.83</v>
      </c>
      <c r="D51" s="49">
        <f>IF(($E45&gt;0),D45,D44)</f>
        <v>0</v>
      </c>
      <c r="E51" s="49">
        <f>MAX(C51:D51)</f>
        <v>0.83</v>
      </c>
      <c r="G51" s="1" t="str">
        <f>G45</f>
        <v>per 100 youth petitioned</v>
      </c>
      <c r="L51" s="58">
        <f>IF(($E45&gt;0),L45,L44)</f>
        <v>100</v>
      </c>
      <c r="M51" s="58"/>
    </row>
    <row r="52" spans="2:18" ht="15" hidden="1" customHeight="1">
      <c r="B52" s="49" t="str">
        <f>IF(($E46&gt;0),B46,B45)</f>
        <v>per 100 youth found delinquent</v>
      </c>
      <c r="C52" s="49">
        <f>IF(($E46&gt;0),C46,C45)</f>
        <v>0.5</v>
      </c>
      <c r="D52" s="49">
        <f>IF(($E46&gt;0),D46,D45)</f>
        <v>0</v>
      </c>
      <c r="E52" s="56">
        <f>MAX(C52:D52)</f>
        <v>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13.866</v>
      </c>
      <c r="D54" s="56">
        <f>D48</f>
        <v>0.98099999999999998</v>
      </c>
      <c r="E54" s="56">
        <f>MAX(C54:D54)</f>
        <v>13.866</v>
      </c>
      <c r="G54" s="1" t="str">
        <f>G48</f>
        <v>per 1000 youth</v>
      </c>
      <c r="L54" s="58">
        <f>L48</f>
        <v>1000</v>
      </c>
      <c r="M54" s="58"/>
    </row>
    <row r="55" spans="2:18" ht="15" hidden="1" customHeight="1">
      <c r="B55" s="49" t="str">
        <f t="shared" ref="B55:D56" si="10">IF(($E49&gt;0),B49,B48)</f>
        <v>per 100 arrests</v>
      </c>
      <c r="C55" s="49">
        <f t="shared" si="10"/>
        <v>0.61</v>
      </c>
      <c r="D55" s="49">
        <f t="shared" si="10"/>
        <v>0.01</v>
      </c>
      <c r="E55" s="49">
        <f>MAX(C55:D55)</f>
        <v>0.61</v>
      </c>
      <c r="G55" s="1" t="str">
        <f>G49</f>
        <v>per 100 arrests</v>
      </c>
      <c r="L55" s="58">
        <f>IF(($E49&gt;0),L49,L48)</f>
        <v>100</v>
      </c>
      <c r="M55" s="58"/>
    </row>
    <row r="56" spans="2:18" ht="15" hidden="1" customHeight="1">
      <c r="B56" s="49" t="str">
        <f t="shared" si="10"/>
        <v>per 100 referrals</v>
      </c>
      <c r="C56" s="49">
        <f t="shared" si="10"/>
        <v>1.62</v>
      </c>
      <c r="D56" s="49">
        <f t="shared" si="10"/>
        <v>0</v>
      </c>
      <c r="E56" s="49">
        <f>MAX(C56:D56)</f>
        <v>1.62</v>
      </c>
      <c r="G56" s="1" t="str">
        <f>G50</f>
        <v>per 100 referrals</v>
      </c>
      <c r="L56" s="58">
        <f>IF(($E50&gt;0),L50,L49)</f>
        <v>100</v>
      </c>
      <c r="M56" s="58"/>
    </row>
    <row r="57" spans="2:18" ht="15" hidden="1" customHeight="1">
      <c r="B57" s="49" t="str">
        <f>IF(($E51&gt;0),B51,B49)</f>
        <v>per 100 youth petitioned</v>
      </c>
      <c r="C57" s="49">
        <f>IF(($E51&gt;0),C51,C50)</f>
        <v>0.83</v>
      </c>
      <c r="D57" s="49">
        <f>IF(($E51&gt;0),D51,D50)</f>
        <v>0</v>
      </c>
      <c r="E57" s="49">
        <f>MAX(C57:D57)</f>
        <v>0.83</v>
      </c>
      <c r="G57" s="1" t="str">
        <f>G51</f>
        <v>per 100 youth petitioned</v>
      </c>
      <c r="L57" s="58">
        <f>IF(($E51&gt;0),L51,L50)</f>
        <v>100</v>
      </c>
      <c r="M57" s="58"/>
    </row>
    <row r="58" spans="2:18" ht="15" hidden="1" customHeight="1">
      <c r="B58" s="49" t="str">
        <f>IF(($E52&gt;0),B52,B51)</f>
        <v>per 100 youth found delinquent</v>
      </c>
      <c r="C58" s="49">
        <f>IF(($E52&gt;0),C52,C51)</f>
        <v>0.5</v>
      </c>
      <c r="D58" s="49">
        <f>IF(($E52&gt;0),D52,D51)</f>
        <v>0</v>
      </c>
      <c r="E58" s="56">
        <f>MAX(C58:D58)</f>
        <v>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13.866</v>
      </c>
      <c r="D60" s="56">
        <f>D54</f>
        <v>0.98099999999999998</v>
      </c>
      <c r="E60" s="56">
        <f>MAX(C60:D60)</f>
        <v>13.866</v>
      </c>
      <c r="G60" s="1" t="str">
        <f>G54</f>
        <v>per 1000 youth</v>
      </c>
      <c r="L60" s="58">
        <f>L54</f>
        <v>1000</v>
      </c>
      <c r="M60" s="58"/>
    </row>
    <row r="61" spans="2:18" ht="15" hidden="1" customHeight="1">
      <c r="B61" s="49" t="str">
        <f t="shared" ref="B61:D62" si="11">IF(($E55&gt;0),B55,B54)</f>
        <v>per 100 arrests</v>
      </c>
      <c r="C61" s="49">
        <f t="shared" si="11"/>
        <v>0.61</v>
      </c>
      <c r="D61" s="49">
        <f t="shared" si="11"/>
        <v>0.01</v>
      </c>
      <c r="E61" s="49">
        <f>MAX(C61:D61)</f>
        <v>0.61</v>
      </c>
      <c r="G61" s="1" t="str">
        <f>G55</f>
        <v>per 100 arrests</v>
      </c>
      <c r="L61" s="58">
        <f>IF(($E55&gt;0),L55,L54)</f>
        <v>100</v>
      </c>
      <c r="M61" s="58"/>
    </row>
    <row r="62" spans="2:18" ht="15" hidden="1" customHeight="1">
      <c r="B62" s="49" t="str">
        <f t="shared" si="11"/>
        <v>per 100 referrals</v>
      </c>
      <c r="C62" s="49">
        <f t="shared" si="11"/>
        <v>1.62</v>
      </c>
      <c r="D62" s="49">
        <f t="shared" si="11"/>
        <v>0</v>
      </c>
      <c r="E62" s="49">
        <f>MAX(C62:D62)</f>
        <v>1.62</v>
      </c>
      <c r="G62" s="1" t="str">
        <f>G56</f>
        <v>per 100 referrals</v>
      </c>
      <c r="L62" s="58">
        <f>IF(($E56&gt;0),L56,L55)</f>
        <v>100</v>
      </c>
      <c r="M62" s="58"/>
    </row>
    <row r="63" spans="2:18" ht="15" hidden="1" customHeight="1">
      <c r="B63" s="49" t="str">
        <f>IF(($E57&gt;0),B57,B55)</f>
        <v>per 100 youth petitioned</v>
      </c>
      <c r="C63" s="49">
        <f>IF(($E57&gt;0),C57,C56)</f>
        <v>0.83</v>
      </c>
      <c r="D63" s="49">
        <f>IF(($E57&gt;0),D57,D56)</f>
        <v>0</v>
      </c>
      <c r="E63" s="49">
        <f>MAX(C63:D63)</f>
        <v>0.83</v>
      </c>
      <c r="G63" s="1" t="str">
        <f>G57</f>
        <v>per 100 youth petitioned</v>
      </c>
      <c r="L63" s="58">
        <f>IF(($E57&gt;0),L57,L56)</f>
        <v>100</v>
      </c>
      <c r="M63" s="58"/>
    </row>
    <row r="64" spans="2:18" ht="15" hidden="1" customHeight="1">
      <c r="B64" s="49" t="str">
        <f>IF(($E58&gt;0),B58,B57)</f>
        <v>per 100 youth found delinquent</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13.866</v>
      </c>
      <c r="D66" s="56">
        <f>D60</f>
        <v>0.98099999999999998</v>
      </c>
      <c r="E66" s="56">
        <f>MAX(C66:D66)</f>
        <v>13.866</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0.01</v>
      </c>
      <c r="E67" s="49">
        <f>MAX(C67:D67)</f>
        <v>0.61</v>
      </c>
      <c r="G67" s="1" t="str">
        <f>G61</f>
        <v>per 100 arrests</v>
      </c>
      <c r="L67" s="58">
        <f>IF(($E61&gt;0),L61,L60)</f>
        <v>100</v>
      </c>
      <c r="M67" s="58">
        <f>IF((B67=G67),1,2)</f>
        <v>1</v>
      </c>
    </row>
    <row r="68" spans="2:13" ht="15" hidden="1" customHeight="1">
      <c r="B68" s="49" t="str">
        <f t="shared" si="12"/>
        <v>per 100 referrals</v>
      </c>
      <c r="C68" s="49">
        <f t="shared" si="12"/>
        <v>1.62</v>
      </c>
      <c r="D68" s="49">
        <f t="shared" si="12"/>
        <v>0</v>
      </c>
      <c r="E68" s="49">
        <f>MAX(C68:D68)</f>
        <v>1.62</v>
      </c>
      <c r="G68" s="1" t="str">
        <f>G62</f>
        <v>per 100 referrals</v>
      </c>
      <c r="L68" s="58">
        <f>IF(($E62&gt;0),L62,L61)</f>
        <v>100</v>
      </c>
      <c r="M68" s="58">
        <f>IF((B68=G68),1,2)</f>
        <v>1</v>
      </c>
    </row>
    <row r="69" spans="2:13" ht="15" hidden="1" customHeight="1">
      <c r="B69" s="49" t="str">
        <f>IF(($E63&gt;0),B63,B61)</f>
        <v>per 100 youth petitioned</v>
      </c>
      <c r="C69" s="49">
        <f>IF(($E63&gt;0),C63,C62)</f>
        <v>0.83</v>
      </c>
      <c r="D69" s="49">
        <f>IF(($E63&gt;0),D63,D62)</f>
        <v>0</v>
      </c>
      <c r="E69" s="49">
        <f>MAX(C69:D69)</f>
        <v>0.83</v>
      </c>
      <c r="G69" s="1" t="str">
        <f>G63</f>
        <v>per 100 youth petitioned</v>
      </c>
      <c r="L69" s="58">
        <f>IF(($E63&gt;0),L63,L62)</f>
        <v>100</v>
      </c>
      <c r="M69" s="58">
        <f>IF((B69=G69),1,2)</f>
        <v>1</v>
      </c>
    </row>
    <row r="70" spans="2:13" ht="15" hidden="1" customHeight="1">
      <c r="B70" s="49" t="str">
        <f>IF(($E64&gt;0),B64,B63)</f>
        <v>per 100 youth found delinquent</v>
      </c>
      <c r="C70" s="49">
        <f>IF(($E64&gt;0),C64,C63)</f>
        <v>0.5</v>
      </c>
      <c r="D70" s="49">
        <f>IF(($E64&gt;0),D64,D63)</f>
        <v>0</v>
      </c>
      <c r="E70" s="56">
        <f>MAX(C70:D70)</f>
        <v>0.5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13866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4.3992499639405738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61</v>
      </c>
      <c r="Q7" s="42">
        <f>C6-C7</f>
        <v>13805</v>
      </c>
      <c r="R7" s="42">
        <f t="shared" ref="R7:R15" si="5">SUM(N7:Q7)</f>
        <v>13866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162</v>
      </c>
      <c r="D8" s="34">
        <f>IF((AND(C67&gt;0,C8&gt;0)),(C8/C67),0)</f>
        <v>265.57377049180326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162</v>
      </c>
      <c r="Q8" s="42">
        <f>(C$67*L67)-C8</f>
        <v>-101</v>
      </c>
      <c r="R8" s="42">
        <f t="shared" si="5"/>
        <v>61.050000000000011</v>
      </c>
      <c r="S8" s="30">
        <f t="shared" si="6"/>
        <v>4005.4905000000008</v>
      </c>
      <c r="T8" s="30">
        <f t="shared" si="7"/>
        <v>-49879.395000000004</v>
      </c>
      <c r="U8" s="31">
        <f t="shared" si="8"/>
        <v>-8.0303510096704264E-2</v>
      </c>
    </row>
    <row r="9" spans="2:21" ht="18" customHeight="1">
      <c r="B9" s="32" t="str">
        <f>'Data Entry'!A9</f>
        <v xml:space="preserve">4. Cases Diverted </v>
      </c>
      <c r="C9" s="33">
        <f>'Data Entry'!C9</f>
        <v>11</v>
      </c>
      <c r="D9" s="34">
        <f>IF((AND(C68&gt;0,C9&gt;0)),((C9/C68)),0)</f>
        <v>6.7901234567901234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151</v>
      </c>
      <c r="R9" s="42">
        <f t="shared" si="5"/>
        <v>162</v>
      </c>
      <c r="S9" s="30">
        <f t="shared" si="6"/>
        <v>0</v>
      </c>
      <c r="T9" s="30">
        <f t="shared" si="7"/>
        <v>0</v>
      </c>
      <c r="U9" s="31" t="str">
        <f t="shared" si="8"/>
        <v>- -</v>
      </c>
    </row>
    <row r="10" spans="2:21" ht="18" customHeight="1">
      <c r="B10" s="32" t="str">
        <f>'Data Entry'!A10</f>
        <v>5. Cases Involving Secure Detention</v>
      </c>
      <c r="C10" s="33">
        <f>'Data Entry'!C10</f>
        <v>8</v>
      </c>
      <c r="D10" s="34">
        <f>IF(((AND(C68&gt;0,C10&gt;0))),(C10/(C68)),0)</f>
        <v>4.9382716049382713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154</v>
      </c>
      <c r="R10" s="42">
        <f t="shared" si="5"/>
        <v>162</v>
      </c>
      <c r="S10" s="30">
        <f t="shared" si="6"/>
        <v>0</v>
      </c>
      <c r="T10" s="30">
        <f t="shared" si="7"/>
        <v>0</v>
      </c>
      <c r="U10" s="31" t="str">
        <f t="shared" si="8"/>
        <v>- -</v>
      </c>
    </row>
    <row r="11" spans="2:21" ht="18" customHeight="1">
      <c r="B11" s="32" t="str">
        <f>'Data Entry'!A11</f>
        <v>6. Cases Petitioned (Charge Filed)</v>
      </c>
      <c r="C11" s="33">
        <f>'Data Entry'!C11</f>
        <v>83</v>
      </c>
      <c r="D11" s="34">
        <f>IF(((AND(C68&gt;0,C11&gt;0))),(C11/(C68)),0)</f>
        <v>51.234567901234563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83</v>
      </c>
      <c r="Q11" s="42">
        <f>(C$68*L68)-C11</f>
        <v>79</v>
      </c>
      <c r="R11" s="42">
        <f t="shared" si="5"/>
        <v>162</v>
      </c>
      <c r="S11" s="30">
        <f t="shared" si="6"/>
        <v>0</v>
      </c>
      <c r="T11" s="30">
        <f t="shared" si="7"/>
        <v>0</v>
      </c>
      <c r="U11" s="31" t="str">
        <f t="shared" si="8"/>
        <v>- -</v>
      </c>
    </row>
    <row r="12" spans="2:21" ht="18" customHeight="1">
      <c r="B12" s="32" t="str">
        <f>'Data Entry'!A12</f>
        <v>7. Cases Resulting in Delinquent Findings</v>
      </c>
      <c r="C12" s="33">
        <f>'Data Entry'!C12</f>
        <v>50</v>
      </c>
      <c r="D12" s="34">
        <f>IF(((AND(C69&gt;0,C12&gt;0))),(C12/(C69)),0)</f>
        <v>60.24096385542169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50</v>
      </c>
      <c r="Q12" s="42">
        <f>(C69*L69)-C12</f>
        <v>33</v>
      </c>
      <c r="R12" s="42">
        <f t="shared" si="5"/>
        <v>83</v>
      </c>
      <c r="S12" s="30">
        <f t="shared" si="6"/>
        <v>0</v>
      </c>
      <c r="T12" s="30">
        <f t="shared" si="7"/>
        <v>0</v>
      </c>
      <c r="U12" s="31" t="str">
        <f t="shared" si="8"/>
        <v>- -</v>
      </c>
    </row>
    <row r="13" spans="2:21" ht="18" customHeight="1">
      <c r="B13" s="32" t="str">
        <f>'Data Entry'!A13</f>
        <v>8. Cases Resulting in Probation Placement</v>
      </c>
      <c r="C13" s="33">
        <f>'Data Entry'!C13</f>
        <v>128</v>
      </c>
      <c r="D13" s="34">
        <f>IF(((AND(C70&gt;0,C13&gt;0))),(C13/(C70)),0)</f>
        <v>256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128</v>
      </c>
      <c r="Q13" s="42">
        <f>(C70*L70)-C13</f>
        <v>-78</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22</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39</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83</v>
      </c>
      <c r="R15" s="42">
        <f t="shared" si="5"/>
        <v>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13.866</v>
      </c>
      <c r="D42" s="56">
        <f>E6/1000</f>
        <v>0</v>
      </c>
      <c r="E42" s="56">
        <f>MAX(C42:D42)</f>
        <v>13.866</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1.62</v>
      </c>
      <c r="D44" s="56">
        <f>E8/100</f>
        <v>0</v>
      </c>
      <c r="E44" s="56">
        <f>MAX(C44:D44,0)</f>
        <v>1.62</v>
      </c>
      <c r="G44" s="1" t="str">
        <f>B44</f>
        <v>per 100 referrals</v>
      </c>
      <c r="L44" s="57">
        <v>100</v>
      </c>
      <c r="M44" s="57"/>
      <c r="R44" s="49"/>
    </row>
    <row r="45" spans="2:18" ht="15" hidden="1" customHeight="1">
      <c r="B45" s="49" t="s">
        <v>89</v>
      </c>
      <c r="C45" s="49">
        <f>C11/100</f>
        <v>0.83</v>
      </c>
      <c r="D45" s="49">
        <f>E11/100</f>
        <v>0</v>
      </c>
      <c r="E45" s="56">
        <f>MAX(C45:D45,0)</f>
        <v>0.83</v>
      </c>
      <c r="G45" s="1" t="str">
        <f>B45</f>
        <v>per 100 youth petitioned</v>
      </c>
      <c r="L45" s="57">
        <v>100</v>
      </c>
      <c r="M45" s="57"/>
      <c r="R45" s="49"/>
    </row>
    <row r="46" spans="2:18" ht="15" hidden="1" customHeight="1">
      <c r="B46" s="49" t="s">
        <v>90</v>
      </c>
      <c r="C46" s="49">
        <f>C12/100</f>
        <v>0.5</v>
      </c>
      <c r="D46" s="49">
        <f>E12/100</f>
        <v>0</v>
      </c>
      <c r="E46" s="56">
        <f>MAX(C46:D46)</f>
        <v>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13.866</v>
      </c>
      <c r="D48" s="56">
        <f>D42</f>
        <v>0</v>
      </c>
      <c r="E48" s="56">
        <f>MAX(C48:D48)</f>
        <v>13.866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1.62</v>
      </c>
      <c r="D50" s="49">
        <f t="shared" si="9"/>
        <v>0</v>
      </c>
      <c r="E50" s="49">
        <f>MAX(C50:D50)</f>
        <v>1.62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0.83</v>
      </c>
      <c r="D51" s="49">
        <f>IF(($E45&gt;0),D45,D44)</f>
        <v>0</v>
      </c>
      <c r="E51" s="49">
        <f>MAX(C51:D51)</f>
        <v>0.83</v>
      </c>
      <c r="G51" s="1" t="str">
        <f>G45</f>
        <v>per 100 youth petitioned</v>
      </c>
      <c r="L51" s="58">
        <f>IF(($E45&gt;0),L45,L44)</f>
        <v>100</v>
      </c>
      <c r="M51" s="58"/>
    </row>
    <row r="52" spans="2:18" ht="15" hidden="1" customHeight="1">
      <c r="B52" s="49" t="str">
        <f>IF(($E46&gt;0),B46,B45)</f>
        <v>per 100 youth found delinquent</v>
      </c>
      <c r="C52" s="49">
        <f>IF(($E46&gt;0),C46,C45)</f>
        <v>0.5</v>
      </c>
      <c r="D52" s="49">
        <f>IF(($E46&gt;0),D46,D45)</f>
        <v>0</v>
      </c>
      <c r="E52" s="56">
        <f>MAX(C52:D52)</f>
        <v>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13.866</v>
      </c>
      <c r="D54" s="56">
        <f>D48</f>
        <v>0</v>
      </c>
      <c r="E54" s="56">
        <f>MAX(C54:D54)</f>
        <v>13.866</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1.62</v>
      </c>
      <c r="D56" s="49">
        <f t="shared" si="10"/>
        <v>0</v>
      </c>
      <c r="E56" s="49">
        <f>MAX(C56:D56)</f>
        <v>1.62</v>
      </c>
      <c r="G56" s="1" t="str">
        <f>G50</f>
        <v>per 100 referrals</v>
      </c>
      <c r="L56" s="58">
        <f>IF(($E50&gt;0),L50,L49)</f>
        <v>100</v>
      </c>
      <c r="M56" s="58"/>
    </row>
    <row r="57" spans="2:18" ht="15" hidden="1" customHeight="1">
      <c r="B57" s="49" t="str">
        <f>IF(($E51&gt;0),B51,B49)</f>
        <v>per 100 youth petitioned</v>
      </c>
      <c r="C57" s="49">
        <f>IF(($E51&gt;0),C51,C50)</f>
        <v>0.83</v>
      </c>
      <c r="D57" s="49">
        <f>IF(($E51&gt;0),D51,D50)</f>
        <v>0</v>
      </c>
      <c r="E57" s="49">
        <f>MAX(C57:D57)</f>
        <v>0.83</v>
      </c>
      <c r="G57" s="1" t="str">
        <f>G51</f>
        <v>per 100 youth petitioned</v>
      </c>
      <c r="L57" s="58">
        <f>IF(($E51&gt;0),L51,L50)</f>
        <v>100</v>
      </c>
      <c r="M57" s="58"/>
    </row>
    <row r="58" spans="2:18" ht="15" hidden="1" customHeight="1">
      <c r="B58" s="49" t="str">
        <f>IF(($E52&gt;0),B52,B51)</f>
        <v>per 100 youth found delinquent</v>
      </c>
      <c r="C58" s="49">
        <f>IF(($E52&gt;0),C52,C51)</f>
        <v>0.5</v>
      </c>
      <c r="D58" s="49">
        <f>IF(($E52&gt;0),D52,D51)</f>
        <v>0</v>
      </c>
      <c r="E58" s="56">
        <f>MAX(C58:D58)</f>
        <v>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13.866</v>
      </c>
      <c r="D60" s="56">
        <f>D54</f>
        <v>0</v>
      </c>
      <c r="E60" s="56">
        <f>MAX(C60:D60)</f>
        <v>13.866</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1.62</v>
      </c>
      <c r="D62" s="49">
        <f t="shared" si="11"/>
        <v>0</v>
      </c>
      <c r="E62" s="49">
        <f>MAX(C62:D62)</f>
        <v>1.62</v>
      </c>
      <c r="G62" s="1" t="str">
        <f>G56</f>
        <v>per 100 referrals</v>
      </c>
      <c r="L62" s="58">
        <f>IF(($E56&gt;0),L56,L55)</f>
        <v>100</v>
      </c>
      <c r="M62" s="58"/>
    </row>
    <row r="63" spans="2:18" ht="15" hidden="1" customHeight="1">
      <c r="B63" s="49" t="str">
        <f>IF(($E57&gt;0),B57,B55)</f>
        <v>per 100 youth petitioned</v>
      </c>
      <c r="C63" s="49">
        <f>IF(($E57&gt;0),C57,C56)</f>
        <v>0.83</v>
      </c>
      <c r="D63" s="49">
        <f>IF(($E57&gt;0),D57,D56)</f>
        <v>0</v>
      </c>
      <c r="E63" s="49">
        <f>MAX(C63:D63)</f>
        <v>0.83</v>
      </c>
      <c r="G63" s="1" t="str">
        <f>G57</f>
        <v>per 100 youth petitioned</v>
      </c>
      <c r="L63" s="58">
        <f>IF(($E57&gt;0),L57,L56)</f>
        <v>100</v>
      </c>
      <c r="M63" s="58"/>
    </row>
    <row r="64" spans="2:18" ht="15" hidden="1" customHeight="1">
      <c r="B64" s="49" t="str">
        <f>IF(($E58&gt;0),B58,B57)</f>
        <v>per 100 youth found delinquent</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13.866</v>
      </c>
      <c r="D66" s="56">
        <f>D60</f>
        <v>0</v>
      </c>
      <c r="E66" s="56">
        <f>MAX(C66:D66)</f>
        <v>13.866</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1.62</v>
      </c>
      <c r="D68" s="49">
        <f t="shared" si="12"/>
        <v>0</v>
      </c>
      <c r="E68" s="49">
        <f>MAX(C68:D68)</f>
        <v>1.62</v>
      </c>
      <c r="G68" s="1" t="str">
        <f>G62</f>
        <v>per 100 referrals</v>
      </c>
      <c r="L68" s="58">
        <f>IF(($E62&gt;0),L62,L61)</f>
        <v>100</v>
      </c>
      <c r="M68" s="58">
        <f>IF((B68=G68),1,2)</f>
        <v>1</v>
      </c>
    </row>
    <row r="69" spans="2:13" ht="15" hidden="1" customHeight="1">
      <c r="B69" s="49" t="str">
        <f>IF(($E63&gt;0),B63,B61)</f>
        <v>per 100 youth petitioned</v>
      </c>
      <c r="C69" s="49">
        <f>IF(($E63&gt;0),C63,C62)</f>
        <v>0.83</v>
      </c>
      <c r="D69" s="49">
        <f>IF(($E63&gt;0),D63,D62)</f>
        <v>0</v>
      </c>
      <c r="E69" s="49">
        <f>MAX(C69:D69)</f>
        <v>0.83</v>
      </c>
      <c r="G69" s="1" t="str">
        <f>G63</f>
        <v>per 100 youth petitioned</v>
      </c>
      <c r="L69" s="58">
        <f>IF(($E63&gt;0),L63,L62)</f>
        <v>100</v>
      </c>
      <c r="M69" s="58">
        <f>IF((B69=G69),1,2)</f>
        <v>1</v>
      </c>
    </row>
    <row r="70" spans="2:13" ht="15" hidden="1" customHeight="1">
      <c r="B70" s="49" t="str">
        <f>IF(($E64&gt;0),B64,B63)</f>
        <v>per 100 youth found delinquent</v>
      </c>
      <c r="C70" s="49">
        <f>IF(($E64&gt;0),C64,C63)</f>
        <v>0.5</v>
      </c>
      <c r="D70" s="49">
        <f>IF(($E64&gt;0),D64,D63)</f>
        <v>0</v>
      </c>
      <c r="E70" s="56">
        <f>MAX(C70:D70)</f>
        <v>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Clair</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13866</v>
      </c>
      <c r="D6" s="34"/>
      <c r="E6" s="33">
        <f>'Data Entry'!H6</f>
        <v>99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61</v>
      </c>
      <c r="D7" s="34">
        <f>IF((AND(C66&gt;0,C7&gt;0)),(C7/C66),0)</f>
        <v>4.3992499639405738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99</v>
      </c>
      <c r="P7" s="42">
        <f t="shared" ref="P7:P15" si="4">C7</f>
        <v>61</v>
      </c>
      <c r="Q7" s="42">
        <f>C6-C7</f>
        <v>13805</v>
      </c>
      <c r="R7" s="42">
        <f t="shared" ref="R7:R15" si="5">SUM(N7:Q7)</f>
        <v>13965</v>
      </c>
      <c r="S7" s="30">
        <f t="shared" ref="S7:S15" si="6">R7*((((N7*Q7)-(O7*P7))^2))</f>
        <v>509296860765</v>
      </c>
      <c r="T7" s="30">
        <f t="shared" ref="T7:T15" si="7">(N7+O7)*(P7+Q7)*(N7+P7)*(O7+Q7)</f>
        <v>1164276105696</v>
      </c>
      <c r="U7" s="31">
        <f t="shared" ref="U7:U15" si="8">IF((S7&gt;0),S7/T7,"- -")</f>
        <v>0.43743649661223977</v>
      </c>
    </row>
    <row r="8" spans="2:21" ht="18" customHeight="1">
      <c r="B8" s="32" t="str">
        <f>'Data Entry'!A8</f>
        <v>3. Refer to Juvenile Court</v>
      </c>
      <c r="C8" s="33">
        <f>'Data Entry'!C8</f>
        <v>162</v>
      </c>
      <c r="D8" s="34">
        <f>IF((AND(C67&gt;0,C8&gt;0)),(C8/C67),0)</f>
        <v>265.57377049180326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162</v>
      </c>
      <c r="Q8" s="42">
        <f>(C$67*L67)-C8</f>
        <v>-101</v>
      </c>
      <c r="R8" s="42">
        <f t="shared" si="5"/>
        <v>61.050000000000011</v>
      </c>
      <c r="S8" s="30">
        <f t="shared" si="6"/>
        <v>4005.4905000000008</v>
      </c>
      <c r="T8" s="30">
        <f t="shared" si="7"/>
        <v>-49879.395000000004</v>
      </c>
      <c r="U8" s="31">
        <f t="shared" si="8"/>
        <v>-8.0303510096704264E-2</v>
      </c>
    </row>
    <row r="9" spans="2:21" ht="18" customHeight="1">
      <c r="B9" s="32" t="str">
        <f>'Data Entry'!A9</f>
        <v xml:space="preserve">4. Cases Diverted </v>
      </c>
      <c r="C9" s="33">
        <f>'Data Entry'!C9</f>
        <v>11</v>
      </c>
      <c r="D9" s="34">
        <f>IF((AND(C68&gt;0,C9&gt;0)),((C9/C68)),0)</f>
        <v>6.7901234567901234</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v>
      </c>
      <c r="Q9" s="42">
        <f>(C$68*L68)-C9</f>
        <v>151</v>
      </c>
      <c r="R9" s="42">
        <f t="shared" si="5"/>
        <v>162</v>
      </c>
      <c r="S9" s="30">
        <f t="shared" si="6"/>
        <v>0</v>
      </c>
      <c r="T9" s="30">
        <f t="shared" si="7"/>
        <v>0</v>
      </c>
      <c r="U9" s="31" t="str">
        <f t="shared" si="8"/>
        <v>- -</v>
      </c>
    </row>
    <row r="10" spans="2:21" ht="18" customHeight="1">
      <c r="B10" s="32" t="str">
        <f>'Data Entry'!A10</f>
        <v>5. Cases Involving Secure Detention</v>
      </c>
      <c r="C10" s="33">
        <f>'Data Entry'!C10</f>
        <v>8</v>
      </c>
      <c r="D10" s="34">
        <f>IF(((AND(C68&gt;0,C10&gt;0))),(C10/(C68)),0)</f>
        <v>4.9382716049382713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154</v>
      </c>
      <c r="R10" s="42">
        <f t="shared" si="5"/>
        <v>162</v>
      </c>
      <c r="S10" s="30">
        <f t="shared" si="6"/>
        <v>0</v>
      </c>
      <c r="T10" s="30">
        <f t="shared" si="7"/>
        <v>0</v>
      </c>
      <c r="U10" s="31" t="str">
        <f t="shared" si="8"/>
        <v>- -</v>
      </c>
    </row>
    <row r="11" spans="2:21" ht="18" customHeight="1">
      <c r="B11" s="32" t="str">
        <f>'Data Entry'!A11</f>
        <v>6. Cases Petitioned (Charge Filed)</v>
      </c>
      <c r="C11" s="33">
        <f>'Data Entry'!C11</f>
        <v>83</v>
      </c>
      <c r="D11" s="34">
        <f>IF(((AND(C68&gt;0,C11&gt;0))),(C11/(C68)),0)</f>
        <v>51.234567901234563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83</v>
      </c>
      <c r="Q11" s="42">
        <f>(C$68*L68)-C11</f>
        <v>79</v>
      </c>
      <c r="R11" s="42">
        <f t="shared" si="5"/>
        <v>162</v>
      </c>
      <c r="S11" s="30">
        <f t="shared" si="6"/>
        <v>0</v>
      </c>
      <c r="T11" s="30">
        <f t="shared" si="7"/>
        <v>0</v>
      </c>
      <c r="U11" s="31" t="str">
        <f t="shared" si="8"/>
        <v>- -</v>
      </c>
    </row>
    <row r="12" spans="2:21" ht="18" customHeight="1">
      <c r="B12" s="32" t="str">
        <f>'Data Entry'!A12</f>
        <v>7. Cases Resulting in Delinquent Findings</v>
      </c>
      <c r="C12" s="33">
        <f>'Data Entry'!C12</f>
        <v>50</v>
      </c>
      <c r="D12" s="34">
        <f>IF(((AND(C69&gt;0,C12&gt;0))),(C12/(C69)),0)</f>
        <v>60.24096385542169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50</v>
      </c>
      <c r="Q12" s="42">
        <f>(C69*L69)-C12</f>
        <v>33</v>
      </c>
      <c r="R12" s="42">
        <f t="shared" si="5"/>
        <v>83</v>
      </c>
      <c r="S12" s="30">
        <f t="shared" si="6"/>
        <v>0</v>
      </c>
      <c r="T12" s="30">
        <f t="shared" si="7"/>
        <v>0</v>
      </c>
      <c r="U12" s="31" t="str">
        <f t="shared" si="8"/>
        <v>- -</v>
      </c>
    </row>
    <row r="13" spans="2:21" ht="18" customHeight="1">
      <c r="B13" s="32" t="str">
        <f>'Data Entry'!A13</f>
        <v>8. Cases Resulting in Probation Placement</v>
      </c>
      <c r="C13" s="33">
        <f>'Data Entry'!C13</f>
        <v>128</v>
      </c>
      <c r="D13" s="34">
        <f>IF(((AND(C70&gt;0,C13&gt;0))),(C13/(C70)),0)</f>
        <v>256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128</v>
      </c>
      <c r="Q13" s="42">
        <f>(C70*L70)-C13</f>
        <v>-78</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22</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39</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83</v>
      </c>
      <c r="R15" s="42">
        <f t="shared" si="5"/>
        <v>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13.866</v>
      </c>
      <c r="D42" s="56">
        <f>E6/1000</f>
        <v>9.9000000000000005E-2</v>
      </c>
      <c r="E42" s="56">
        <f>MAX(C42:D42)</f>
        <v>13.866</v>
      </c>
      <c r="G42" s="1" t="str">
        <f>B42</f>
        <v>per 1000 youth</v>
      </c>
      <c r="L42" s="57">
        <v>1000</v>
      </c>
      <c r="M42" s="57"/>
      <c r="R42" s="49"/>
    </row>
    <row r="43" spans="2:18" ht="15" hidden="1" customHeight="1">
      <c r="B43" s="49" t="s">
        <v>87</v>
      </c>
      <c r="C43" s="56">
        <f>C7/100</f>
        <v>0.61</v>
      </c>
      <c r="D43" s="56">
        <f>E7/100</f>
        <v>0</v>
      </c>
      <c r="E43" s="56">
        <f>MAX(C43:D43,0)</f>
        <v>0.61</v>
      </c>
      <c r="G43" s="1" t="str">
        <f>B43</f>
        <v>per 100 arrests</v>
      </c>
      <c r="L43" s="57">
        <v>100</v>
      </c>
      <c r="M43" s="57"/>
      <c r="R43" s="49"/>
    </row>
    <row r="44" spans="2:18" ht="15" hidden="1" customHeight="1">
      <c r="B44" s="49" t="s">
        <v>88</v>
      </c>
      <c r="C44" s="56">
        <f>C8/100</f>
        <v>1.62</v>
      </c>
      <c r="D44" s="56">
        <f>E8/100</f>
        <v>0</v>
      </c>
      <c r="E44" s="56">
        <f>MAX(C44:D44,0)</f>
        <v>1.62</v>
      </c>
      <c r="G44" s="1" t="str">
        <f>B44</f>
        <v>per 100 referrals</v>
      </c>
      <c r="L44" s="57">
        <v>100</v>
      </c>
      <c r="M44" s="57"/>
      <c r="R44" s="49"/>
    </row>
    <row r="45" spans="2:18" ht="15" hidden="1" customHeight="1">
      <c r="B45" s="49" t="s">
        <v>89</v>
      </c>
      <c r="C45" s="49">
        <f>C11/100</f>
        <v>0.83</v>
      </c>
      <c r="D45" s="49">
        <f>E11/100</f>
        <v>0</v>
      </c>
      <c r="E45" s="56">
        <f>MAX(C45:D45,0)</f>
        <v>0.83</v>
      </c>
      <c r="G45" s="1" t="str">
        <f>B45</f>
        <v>per 100 youth petitioned</v>
      </c>
      <c r="L45" s="57">
        <v>100</v>
      </c>
      <c r="M45" s="57"/>
      <c r="R45" s="49"/>
    </row>
    <row r="46" spans="2:18" ht="15" hidden="1" customHeight="1">
      <c r="B46" s="49" t="s">
        <v>90</v>
      </c>
      <c r="C46" s="49">
        <f>C12/100</f>
        <v>0.5</v>
      </c>
      <c r="D46" s="49">
        <f>E12/100</f>
        <v>0</v>
      </c>
      <c r="E46" s="56">
        <f>MAX(C46:D46)</f>
        <v>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13.866</v>
      </c>
      <c r="D48" s="56">
        <f>D42</f>
        <v>9.9000000000000005E-2</v>
      </c>
      <c r="E48" s="56">
        <f>MAX(C48:D48)</f>
        <v>13.866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0.61</v>
      </c>
      <c r="D49" s="49">
        <f t="shared" si="9"/>
        <v>0</v>
      </c>
      <c r="E49" s="49">
        <f>MAX(C49:D49)</f>
        <v>0.61</v>
      </c>
      <c r="G49" s="1" t="str">
        <f>G43</f>
        <v>per 100 arrests</v>
      </c>
      <c r="L49" s="58">
        <f>IF(($E43&gt;0),L43,L42)</f>
        <v>100</v>
      </c>
      <c r="M49" s="58"/>
      <c r="N49" s="21"/>
      <c r="O49" s="21"/>
      <c r="P49" s="21"/>
      <c r="Q49" s="21"/>
      <c r="R49" s="21"/>
    </row>
    <row r="50" spans="2:18" ht="15" hidden="1" customHeight="1">
      <c r="B50" s="49" t="str">
        <f t="shared" si="9"/>
        <v>per 100 referrals</v>
      </c>
      <c r="C50" s="49">
        <f t="shared" si="9"/>
        <v>1.62</v>
      </c>
      <c r="D50" s="49">
        <f t="shared" si="9"/>
        <v>0</v>
      </c>
      <c r="E50" s="49">
        <f>MAX(C50:D50)</f>
        <v>1.62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0.83</v>
      </c>
      <c r="D51" s="49">
        <f>IF(($E45&gt;0),D45,D44)</f>
        <v>0</v>
      </c>
      <c r="E51" s="49">
        <f>MAX(C51:D51)</f>
        <v>0.83</v>
      </c>
      <c r="G51" s="1" t="str">
        <f>G45</f>
        <v>per 100 youth petitioned</v>
      </c>
      <c r="L51" s="58">
        <f>IF(($E45&gt;0),L45,L44)</f>
        <v>100</v>
      </c>
      <c r="M51" s="58"/>
    </row>
    <row r="52" spans="2:18" ht="15" hidden="1" customHeight="1">
      <c r="B52" s="49" t="str">
        <f>IF(($E46&gt;0),B46,B45)</f>
        <v>per 100 youth found delinquent</v>
      </c>
      <c r="C52" s="49">
        <f>IF(($E46&gt;0),C46,C45)</f>
        <v>0.5</v>
      </c>
      <c r="D52" s="49">
        <f>IF(($E46&gt;0),D46,D45)</f>
        <v>0</v>
      </c>
      <c r="E52" s="56">
        <f>MAX(C52:D52)</f>
        <v>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13.866</v>
      </c>
      <c r="D54" s="56">
        <f>D48</f>
        <v>9.9000000000000005E-2</v>
      </c>
      <c r="E54" s="56">
        <f>MAX(C54:D54)</f>
        <v>13.866</v>
      </c>
      <c r="G54" s="1" t="str">
        <f>G48</f>
        <v>per 1000 youth</v>
      </c>
      <c r="L54" s="58">
        <f>L48</f>
        <v>1000</v>
      </c>
      <c r="M54" s="58"/>
    </row>
    <row r="55" spans="2:18" ht="15" hidden="1" customHeight="1">
      <c r="B55" s="49" t="str">
        <f t="shared" ref="B55:D56" si="10">IF(($E49&gt;0),B49,B48)</f>
        <v>per 100 arrests</v>
      </c>
      <c r="C55" s="49">
        <f t="shared" si="10"/>
        <v>0.61</v>
      </c>
      <c r="D55" s="49">
        <f t="shared" si="10"/>
        <v>0</v>
      </c>
      <c r="E55" s="49">
        <f>MAX(C55:D55)</f>
        <v>0.61</v>
      </c>
      <c r="G55" s="1" t="str">
        <f>G49</f>
        <v>per 100 arrests</v>
      </c>
      <c r="L55" s="58">
        <f>IF(($E49&gt;0),L49,L48)</f>
        <v>100</v>
      </c>
      <c r="M55" s="58"/>
    </row>
    <row r="56" spans="2:18" ht="15" hidden="1" customHeight="1">
      <c r="B56" s="49" t="str">
        <f t="shared" si="10"/>
        <v>per 100 referrals</v>
      </c>
      <c r="C56" s="49">
        <f t="shared" si="10"/>
        <v>1.62</v>
      </c>
      <c r="D56" s="49">
        <f t="shared" si="10"/>
        <v>0</v>
      </c>
      <c r="E56" s="49">
        <f>MAX(C56:D56)</f>
        <v>1.62</v>
      </c>
      <c r="G56" s="1" t="str">
        <f>G50</f>
        <v>per 100 referrals</v>
      </c>
      <c r="L56" s="58">
        <f>IF(($E50&gt;0),L50,L49)</f>
        <v>100</v>
      </c>
      <c r="M56" s="58"/>
    </row>
    <row r="57" spans="2:18" ht="15" hidden="1" customHeight="1">
      <c r="B57" s="49" t="str">
        <f>IF(($E51&gt;0),B51,B49)</f>
        <v>per 100 youth petitioned</v>
      </c>
      <c r="C57" s="49">
        <f>IF(($E51&gt;0),C51,C50)</f>
        <v>0.83</v>
      </c>
      <c r="D57" s="49">
        <f>IF(($E51&gt;0),D51,D50)</f>
        <v>0</v>
      </c>
      <c r="E57" s="49">
        <f>MAX(C57:D57)</f>
        <v>0.83</v>
      </c>
      <c r="G57" s="1" t="str">
        <f>G51</f>
        <v>per 100 youth petitioned</v>
      </c>
      <c r="L57" s="58">
        <f>IF(($E51&gt;0),L51,L50)</f>
        <v>100</v>
      </c>
      <c r="M57" s="58"/>
    </row>
    <row r="58" spans="2:18" ht="15" hidden="1" customHeight="1">
      <c r="B58" s="49" t="str">
        <f>IF(($E52&gt;0),B52,B51)</f>
        <v>per 100 youth found delinquent</v>
      </c>
      <c r="C58" s="49">
        <f>IF(($E52&gt;0),C52,C51)</f>
        <v>0.5</v>
      </c>
      <c r="D58" s="49">
        <f>IF(($E52&gt;0),D52,D51)</f>
        <v>0</v>
      </c>
      <c r="E58" s="56">
        <f>MAX(C58:D58)</f>
        <v>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13.866</v>
      </c>
      <c r="D60" s="56">
        <f>D54</f>
        <v>9.9000000000000005E-2</v>
      </c>
      <c r="E60" s="56">
        <f>MAX(C60:D60)</f>
        <v>13.866</v>
      </c>
      <c r="G60" s="1" t="str">
        <f>G54</f>
        <v>per 1000 youth</v>
      </c>
      <c r="L60" s="58">
        <f>L54</f>
        <v>1000</v>
      </c>
      <c r="M60" s="58"/>
    </row>
    <row r="61" spans="2:18" ht="15" hidden="1" customHeight="1">
      <c r="B61" s="49" t="str">
        <f t="shared" ref="B61:D62" si="11">IF(($E55&gt;0),B55,B54)</f>
        <v>per 100 arrests</v>
      </c>
      <c r="C61" s="49">
        <f t="shared" si="11"/>
        <v>0.61</v>
      </c>
      <c r="D61" s="49">
        <f t="shared" si="11"/>
        <v>0</v>
      </c>
      <c r="E61" s="49">
        <f>MAX(C61:D61)</f>
        <v>0.61</v>
      </c>
      <c r="G61" s="1" t="str">
        <f>G55</f>
        <v>per 100 arrests</v>
      </c>
      <c r="L61" s="58">
        <f>IF(($E55&gt;0),L55,L54)</f>
        <v>100</v>
      </c>
      <c r="M61" s="58"/>
    </row>
    <row r="62" spans="2:18" ht="15" hidden="1" customHeight="1">
      <c r="B62" s="49" t="str">
        <f t="shared" si="11"/>
        <v>per 100 referrals</v>
      </c>
      <c r="C62" s="49">
        <f t="shared" si="11"/>
        <v>1.62</v>
      </c>
      <c r="D62" s="49">
        <f t="shared" si="11"/>
        <v>0</v>
      </c>
      <c r="E62" s="49">
        <f>MAX(C62:D62)</f>
        <v>1.62</v>
      </c>
      <c r="G62" s="1" t="str">
        <f>G56</f>
        <v>per 100 referrals</v>
      </c>
      <c r="L62" s="58">
        <f>IF(($E56&gt;0),L56,L55)</f>
        <v>100</v>
      </c>
      <c r="M62" s="58"/>
    </row>
    <row r="63" spans="2:18" ht="15" hidden="1" customHeight="1">
      <c r="B63" s="49" t="str">
        <f>IF(($E57&gt;0),B57,B55)</f>
        <v>per 100 youth petitioned</v>
      </c>
      <c r="C63" s="49">
        <f>IF(($E57&gt;0),C57,C56)</f>
        <v>0.83</v>
      </c>
      <c r="D63" s="49">
        <f>IF(($E57&gt;0),D57,D56)</f>
        <v>0</v>
      </c>
      <c r="E63" s="49">
        <f>MAX(C63:D63)</f>
        <v>0.83</v>
      </c>
      <c r="G63" s="1" t="str">
        <f>G57</f>
        <v>per 100 youth petitioned</v>
      </c>
      <c r="L63" s="58">
        <f>IF(($E57&gt;0),L57,L56)</f>
        <v>100</v>
      </c>
      <c r="M63" s="58"/>
    </row>
    <row r="64" spans="2:18" ht="15" hidden="1" customHeight="1">
      <c r="B64" s="49" t="str">
        <f>IF(($E58&gt;0),B58,B57)</f>
        <v>per 100 youth found delinquent</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13.866</v>
      </c>
      <c r="D66" s="56">
        <f>D60</f>
        <v>9.9000000000000005E-2</v>
      </c>
      <c r="E66" s="56">
        <f>MAX(C66:D66)</f>
        <v>13.866</v>
      </c>
      <c r="G66" s="1" t="str">
        <f>G60</f>
        <v>per 1000 youth</v>
      </c>
      <c r="L66" s="58">
        <f>L60</f>
        <v>1000</v>
      </c>
      <c r="M66" s="58">
        <f>IF((B66=G66),1,2)</f>
        <v>1</v>
      </c>
    </row>
    <row r="67" spans="2:13" ht="15" hidden="1" customHeight="1">
      <c r="B67" s="49" t="str">
        <f t="shared" ref="B67:D68" si="12">IF(($E61&gt;0),B61,B60)</f>
        <v>per 100 arrests</v>
      </c>
      <c r="C67" s="49">
        <f t="shared" si="12"/>
        <v>0.61</v>
      </c>
      <c r="D67" s="49">
        <f t="shared" si="12"/>
        <v>0</v>
      </c>
      <c r="E67" s="49">
        <f>MAX(C67:D67)</f>
        <v>0.61</v>
      </c>
      <c r="G67" s="1" t="str">
        <f>G61</f>
        <v>per 100 arrests</v>
      </c>
      <c r="L67" s="58">
        <f>IF(($E61&gt;0),L61,L60)</f>
        <v>100</v>
      </c>
      <c r="M67" s="58">
        <f>IF((B67=G67),1,2)</f>
        <v>1</v>
      </c>
    </row>
    <row r="68" spans="2:13" ht="15" hidden="1" customHeight="1">
      <c r="B68" s="49" t="str">
        <f t="shared" si="12"/>
        <v>per 100 referrals</v>
      </c>
      <c r="C68" s="49">
        <f t="shared" si="12"/>
        <v>1.62</v>
      </c>
      <c r="D68" s="49">
        <f t="shared" si="12"/>
        <v>0</v>
      </c>
      <c r="E68" s="49">
        <f>MAX(C68:D68)</f>
        <v>1.62</v>
      </c>
      <c r="G68" s="1" t="str">
        <f>G62</f>
        <v>per 100 referrals</v>
      </c>
      <c r="L68" s="58">
        <f>IF(($E62&gt;0),L62,L61)</f>
        <v>100</v>
      </c>
      <c r="M68" s="58">
        <f>IF((B68=G68),1,2)</f>
        <v>1</v>
      </c>
    </row>
    <row r="69" spans="2:13" ht="15" hidden="1" customHeight="1">
      <c r="B69" s="49" t="str">
        <f>IF(($E63&gt;0),B63,B61)</f>
        <v>per 100 youth petitioned</v>
      </c>
      <c r="C69" s="49">
        <f>IF(($E63&gt;0),C63,C62)</f>
        <v>0.83</v>
      </c>
      <c r="D69" s="49">
        <f>IF(($E63&gt;0),D63,D62)</f>
        <v>0</v>
      </c>
      <c r="E69" s="49">
        <f>MAX(C69:D69)</f>
        <v>0.83</v>
      </c>
      <c r="G69" s="1" t="str">
        <f>G63</f>
        <v>per 100 youth petitioned</v>
      </c>
      <c r="L69" s="58">
        <f>IF(($E63&gt;0),L63,L62)</f>
        <v>100</v>
      </c>
      <c r="M69" s="58">
        <f>IF((B69=G69),1,2)</f>
        <v>1</v>
      </c>
    </row>
    <row r="70" spans="2:13" ht="15" hidden="1" customHeight="1">
      <c r="B70" s="49" t="str">
        <f>IF(($E64&gt;0),B64,B63)</f>
        <v>per 100 youth found delinquent</v>
      </c>
      <c r="C70" s="49">
        <f>IF(($E64&gt;0),C64,C63)</f>
        <v>0.5</v>
      </c>
      <c r="D70" s="49">
        <f>IF(($E64&gt;0),D64,D63)</f>
        <v>0</v>
      </c>
      <c r="E70" s="56">
        <f>MAX(C70:D70)</f>
        <v>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U47JMPN4QEAR-1806752177-35393</_dlc_DocId>
    <_dlc_DocIdUrl xmlns="ac3811b5-0f3e-49e2-ba69-f2ffa0c782af">
      <Url>https://michiganphi.sharepoint.com/sites/CMDMC/_layouts/15/DocIdRedir.aspx?ID=U47JMPN4QEAR-1806752177-35393</Url>
      <Description>U47JMPN4QEAR-1806752177-35393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1CE255D-87CB-4E51-AFBD-FE25FB405EBC}"/>
</file>

<file path=customXml/itemProps2.xml><?xml version="1.0" encoding="utf-8"?>
<ds:datastoreItem xmlns:ds="http://schemas.openxmlformats.org/officeDocument/2006/customXml" ds:itemID="{7E7FF382-2F65-4FE8-91A5-E8C0B3F6CADB}">
  <ds:schemaRefs>
    <ds:schemaRef ds:uri="http://schemas.microsoft.com/sharepoint/v3/contenttype/forms"/>
  </ds:schemaRefs>
</ds:datastoreItem>
</file>

<file path=customXml/itemProps3.xml><?xml version="1.0" encoding="utf-8"?>
<ds:datastoreItem xmlns:ds="http://schemas.openxmlformats.org/officeDocument/2006/customXml" ds:itemID="{C5CF5655-69FE-4E5F-9C11-50C9DB30C03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E64D1ADA-31E4-4690-B0EB-75010D55D2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253b698e-0c7b-4292-9c56-d7d1cb2be9f5</vt:lpwstr>
  </property>
</Properties>
</file>