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A8CE5ED3-E5FC-4830-BF0B-23F6EDCC1876}" xr6:coauthVersionLast="47" xr6:coauthVersionMax="47" xr10:uidLastSave="{547AEFF1-39FB-4B96-9C7F-1BBD0FEF467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s="1"/>
  <c r="G69" i="3" s="1"/>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G52" i="4" s="1"/>
  <c r="G58" i="4" s="1"/>
  <c r="G64" i="4" s="1"/>
  <c r="G70" i="4" s="1"/>
  <c r="L48" i="4"/>
  <c r="L54" i="4" s="1"/>
  <c r="L60" i="4" s="1"/>
  <c r="L66" i="4" s="1"/>
  <c r="G50" i="4"/>
  <c r="G56" i="4" s="1"/>
  <c r="G62" i="4" s="1"/>
  <c r="G68"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51" i="5" s="1"/>
  <c r="G57" i="5" s="1"/>
  <c r="G63" i="5" s="1"/>
  <c r="G69" i="5" s="1"/>
  <c r="G46" i="5"/>
  <c r="G52" i="5" s="1"/>
  <c r="G58" i="5" s="1"/>
  <c r="G64" i="5" s="1"/>
  <c r="G70" i="5" s="1"/>
  <c r="G48" i="5"/>
  <c r="G54" i="5"/>
  <c r="G60" i="5"/>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4"/>
  <c r="M66" i="4"/>
  <c r="M66" i="8"/>
  <c r="F27" i="8"/>
  <c r="M66" i="7"/>
  <c r="F27" i="7"/>
  <c r="F27" i="6"/>
  <c r="M66" i="6"/>
  <c r="F27" i="2"/>
  <c r="M66" i="2"/>
  <c r="M66" i="3"/>
  <c r="F27"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L52" i="7" s="1"/>
  <c r="E46" i="3"/>
  <c r="L52" i="3" s="1"/>
  <c r="E43" i="7"/>
  <c r="L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D52" i="7"/>
  <c r="B52" i="7"/>
  <c r="B52" i="3"/>
  <c r="D49" i="7"/>
  <c r="C49" i="7"/>
  <c r="E49" i="7" s="1"/>
  <c r="D50" i="5"/>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8" i="5"/>
  <c r="C54" i="5"/>
  <c r="C54" i="6"/>
  <c r="E48" i="6"/>
  <c r="B51" i="6"/>
  <c r="D51" i="6"/>
  <c r="C51" i="6"/>
  <c r="L51" i="6"/>
  <c r="E49" i="5" l="1"/>
  <c r="E52" i="7"/>
  <c r="L51" i="2"/>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B64" i="5"/>
  <c r="L64" i="5"/>
  <c r="E58" i="8"/>
  <c r="L64" i="8" s="1"/>
  <c r="D64" i="5"/>
  <c r="L64" i="3"/>
  <c r="B56" i="8"/>
  <c r="L56" i="8"/>
  <c r="C57"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B64" i="8"/>
  <c r="D64" i="8"/>
  <c r="C64" i="8"/>
  <c r="E57" i="8"/>
  <c r="L63" i="8" s="1"/>
  <c r="I7" i="9"/>
  <c r="Q8" i="13"/>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70" i="8" s="1"/>
  <c r="C63" i="8"/>
  <c r="D63" i="8"/>
  <c r="B63" i="8"/>
  <c r="L69" i="7"/>
  <c r="C69" i="7"/>
  <c r="D12" i="7" s="1"/>
  <c r="C70" i="6"/>
  <c r="D14" i="6" s="1"/>
  <c r="L70" i="6"/>
  <c r="D70" i="6"/>
  <c r="F14" i="6" s="1"/>
  <c r="C70" i="3"/>
  <c r="D14" i="3" s="1"/>
  <c r="E63" i="3"/>
  <c r="C69" i="3" s="1"/>
  <c r="D15" i="3" s="1"/>
  <c r="L70" i="3"/>
  <c r="B70" i="3"/>
  <c r="M70"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C70" i="8" l="1"/>
  <c r="Q13" i="8" s="1"/>
  <c r="F13" i="6"/>
  <c r="D70" i="8"/>
  <c r="F13" i="8" s="1"/>
  <c r="B70" i="8"/>
  <c r="M70" i="8" s="1"/>
  <c r="E63" i="8"/>
  <c r="D69" i="8" s="1"/>
  <c r="F15" i="8" s="1"/>
  <c r="F14" i="3"/>
  <c r="D15" i="7"/>
  <c r="Q12" i="7"/>
  <c r="Q13" i="6"/>
  <c r="Q15" i="7"/>
  <c r="E70" i="3"/>
  <c r="Q14" i="6"/>
  <c r="D13" i="6"/>
  <c r="E70" i="6"/>
  <c r="O12" i="7"/>
  <c r="O13" i="6"/>
  <c r="O14" i="6"/>
  <c r="B69" i="6"/>
  <c r="M69" i="6" s="1"/>
  <c r="C69" i="6"/>
  <c r="D12" i="6" s="1"/>
  <c r="D12" i="3"/>
  <c r="E69" i="7"/>
  <c r="O15" i="7"/>
  <c r="Q14" i="3"/>
  <c r="O13" i="3"/>
  <c r="Q13" i="3"/>
  <c r="D13" i="3"/>
  <c r="F12" i="7"/>
  <c r="L69" i="3"/>
  <c r="Q12" i="3" s="1"/>
  <c r="D69" i="3"/>
  <c r="E69" i="3" s="1"/>
  <c r="B69" i="3"/>
  <c r="M69" i="3" s="1"/>
  <c r="F34" i="3"/>
  <c r="F33" i="3"/>
  <c r="O14" i="3"/>
  <c r="D69" i="6"/>
  <c r="F12" i="6" s="1"/>
  <c r="T10" i="3"/>
  <c r="K10" i="4"/>
  <c r="F8" i="7"/>
  <c r="T9" i="4"/>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T9" i="3"/>
  <c r="R14" i="5"/>
  <c r="S14" i="5" s="1"/>
  <c r="U14" i="5" s="1"/>
  <c r="J14" i="5" s="1"/>
  <c r="M14" i="5" s="1"/>
  <c r="C70" i="2"/>
  <c r="D14" i="2" s="1"/>
  <c r="T14" i="5"/>
  <c r="K14" i="5"/>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U13" i="4" l="1"/>
  <c r="J13" i="4" s="1"/>
  <c r="U10" i="5"/>
  <c r="J10" i="5" s="1"/>
  <c r="U11" i="5"/>
  <c r="J11" i="5" s="1"/>
  <c r="B69" i="8"/>
  <c r="M69" i="8" s="1"/>
  <c r="O13" i="8"/>
  <c r="T13" i="8" s="1"/>
  <c r="D13" i="8"/>
  <c r="F12" i="8"/>
  <c r="D14" i="8"/>
  <c r="Q14" i="8"/>
  <c r="F14" i="8"/>
  <c r="E70" i="8"/>
  <c r="O14" i="8"/>
  <c r="F33" i="8"/>
  <c r="F34" i="8"/>
  <c r="C69" i="8"/>
  <c r="E69" i="8" s="1"/>
  <c r="L69" i="8"/>
  <c r="O15" i="8" s="1"/>
  <c r="T13" i="6"/>
  <c r="T15" i="7"/>
  <c r="T12" i="7"/>
  <c r="K13" i="6"/>
  <c r="K12" i="7"/>
  <c r="D15" i="6"/>
  <c r="Q12" i="6"/>
  <c r="Q15" i="6"/>
  <c r="K14" i="6"/>
  <c r="R12" i="7"/>
  <c r="S12" i="7" s="1"/>
  <c r="R13" i="6"/>
  <c r="S13" i="6" s="1"/>
  <c r="U13" i="6" s="1"/>
  <c r="J13" i="6" s="1"/>
  <c r="M13" i="6" s="1"/>
  <c r="G13" i="6" s="1"/>
  <c r="M14" i="13" s="1"/>
  <c r="Q15" i="3"/>
  <c r="R14" i="6"/>
  <c r="S14" i="6" s="1"/>
  <c r="U14" i="6" s="1"/>
  <c r="J14" i="6" s="1"/>
  <c r="M14" i="6" s="1"/>
  <c r="G14" i="6" s="1"/>
  <c r="M15" i="13" s="1"/>
  <c r="F15" i="3"/>
  <c r="F12" i="3"/>
  <c r="T14" i="6"/>
  <c r="K14" i="3"/>
  <c r="O15" i="3"/>
  <c r="F32" i="6"/>
  <c r="F35" i="6"/>
  <c r="R14" i="3"/>
  <c r="S14" i="3" s="1"/>
  <c r="U14" i="3" s="1"/>
  <c r="J14" i="3" s="1"/>
  <c r="M14" i="3" s="1"/>
  <c r="G14" i="3" s="1"/>
  <c r="I15" i="16" s="1"/>
  <c r="T14" i="3"/>
  <c r="U14" i="4"/>
  <c r="J14" i="4" s="1"/>
  <c r="L14" i="4" s="1"/>
  <c r="O15" i="16" s="1"/>
  <c r="U9" i="4"/>
  <c r="J9" i="4" s="1"/>
  <c r="M9" i="4" s="1"/>
  <c r="G9" i="4" s="1"/>
  <c r="G10" i="16" s="1"/>
  <c r="U10" i="4"/>
  <c r="J10" i="4" s="1"/>
  <c r="M10" i="4" s="1"/>
  <c r="G10" i="4" s="1"/>
  <c r="G11" i="16" s="1"/>
  <c r="K13" i="3"/>
  <c r="R15" i="7"/>
  <c r="S15" i="7" s="1"/>
  <c r="U15" i="7" s="1"/>
  <c r="J15" i="7" s="1"/>
  <c r="K15" i="7"/>
  <c r="R13" i="3"/>
  <c r="S13" i="3" s="1"/>
  <c r="U13" i="3" s="1"/>
  <c r="J13" i="3" s="1"/>
  <c r="M13" i="3" s="1"/>
  <c r="G13" i="3" s="1"/>
  <c r="F35" i="3"/>
  <c r="T13" i="3"/>
  <c r="O12" i="3"/>
  <c r="R12" i="3" s="1"/>
  <c r="S12" i="3" s="1"/>
  <c r="U12" i="3" s="1"/>
  <c r="J12" i="3" s="1"/>
  <c r="F32" i="3"/>
  <c r="O12" i="6"/>
  <c r="E69" i="6"/>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O12" i="8" l="1"/>
  <c r="F35" i="8"/>
  <c r="Q15" i="8"/>
  <c r="R15" i="8" s="1"/>
  <c r="S15" i="8" s="1"/>
  <c r="D12" i="8"/>
  <c r="F32" i="8"/>
  <c r="R13" i="8"/>
  <c r="S13" i="8" s="1"/>
  <c r="U13" i="8" s="1"/>
  <c r="J13" i="8" s="1"/>
  <c r="M13" i="8" s="1"/>
  <c r="G13" i="8" s="1"/>
  <c r="I13" i="9" s="1"/>
  <c r="K13" i="8"/>
  <c r="U12" i="7"/>
  <c r="J12" i="7" s="1"/>
  <c r="L12" i="7" s="1"/>
  <c r="S13" i="16" s="1"/>
  <c r="K14" i="8"/>
  <c r="R14" i="8"/>
  <c r="S14" i="8" s="1"/>
  <c r="U14" i="8" s="1"/>
  <c r="J14" i="8" s="1"/>
  <c r="N30" i="8" s="1"/>
  <c r="T14" i="8"/>
  <c r="D15" i="8"/>
  <c r="Q12" i="8"/>
  <c r="T12" i="8" s="1"/>
  <c r="R15" i="3"/>
  <c r="S15" i="3" s="1"/>
  <c r="U15" i="3" s="1"/>
  <c r="J15" i="3" s="1"/>
  <c r="M15" i="3" s="1"/>
  <c r="G15" i="3" s="1"/>
  <c r="I16" i="16" s="1"/>
  <c r="T15" i="6"/>
  <c r="K12" i="6"/>
  <c r="K15" i="3"/>
  <c r="N30" i="4"/>
  <c r="L13" i="6"/>
  <c r="R14" i="16" s="1"/>
  <c r="M14" i="4"/>
  <c r="G14" i="4" s="1"/>
  <c r="G15" i="16" s="1"/>
  <c r="G13" i="9"/>
  <c r="T15" i="3"/>
  <c r="L10" i="4"/>
  <c r="O11" i="16" s="1"/>
  <c r="I15" i="13"/>
  <c r="E14" i="9"/>
  <c r="N30" i="3"/>
  <c r="L14" i="3"/>
  <c r="P15" i="16" s="1"/>
  <c r="K15" i="6"/>
  <c r="R15" i="6"/>
  <c r="S15" i="6" s="1"/>
  <c r="U15" i="6" s="1"/>
  <c r="J15" i="6" s="1"/>
  <c r="M15" i="6" s="1"/>
  <c r="G15" i="6" s="1"/>
  <c r="L13" i="3"/>
  <c r="P14" i="16" s="1"/>
  <c r="G11" i="13"/>
  <c r="D9" i="9"/>
  <c r="L9" i="4"/>
  <c r="O10" i="16" s="1"/>
  <c r="U13" i="7"/>
  <c r="J13" i="7" s="1"/>
  <c r="M13" i="7" s="1"/>
  <c r="G10" i="13"/>
  <c r="L15" i="7"/>
  <c r="S16" i="16" s="1"/>
  <c r="T12" i="3"/>
  <c r="D10" i="9"/>
  <c r="M15" i="7"/>
  <c r="K12" i="3"/>
  <c r="L12" i="3" s="1"/>
  <c r="P13" i="16" s="1"/>
  <c r="R12" i="6"/>
  <c r="S12" i="6" s="1"/>
  <c r="T12" i="6"/>
  <c r="M13" i="9"/>
  <c r="U14" i="13"/>
  <c r="U12" i="13"/>
  <c r="M11" i="9"/>
  <c r="T13" i="2"/>
  <c r="U8" i="6"/>
  <c r="J8" i="6" s="1"/>
  <c r="M8" i="6" s="1"/>
  <c r="G8" i="6" s="1"/>
  <c r="M9" i="13" s="1"/>
  <c r="R13" i="2"/>
  <c r="S13" i="2" s="1"/>
  <c r="T15" i="8"/>
  <c r="U15" i="8" s="1"/>
  <c r="J15" i="8" s="1"/>
  <c r="V11" i="13"/>
  <c r="G14" i="9"/>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N11" i="9"/>
  <c r="T15" i="5"/>
  <c r="W14" i="13"/>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M12" i="7" l="1"/>
  <c r="E15" i="9"/>
  <c r="L15" i="3"/>
  <c r="P16" i="16" s="1"/>
  <c r="I16" i="13"/>
  <c r="K12" i="8"/>
  <c r="R12" i="8"/>
  <c r="S12" i="8" s="1"/>
  <c r="U12" i="8" s="1"/>
  <c r="J12" i="8" s="1"/>
  <c r="L13" i="8"/>
  <c r="T14" i="16" s="1"/>
  <c r="M10" i="9"/>
  <c r="N13" i="9"/>
  <c r="P13" i="9"/>
  <c r="X14" i="13"/>
  <c r="Y13" i="13"/>
  <c r="U11" i="13"/>
  <c r="L13" i="7"/>
  <c r="S14" i="16" s="1"/>
  <c r="Q12" i="9"/>
  <c r="N14" i="9"/>
  <c r="V15" i="13"/>
  <c r="G15" i="13"/>
  <c r="D14" i="9"/>
  <c r="U11" i="7"/>
  <c r="J11" i="7" s="1"/>
  <c r="M11" i="7" s="1"/>
  <c r="L15" i="6"/>
  <c r="R16" i="16" s="1"/>
  <c r="Y16" i="13"/>
  <c r="V14" i="13"/>
  <c r="U10" i="13"/>
  <c r="M9" i="9"/>
  <c r="Q15" i="9"/>
  <c r="U10" i="7"/>
  <c r="J10" i="7" s="1"/>
  <c r="M10" i="7" s="1"/>
  <c r="U12" i="6"/>
  <c r="J12" i="6" s="1"/>
  <c r="K14" i="16"/>
  <c r="Q14" i="13"/>
  <c r="M14" i="8"/>
  <c r="G14" i="8" s="1"/>
  <c r="K15" i="16" s="1"/>
  <c r="L14" i="8"/>
  <c r="T15" i="16" s="1"/>
  <c r="U14" i="2"/>
  <c r="J14" i="2" s="1"/>
  <c r="M14" i="2" s="1"/>
  <c r="G14" i="2" s="1"/>
  <c r="E15" i="16" s="1"/>
  <c r="U13" i="2"/>
  <c r="J13" i="2" s="1"/>
  <c r="M13" i="2" s="1"/>
  <c r="G13" i="2" s="1"/>
  <c r="E14" i="16" s="1"/>
  <c r="L8" i="6"/>
  <c r="R9" i="16" s="1"/>
  <c r="L15" i="5"/>
  <c r="Q16" i="16" s="1"/>
  <c r="T9" i="13"/>
  <c r="L8" i="9"/>
  <c r="X15" i="13"/>
  <c r="P14" i="9"/>
  <c r="G8" i="9"/>
  <c r="Q14" i="9"/>
  <c r="Y15" i="13"/>
  <c r="E9" i="13"/>
  <c r="L10" i="2"/>
  <c r="N11" i="16" s="1"/>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2" i="8" l="1"/>
  <c r="T13" i="16" s="1"/>
  <c r="R13" i="9"/>
  <c r="X16" i="13"/>
  <c r="Z14" i="13"/>
  <c r="Q13" i="9"/>
  <c r="Y14" i="13"/>
  <c r="L11" i="7"/>
  <c r="S12" i="16" s="1"/>
  <c r="P15" i="9"/>
  <c r="L14" i="2"/>
  <c r="N15" i="16" s="1"/>
  <c r="L10" i="7"/>
  <c r="S11" i="16" s="1"/>
  <c r="N30" i="2"/>
  <c r="E15" i="13"/>
  <c r="L13" i="2"/>
  <c r="N14" i="16" s="1"/>
  <c r="E14" i="13"/>
  <c r="L12" i="6"/>
  <c r="M12" i="6"/>
  <c r="G12" i="6" s="1"/>
  <c r="Z15" i="13"/>
  <c r="R14" i="9"/>
  <c r="Q15" i="13"/>
  <c r="M12" i="8"/>
  <c r="G12" i="8" s="1"/>
  <c r="K13" i="16" s="1"/>
  <c r="I14" i="9"/>
  <c r="C14" i="9"/>
  <c r="C13"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R12" i="9"/>
  <c r="Z13" i="13"/>
  <c r="M10" i="8"/>
  <c r="G10" i="8" s="1"/>
  <c r="K11" i="16" s="1"/>
  <c r="L10" i="8"/>
  <c r="T11" i="16" s="1"/>
  <c r="L11" i="8"/>
  <c r="T12" i="16" s="1"/>
  <c r="M11" i="8"/>
  <c r="G11" i="8" s="1"/>
  <c r="K12" i="16" s="1"/>
  <c r="Q11" i="9" l="1"/>
  <c r="T15" i="13"/>
  <c r="Y12" i="13"/>
  <c r="L14" i="9"/>
  <c r="Q10" i="9"/>
  <c r="Y11" i="13"/>
  <c r="T14" i="13"/>
  <c r="L13" i="9"/>
  <c r="R13" i="16"/>
  <c r="X13" i="13"/>
  <c r="P12" i="9"/>
  <c r="M13" i="13"/>
  <c r="G12" i="9"/>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<sst xmlns="http://schemas.openxmlformats.org/spreadsheetml/2006/main" count="654" uniqueCount="141">
  <si>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</si>
  <si>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</si>
  <si>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</si>
  <si>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</si>
  <si>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</si>
  <si>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</si>
  <si>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</si>
  <si>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</si>
  <si>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</si>
  <si>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</si>
  <si>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</si>
  <si>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</si>
  <si>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</si>
  <si>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</si>
  <si>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</si>
  <si>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</si>
  <si>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</si>
  <si>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</si>
  <si>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</si>
  <si>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</si>
  <si>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</si>
  <si>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</si>
  <si>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</si>
  <si>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</si>
  <si>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</si>
  <si>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</si>
  <si>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</si>
  <si>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</si>
  <si>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</si>
  <si>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</si>
  <si>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</si>
  <si>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</si>
  <si>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</si>
  <si>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</si>
  <si>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</si>
  <si>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</si>
  <si>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</si>
  <si>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</si>
  <si>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</si>
  <si>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</si>
  <si>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</si>
  <si>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</si>
  <si>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</si>
  <si>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</si>
  <si>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</si>
  <si>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</si>
  <si>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</si>
  <si>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</si>
  <si>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</si>
  <si>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</si>
  <si>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</si>
  <si>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</si>
  <si>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</si>
  <si>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</si>
  <si>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</si>
  <si>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</si>
  <si>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</si>
  <si>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</si>
  <si>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</si>
  <si>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</si>
  <si>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</si>
  <si>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</si>
  <si>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</si>
  <si>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</si>
  <si>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</si>
  <si>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</si>
  <si>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</si>
  <si>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</si>
  <si>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</si>
  <si>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</si>
  <si>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</si>
  <si>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</si>
  <si>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</si>
  <si>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</si>
  <si>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</si>
  <si>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</si>
  <si>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</si>
  <si>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</si>
  <si>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</si>
  <si>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</si>
  <si>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</si>
  <si>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</si>
  <si>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</si>
  <si>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</si>
  <si>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</si>
  <si>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</si>
  <si>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</si>
  <si>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</si>
  <si>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</si>
  <si>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</si>
  <si>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</si>
  <si>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</si>
  <si>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</si>
  <si>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</si>
  <si>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</si>
  <si>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</si>
  <si>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</si>
  <si>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</si>
  <si>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</si>
  <si>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</si>
  <si>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</si>
  <si>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</si>
  <si>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</si>
  <si>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</si>
  <si>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</si>
  <si>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</si>
  <si>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</si>
  <si>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</si>
  <si>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</si>
  <si>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</si>
  <si>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</si>
  <si>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</si>
  <si>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</si>
  <si>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</si>
  <si>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</si>
  <si>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</si>
  <si>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</si>
  <si>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</si>
  <si>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</si>
  <si>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</si>
  <si>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</si>
  <si>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</si>
  <si>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</si>
  <si>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</si>
  <si>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</si>
  <si>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</si>
  <si>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</si>
  <si>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</si>
  <si>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Saginaw</t>
  </si>
  <si>
    <t>Item 3.Referral: Saginaw County Juvenile Court</t>
  </si>
  <si>
    <t>Item 4.Diversion: Saginaw County Juvenile Court</t>
  </si>
  <si>
    <t>Item 5.Detention: Saginaw County Juvenile Court</t>
  </si>
  <si>
    <t>Item 6.Petitioned: Saginaw County Juvenile Court</t>
  </si>
  <si>
    <t>Item 7.Delinquent: Saginaw County Juvenile Court</t>
  </si>
  <si>
    <t>Item 8.Probation: Saginaw County Juvenile Court</t>
  </si>
  <si>
    <t>Item 9.Confinement: Saginaw County Juvenile Court</t>
  </si>
  <si>
    <t>Item 10.Transferred: Saginaw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</si>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</sst>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Saginaw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N=8</c:v>
                </c:pt>
                <c:pt idx="1">
                  <c:v>Confinement, total N=0</c:v>
                </c:pt>
                <c:pt idx="2">
                  <c:v>Delinquent Findings, total N=413</c:v>
                </c:pt>
                <c:pt idx="3">
                  <c:v>Petitions, total N=460</c:v>
                </c:pt>
                <c:pt idx="4">
                  <c:v>Detentions, total N=351</c:v>
                </c:pt>
                <c:pt idx="5">
                  <c:v>Referrals, total N=474</c:v>
                </c:pt>
                <c:pt idx="6">
                  <c:v>Arrests, total N=266</c:v>
                </c:pt>
                <c:pt idx="7">
                  <c:v>Population, total N=18328</c:v>
                </c:pt>
              </c:strCache>
            </c:strRef>
          </c:cat>
          <c:val>
            <c:numRef>
              <c:f>'Stacked 100%'!$B$7:$B$14</c:f>
              <c:numCache>
                <c:formatCode>0%</c:formatCode>
                <c:ptCount val="8"/>
                <c:pt idx="0">
                  <c:v>0.75</c:v>
                </c:pt>
                <c:pt idx="1">
                  <c:v>0</c:v>
                </c:pt>
                <c:pt idx="2">
                  <c:v>0.58111380145278446</c:v>
                </c:pt>
                <c:pt idx="3">
                  <c:v>0.59130434782608698</c:v>
                </c:pt>
                <c:pt idx="4">
                  <c:v>0.66096866096866091</c:v>
                </c:pt>
                <c:pt idx="5">
                  <c:v>0.58227848101265822</c:v>
                </c:pt>
                <c:pt idx="6">
                  <c:v>0.65413533834586468</c:v>
                </c:pt>
                <c:pt idx="7">
                  <c:v>0.24345264076822348</c:v>
                </c:pt>
              </c:numCache>
            </c:numRef>
          </c:val>
          <c:extLst>
            <c:ext xmlns:c16="http://schemas.microsoft.com/office/drawing/2014/chart" uri="{C3380CC4-5D6E-409C-BE32-E72D297353CC}">
              <c16:uniqueId val="{00000000-F21A-4E58-B105-9235015DD42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N=8</c:v>
                </c:pt>
                <c:pt idx="1">
                  <c:v>Confinement, total N=0</c:v>
                </c:pt>
                <c:pt idx="2">
                  <c:v>Delinquent Findings, total N=413</c:v>
                </c:pt>
                <c:pt idx="3">
                  <c:v>Petitions, total N=460</c:v>
                </c:pt>
                <c:pt idx="4">
                  <c:v>Detentions, total N=351</c:v>
                </c:pt>
                <c:pt idx="5">
                  <c:v>Referrals, total N=474</c:v>
                </c:pt>
                <c:pt idx="6">
                  <c:v>Arrests, total N=266</c:v>
                </c:pt>
                <c:pt idx="7">
                  <c:v>Population, total N=18328</c:v>
                </c:pt>
              </c:strCache>
            </c:strRef>
          </c:cat>
          <c:val>
            <c:numRef>
              <c:f>'Stacked 100%'!$C$7:$C$14</c:f>
              <c:numCache>
                <c:formatCode>0%</c:formatCode>
                <c:ptCount val="8"/>
                <c:pt idx="0">
                  <c:v>0.125</c:v>
                </c:pt>
                <c:pt idx="1">
                  <c:v>0</c:v>
                </c:pt>
                <c:pt idx="2">
                  <c:v>5.3268765133171914E-2</c:v>
                </c:pt>
                <c:pt idx="3">
                  <c:v>5.434782608695652E-2</c:v>
                </c:pt>
                <c:pt idx="4">
                  <c:v>6.5527065527065526E-2</c:v>
                </c:pt>
                <c:pt idx="5">
                  <c:v>5.2742616033755275E-2</c:v>
                </c:pt>
                <c:pt idx="6">
                  <c:v>4.5112781954887216E-2</c:v>
                </c:pt>
                <c:pt idx="7">
                  <c:v>0.14115015277171541</c:v>
                </c:pt>
              </c:numCache>
            </c:numRef>
          </c:val>
          <c:extLst>
            <c:ext xmlns:c16="http://schemas.microsoft.com/office/drawing/2014/chart" uri="{C3380CC4-5D6E-409C-BE32-E72D297353CC}">
              <c16:uniqueId val="{00000001-F21A-4E58-B105-9235015DD42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N=8</c:v>
                </c:pt>
                <c:pt idx="1">
                  <c:v>Confinement, total N=0</c:v>
                </c:pt>
                <c:pt idx="2">
                  <c:v>Delinquent Findings, total N=413</c:v>
                </c:pt>
                <c:pt idx="3">
                  <c:v>Petitions, total N=460</c:v>
                </c:pt>
                <c:pt idx="4">
                  <c:v>Detentions, total N=351</c:v>
                </c:pt>
                <c:pt idx="5">
                  <c:v>Referrals, total N=474</c:v>
                </c:pt>
                <c:pt idx="6">
                  <c:v>Arrests, total N=266</c:v>
                </c:pt>
                <c:pt idx="7">
                  <c:v>Population, total N=18328</c:v>
                </c:pt>
              </c:strCache>
            </c:strRef>
          </c:cat>
          <c:val>
            <c:numRef>
              <c:f>'Stacked 100%'!$H$7:$H$14</c:f>
              <c:numCache>
                <c:formatCode>0%</c:formatCode>
                <c:ptCount val="8"/>
                <c:pt idx="0">
                  <c:v>1.5625E-2</c:v>
                </c:pt>
                <c:pt idx="1">
                  <c:v>0</c:v>
                </c:pt>
                <c:pt idx="2">
                  <c:v>2.4623466163253577E-4</c:v>
                </c:pt>
                <c:pt idx="3">
                  <c:v>2.3156899810964087E-4</c:v>
                </c:pt>
                <c:pt idx="4">
                  <c:v>1.2175225850439525E-4</c:v>
                </c:pt>
                <c:pt idx="5">
                  <c:v>2.1809183001299649E-4</c:v>
                </c:pt>
                <c:pt idx="6">
                  <c:v>2.8266154107072189E-5</c:v>
                </c:pt>
                <c:pt idx="7">
                  <c:v>1.0865825147308439E-6</c:v>
                </c:pt>
              </c:numCache>
            </c:numRef>
          </c:val>
          <c:extLst>
            <c:ext xmlns:c16="http://schemas.microsoft.com/office/drawing/2014/chart" uri="{C3380CC4-5D6E-409C-BE32-E72D297353CC}">
              <c16:uniqueId val="{00000002-F21A-4E58-B105-9235015DD42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N=8</c:v>
                </c:pt>
                <c:pt idx="1">
                  <c:v>Confinement, total N=0</c:v>
                </c:pt>
                <c:pt idx="2">
                  <c:v>Delinquent Findings, total N=413</c:v>
                </c:pt>
                <c:pt idx="3">
                  <c:v>Petitions, total N=460</c:v>
                </c:pt>
                <c:pt idx="4">
                  <c:v>Detentions, total N=351</c:v>
                </c:pt>
                <c:pt idx="5">
                  <c:v>Referrals, total N=474</c:v>
                </c:pt>
                <c:pt idx="6">
                  <c:v>Arrests, total N=266</c:v>
                </c:pt>
                <c:pt idx="7">
                  <c:v>Population, total N=18328</c:v>
                </c:pt>
              </c:strCache>
            </c:strRef>
          </c:cat>
          <c:val>
            <c:numRef>
              <c:f>'Stacked 100%'!$I$7:$I$14</c:f>
              <c:numCache>
                <c:formatCode>0%</c:formatCode>
                <c:ptCount val="8"/>
                <c:pt idx="0">
                  <c:v>0</c:v>
                </c:pt>
                <c:pt idx="1">
                  <c:v>0</c:v>
                </c:pt>
                <c:pt idx="2">
                  <c:v>0.26392251815980627</c:v>
                </c:pt>
                <c:pt idx="3">
                  <c:v>0.24782608695652175</c:v>
                </c:pt>
                <c:pt idx="4">
                  <c:v>0.22792022792022792</c:v>
                </c:pt>
                <c:pt idx="5">
                  <c:v>0.26160337552742619</c:v>
                </c:pt>
                <c:pt idx="6">
                  <c:v>0.27443609022556392</c:v>
                </c:pt>
                <c:pt idx="7">
                  <c:v>0.59548232213007424</c:v>
                </c:pt>
              </c:numCache>
            </c:numRef>
          </c:val>
          <c:extLst>
            <c:ext xmlns:c16="http://schemas.microsoft.com/office/drawing/2014/chart" uri="{C3380CC4-5D6E-409C-BE32-E72D297353CC}">
              <c16:uniqueId val="{00000003-F21A-4E58-B105-9235015DD42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N=8</c:v>
                </c:pt>
                <c:pt idx="1">
                  <c:v>Confinement, total N=0</c:v>
                </c:pt>
                <c:pt idx="2">
                  <c:v>Delinquent Findings, total N=413</c:v>
                </c:pt>
                <c:pt idx="3">
                  <c:v>Petitions, total N=460</c:v>
                </c:pt>
                <c:pt idx="4">
                  <c:v>Detentions, total N=351</c:v>
                </c:pt>
                <c:pt idx="5">
                  <c:v>Referrals, total N=474</c:v>
                </c:pt>
                <c:pt idx="6">
                  <c:v>Arrests, total N=266</c:v>
                </c:pt>
                <c:pt idx="7">
                  <c:v>Population, total N=18328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21A-4E58-B105-9235015DD42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F15" sqref="F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18328</v>
      </c>
      <c r="C6" s="11">
        <v>10914</v>
      </c>
      <c r="D6" s="11">
        <v>4462</v>
      </c>
      <c r="E6" s="11">
        <v>2587</v>
      </c>
      <c r="F6" s="11">
        <v>277</v>
      </c>
      <c r="G6" s="11"/>
      <c r="H6" s="11">
        <v>88</v>
      </c>
      <c r="I6" s="11"/>
      <c r="J6" s="91">
        <f>SUM(D6:I6)</f>
        <v>7414</v>
      </c>
      <c r="K6" s="92"/>
    </row>
    <row r="7" spans="1:11" ht="15.75" customHeight="1" thickBot="1">
      <c r="A7" s="10" t="s">
        <v>8</v>
      </c>
      <c r="B7" s="11">
        <f t="shared" ref="B7:B15" si="0">SUM(C7:I7)+K7</f>
        <v>266</v>
      </c>
      <c r="C7" s="11">
        <v>73</v>
      </c>
      <c r="D7" s="11">
        <v>174</v>
      </c>
      <c r="E7" s="11">
        <v>12</v>
      </c>
      <c r="F7" s="11">
        <v>1</v>
      </c>
      <c r="G7" s="11">
        <v>1</v>
      </c>
      <c r="H7" s="11">
        <v>0</v>
      </c>
      <c r="I7" s="11"/>
      <c r="J7" s="91">
        <f t="shared" ref="J7:J15" si="1">SUM(D7:I7)</f>
        <v>188</v>
      </c>
      <c r="K7" s="92">
        <v>5</v>
      </c>
    </row>
    <row r="8" spans="1:11" ht="15.75" customHeight="1" thickBot="1">
      <c r="A8" s="10" t="s">
        <v>9</v>
      </c>
      <c r="B8" s="11">
        <f t="shared" si="0"/>
        <v>474</v>
      </c>
      <c r="C8" s="11">
        <v>124</v>
      </c>
      <c r="D8" s="11">
        <v>276</v>
      </c>
      <c r="E8" s="11">
        <v>25</v>
      </c>
      <c r="F8" s="11"/>
      <c r="G8" s="11"/>
      <c r="H8" s="11">
        <v>2</v>
      </c>
      <c r="I8" s="11">
        <v>47</v>
      </c>
      <c r="J8" s="91">
        <f t="shared" si="1"/>
        <v>350</v>
      </c>
      <c r="K8" s="92"/>
    </row>
    <row r="9" spans="1:11" ht="15.75" customHeight="1" thickBot="1">
      <c r="A9" s="10" t="s">
        <v>10</v>
      </c>
      <c r="B9" s="11">
        <f t="shared" si="0"/>
        <v>14</v>
      </c>
      <c r="C9" s="11">
        <v>5</v>
      </c>
      <c r="D9" s="11">
        <v>7</v>
      </c>
      <c r="E9" s="11">
        <v>1</v>
      </c>
      <c r="F9" s="11"/>
      <c r="G9" s="11"/>
      <c r="H9" s="11"/>
      <c r="I9" s="11">
        <v>1</v>
      </c>
      <c r="J9" s="91">
        <f t="shared" si="1"/>
        <v>9</v>
      </c>
      <c r="K9" s="92"/>
    </row>
    <row r="10" spans="1:11" ht="15.75" customHeight="1" thickBot="1">
      <c r="A10" s="10" t="s">
        <v>11</v>
      </c>
      <c r="B10" s="11">
        <f t="shared" si="0"/>
        <v>351</v>
      </c>
      <c r="C10" s="11">
        <v>80</v>
      </c>
      <c r="D10" s="11">
        <v>232</v>
      </c>
      <c r="E10" s="11">
        <v>23</v>
      </c>
      <c r="F10" s="11"/>
      <c r="G10" s="11"/>
      <c r="H10" s="11"/>
      <c r="I10" s="11">
        <v>15</v>
      </c>
      <c r="J10" s="91">
        <f t="shared" si="1"/>
        <v>270</v>
      </c>
      <c r="K10" s="92">
        <v>1</v>
      </c>
    </row>
    <row r="11" spans="1:11" ht="15.75" customHeight="1" thickBot="1">
      <c r="A11" s="10" t="s">
        <v>12</v>
      </c>
      <c r="B11" s="11">
        <f t="shared" si="0"/>
        <v>460</v>
      </c>
      <c r="C11" s="11">
        <v>114</v>
      </c>
      <c r="D11" s="11">
        <v>272</v>
      </c>
      <c r="E11" s="11">
        <v>25</v>
      </c>
      <c r="F11" s="11"/>
      <c r="G11" s="11"/>
      <c r="H11" s="11">
        <v>2</v>
      </c>
      <c r="I11" s="11">
        <v>47</v>
      </c>
      <c r="J11" s="91">
        <f t="shared" si="1"/>
        <v>346</v>
      </c>
      <c r="K11" s="92"/>
    </row>
    <row r="12" spans="1:11" ht="15.75" customHeight="1" thickBot="1">
      <c r="A12" s="10" t="s">
        <v>13</v>
      </c>
      <c r="B12" s="11">
        <f t="shared" si="0"/>
        <v>413</v>
      </c>
      <c r="C12" s="11">
        <v>109</v>
      </c>
      <c r="D12" s="11">
        <v>240</v>
      </c>
      <c r="E12" s="11">
        <v>22</v>
      </c>
      <c r="F12" s="11"/>
      <c r="G12" s="11"/>
      <c r="H12" s="11">
        <v>1</v>
      </c>
      <c r="I12" s="11">
        <v>41</v>
      </c>
      <c r="J12" s="91">
        <f t="shared" si="1"/>
        <v>304</v>
      </c>
      <c r="K12" s="92"/>
    </row>
    <row r="13" spans="1:11" ht="15.75" customHeight="1" thickBot="1">
      <c r="A13" s="10" t="s">
        <v>125</v>
      </c>
      <c r="B13" s="11">
        <f t="shared" si="0"/>
        <v>380</v>
      </c>
      <c r="C13" s="11">
        <v>106</v>
      </c>
      <c r="D13" s="11">
        <v>218</v>
      </c>
      <c r="E13" s="11">
        <v>20</v>
      </c>
      <c r="F13" s="11"/>
      <c r="G13" s="11"/>
      <c r="H13" s="11">
        <v>1</v>
      </c>
      <c r="I13" s="11">
        <v>35</v>
      </c>
      <c r="J13" s="91">
        <f t="shared" si="1"/>
        <v>274</v>
      </c>
      <c r="K13" s="92"/>
    </row>
    <row r="14" spans="1:11" ht="26.25" customHeight="1" thickBot="1">
      <c r="A14" s="10" t="s">
        <v>115</v>
      </c>
      <c r="B14" s="11">
        <f t="shared" si="0"/>
        <v>0</v>
      </c>
      <c r="C14" s="11"/>
      <c r="D14" s="11"/>
      <c r="E14" s="11"/>
      <c r="F14" s="11"/>
      <c r="G14" s="11"/>
      <c r="H14" s="11"/>
      <c r="I14" s="11"/>
      <c r="J14" s="91">
        <f t="shared" si="1"/>
        <v>0</v>
      </c>
      <c r="K14" s="92"/>
    </row>
    <row r="15" spans="1:11" ht="15.75" customHeight="1" thickBot="1">
      <c r="A15" s="10" t="s">
        <v>16</v>
      </c>
      <c r="B15" s="11">
        <f t="shared" si="0"/>
        <v>8</v>
      </c>
      <c r="C15" s="11"/>
      <c r="D15" s="11">
        <v>6</v>
      </c>
      <c r="E15" s="11">
        <v>1</v>
      </c>
      <c r="F15" s="11"/>
      <c r="G15" s="11"/>
      <c r="H15" s="11"/>
      <c r="I15" s="11">
        <v>1</v>
      </c>
      <c r="J15" s="91">
        <f t="shared" si="1"/>
        <v>8</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10914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6.6886567711196632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73</v>
      </c>
      <c r="Q7" s="42">
        <f>C6-C7</f>
        <v>10841</v>
      </c>
      <c r="R7" s="42">
        <f t="shared" ref="R7:R15" si="5">SUM(N7:Q7)</f>
        <v>10914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124</v>
      </c>
      <c r="D8" s="34">
        <f>IF((AND(C67&gt;0,C8&gt;0)),(C8/C67),0)</f>
        <v>169.86301369863014</v>
      </c>
      <c r="E8" s="33">
        <f>'Data Entry'!I8</f>
        <v>47</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47</v>
      </c>
      <c r="O8" s="42">
        <f>((D67*L67)-E8)+0.05</f>
        <v>-46.95</v>
      </c>
      <c r="P8" s="42">
        <f t="shared" si="4"/>
        <v>124</v>
      </c>
      <c r="Q8" s="42">
        <f>(C$67*L67)-C8</f>
        <v>-51</v>
      </c>
      <c r="R8" s="42">
        <f t="shared" si="5"/>
        <v>73.05</v>
      </c>
      <c r="S8" s="30">
        <f t="shared" si="6"/>
        <v>856822080.67200005</v>
      </c>
      <c r="T8" s="30">
        <f t="shared" si="7"/>
        <v>-61135.492499996522</v>
      </c>
      <c r="U8" s="31">
        <f t="shared" si="8"/>
        <v>-14015.133364175463</v>
      </c>
    </row>
    <row r="9" spans="2:21" ht="18" customHeight="1">
      <c r="B9" s="32" t="str">
        <f>'Data Entry'!A9</f>
        <v xml:space="preserve">4. Cases Diverted </v>
      </c>
      <c r="C9" s="33">
        <f>'Data Entry'!C9</f>
        <v>5</v>
      </c>
      <c r="D9" s="34">
        <f>IF((AND(C68&gt;0,C9&gt;0)),((C9/C68)),0)</f>
        <v>4.032258064516129</v>
      </c>
      <c r="E9" s="33">
        <f>'Data Entry'!I9</f>
        <v>1</v>
      </c>
      <c r="F9" s="34">
        <f>IF((AND($E$9&gt;0,$D$68&gt;0)),(($E$9/$D$68)),0)</f>
        <v>2.1276595744680851</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46</v>
      </c>
      <c r="P9" s="42">
        <f t="shared" si="4"/>
        <v>5</v>
      </c>
      <c r="Q9" s="42">
        <f>(C$68*L68)-C9</f>
        <v>119</v>
      </c>
      <c r="R9" s="42">
        <f t="shared" si="5"/>
        <v>171</v>
      </c>
      <c r="S9" s="30">
        <f t="shared" si="6"/>
        <v>2106891</v>
      </c>
      <c r="T9" s="30">
        <f t="shared" si="7"/>
        <v>5769720</v>
      </c>
      <c r="U9" s="31">
        <f t="shared" si="8"/>
        <v>0.36516347413739314</v>
      </c>
    </row>
    <row r="10" spans="2:21" ht="18" customHeight="1">
      <c r="B10" s="32" t="str">
        <f>'Data Entry'!A10</f>
        <v>5. Cases Involving Secure Detention</v>
      </c>
      <c r="C10" s="33">
        <f>'Data Entry'!C10</f>
        <v>80</v>
      </c>
      <c r="D10" s="34">
        <f>IF(((AND(C68&gt;0,C10&gt;0))),(C10/(C68)),0)</f>
        <v>64.516129032258064</v>
      </c>
      <c r="E10" s="33">
        <f>'Data Entry'!I10</f>
        <v>15</v>
      </c>
      <c r="F10" s="34">
        <f>IF(((AND($E$10&gt;0,$D$68&gt;0))),($E$10/($D$68)),0)</f>
        <v>31.914893617021278</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15</v>
      </c>
      <c r="O10" s="42">
        <f>(D$68*L68)-E10</f>
        <v>32</v>
      </c>
      <c r="P10" s="42">
        <f t="shared" si="4"/>
        <v>80</v>
      </c>
      <c r="Q10" s="42">
        <f>(C$68*L68)-C10</f>
        <v>44</v>
      </c>
      <c r="R10" s="42">
        <f t="shared" si="5"/>
        <v>171</v>
      </c>
      <c r="S10" s="30">
        <f t="shared" si="6"/>
        <v>617310000</v>
      </c>
      <c r="T10" s="30">
        <f t="shared" si="7"/>
        <v>42078160</v>
      </c>
      <c r="U10" s="31">
        <f t="shared" si="8"/>
        <v>14.670555936856555</v>
      </c>
    </row>
    <row r="11" spans="2:21" ht="18" customHeight="1">
      <c r="B11" s="32" t="str">
        <f>'Data Entry'!A11</f>
        <v>6. Cases Petitioned (Charge Filed)</v>
      </c>
      <c r="C11" s="33">
        <f>'Data Entry'!C11</f>
        <v>114</v>
      </c>
      <c r="D11" s="34">
        <f>IF(((AND(C68&gt;0,C11&gt;0))),(C11/(C68)),0)</f>
        <v>91.935483870967744</v>
      </c>
      <c r="E11" s="33">
        <f>'Data Entry'!I11</f>
        <v>47</v>
      </c>
      <c r="F11" s="34">
        <f>IF(((AND($E$11&gt;0,$D$68&gt;0))),($E$11/($D$68)),0)</f>
        <v>100</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47</v>
      </c>
      <c r="O11" s="42">
        <f>(D$68*L68)-E11</f>
        <v>0</v>
      </c>
      <c r="P11" s="42">
        <f t="shared" si="4"/>
        <v>114</v>
      </c>
      <c r="Q11" s="42">
        <f>(C$68*L68)-C11</f>
        <v>10</v>
      </c>
      <c r="R11" s="42">
        <f t="shared" si="5"/>
        <v>171</v>
      </c>
      <c r="S11" s="30">
        <f t="shared" si="6"/>
        <v>37773900</v>
      </c>
      <c r="T11" s="30">
        <f t="shared" si="7"/>
        <v>9383080</v>
      </c>
      <c r="U11" s="31">
        <f t="shared" si="8"/>
        <v>4.0257463434181524</v>
      </c>
    </row>
    <row r="12" spans="2:21" ht="18" customHeight="1">
      <c r="B12" s="32" t="str">
        <f>'Data Entry'!A12</f>
        <v>7. Cases Resulting in Delinquent Findings</v>
      </c>
      <c r="C12" s="33">
        <f>'Data Entry'!C12</f>
        <v>109</v>
      </c>
      <c r="D12" s="34">
        <f>IF(((AND(C69&gt;0,C12&gt;0))),(C12/(C69)),0)</f>
        <v>95.614035087719301</v>
      </c>
      <c r="E12" s="33">
        <f>'Data Entry'!I12</f>
        <v>41</v>
      </c>
      <c r="F12" s="34">
        <f>IF(((AND($D$69&gt;0,$E$12&gt;0))),(E12/(D69)),0)</f>
        <v>87.2340425531915</v>
      </c>
      <c r="G12" s="39" t="str">
        <f t="shared" si="0"/>
        <v>*</v>
      </c>
      <c r="H12" s="40"/>
      <c r="I12" s="41"/>
      <c r="J12" s="40">
        <f>IF((ABS($U12)&gt;Defaults!D$7),1,2)</f>
        <v>2</v>
      </c>
      <c r="K12" s="39">
        <f>IF((AND(N12&gt;Defaults!B$12,(N12+O12)&gt;Defaults!B$13, P12 &gt; Defaults!B$12, (P12+Q12) &gt; Defaults!B$13)),1,20)</f>
        <v>1</v>
      </c>
      <c r="L12" s="1">
        <f t="shared" si="1"/>
        <v>101</v>
      </c>
      <c r="M12" s="1" t="b">
        <f t="shared" si="2"/>
        <v>1</v>
      </c>
      <c r="N12" s="42">
        <f t="shared" si="3"/>
        <v>41</v>
      </c>
      <c r="O12" s="42">
        <f>(D69*L69)-E12</f>
        <v>6</v>
      </c>
      <c r="P12" s="42">
        <f t="shared" si="4"/>
        <v>109</v>
      </c>
      <c r="Q12" s="42">
        <f>(C69*L69)-C12</f>
        <v>4.9999999999999858</v>
      </c>
      <c r="R12" s="42">
        <f t="shared" si="5"/>
        <v>161</v>
      </c>
      <c r="S12" s="30">
        <f t="shared" si="6"/>
        <v>32457761.000000086</v>
      </c>
      <c r="T12" s="30">
        <f t="shared" si="7"/>
        <v>8840699.999999987</v>
      </c>
      <c r="U12" s="31">
        <f t="shared" si="8"/>
        <v>3.6714016989605045</v>
      </c>
    </row>
    <row r="13" spans="2:21" ht="18" customHeight="1">
      <c r="B13" s="32" t="str">
        <f>'Data Entry'!A13</f>
        <v>8. Cases Resulting in Probation Placement</v>
      </c>
      <c r="C13" s="33">
        <f>'Data Entry'!C13</f>
        <v>106</v>
      </c>
      <c r="D13" s="34">
        <f>IF(((AND(C70&gt;0,C13&gt;0))),(C13/(C70)),0)</f>
        <v>97.247706422018339</v>
      </c>
      <c r="E13" s="33">
        <f>'Data Entry'!I13</f>
        <v>35</v>
      </c>
      <c r="F13" s="34">
        <f>IF(((AND($D$70&gt;0,$E$13&gt;0))),($E$13/($D$70)),0)</f>
        <v>85.365853658536594</v>
      </c>
      <c r="G13" s="39" t="str">
        <f t="shared" si="0"/>
        <v>*</v>
      </c>
      <c r="H13" s="40"/>
      <c r="I13" s="41"/>
      <c r="J13" s="40">
        <f>IF((ABS($U13)&gt;Defaults!D$7),1,2)</f>
        <v>1</v>
      </c>
      <c r="K13" s="39">
        <f>IF((AND(N13&gt;Defaults!B$12,(N13+O13)&gt;Defaults!B$13, P13 &gt; Defaults!B$12, (P13+Q13) &gt; Defaults!B$13)),1,20)</f>
        <v>1</v>
      </c>
      <c r="L13" s="1">
        <f t="shared" si="1"/>
        <v>100</v>
      </c>
      <c r="M13" s="1" t="b">
        <f t="shared" si="2"/>
        <v>1</v>
      </c>
      <c r="N13" s="42">
        <f t="shared" si="3"/>
        <v>35</v>
      </c>
      <c r="O13" s="42">
        <f>(D70*L70)-E13</f>
        <v>6</v>
      </c>
      <c r="P13" s="42">
        <f t="shared" si="4"/>
        <v>106</v>
      </c>
      <c r="Q13" s="42">
        <f>(C70*L70)-C13</f>
        <v>3.0000000000000142</v>
      </c>
      <c r="R13" s="42">
        <f t="shared" si="5"/>
        <v>150</v>
      </c>
      <c r="S13" s="30">
        <f t="shared" si="6"/>
        <v>42294149.999999933</v>
      </c>
      <c r="T13" s="30">
        <f t="shared" si="7"/>
        <v>5671161.0000000102</v>
      </c>
      <c r="U13" s="31">
        <f t="shared" si="8"/>
        <v>7.4577586494193797</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41</v>
      </c>
      <c r="P14" s="42">
        <f t="shared" si="4"/>
        <v>0</v>
      </c>
      <c r="Q14" s="42">
        <f>(C70*L70)-C14</f>
        <v>109.00000000000001</v>
      </c>
      <c r="R14" s="42">
        <f t="shared" si="5"/>
        <v>150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1</v>
      </c>
      <c r="F15" s="34">
        <f>IF(((AND($D$69&gt;0,$E$15&gt;0))),(($E$15/($D$69))),0)</f>
        <v>2.1276595744680851</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1</v>
      </c>
      <c r="O15" s="42">
        <f>(D69*L69)-E15</f>
        <v>46</v>
      </c>
      <c r="P15" s="42">
        <f t="shared" si="4"/>
        <v>0</v>
      </c>
      <c r="Q15" s="42">
        <f>(C69*L69)-C15</f>
        <v>113.99999999999999</v>
      </c>
      <c r="R15" s="42">
        <f t="shared" si="5"/>
        <v>161</v>
      </c>
      <c r="S15" s="30">
        <f t="shared" si="6"/>
        <v>2092355.9999999993</v>
      </c>
      <c r="T15" s="30">
        <f t="shared" si="7"/>
        <v>857279.99999999988</v>
      </c>
      <c r="U15" s="31">
        <f t="shared" si="8"/>
        <v>2.4406914893617015</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10.914</v>
      </c>
      <c r="D42" s="56">
        <f>E6/1000</f>
        <v>0</v>
      </c>
      <c r="E42" s="56">
        <f>MAX(C42:D42)</f>
        <v>10.914</v>
      </c>
      <c r="G42" s="1" t="str">
        <f>B42</f>
        <v>per 1000 youth</v>
      </c>
      <c r="L42" s="57">
        <v>1000</v>
      </c>
      <c r="M42" s="57"/>
      <c r="R42" s="49"/>
    </row>
    <row r="43" spans="2:18" ht="15" hidden="1" customHeight="1">
      <c r="B43" s="49" t="s">
        <v>87</v>
      </c>
      <c r="C43" s="56">
        <f>C7/100</f>
        <v>0.73</v>
      </c>
      <c r="D43" s="56">
        <f>E7/100</f>
        <v>0</v>
      </c>
      <c r="E43" s="56">
        <f>MAX(C43:D43,0)</f>
        <v>0.73</v>
      </c>
      <c r="G43" s="1" t="str">
        <f>B43</f>
        <v>per 100 arrests</v>
      </c>
      <c r="L43" s="57">
        <v>100</v>
      </c>
      <c r="M43" s="57"/>
      <c r="R43" s="49"/>
    </row>
    <row r="44" spans="2:18" ht="15" hidden="1" customHeight="1">
      <c r="B44" s="49" t="s">
        <v>88</v>
      </c>
      <c r="C44" s="56">
        <f>C8/100</f>
        <v>1.24</v>
      </c>
      <c r="D44" s="56">
        <f>E8/100</f>
        <v>0.47</v>
      </c>
      <c r="E44" s="56">
        <f>MAX(C44:D44,0)</f>
        <v>1.24</v>
      </c>
      <c r="G44" s="1" t="str">
        <f>B44</f>
        <v>per 100 referrals</v>
      </c>
      <c r="L44" s="57">
        <v>100</v>
      </c>
      <c r="M44" s="57"/>
      <c r="R44" s="49"/>
    </row>
    <row r="45" spans="2:18" ht="15" hidden="1" customHeight="1">
      <c r="B45" s="49" t="s">
        <v>89</v>
      </c>
      <c r="C45" s="49">
        <f>C11/100</f>
        <v>1.1399999999999999</v>
      </c>
      <c r="D45" s="49">
        <f>E11/100</f>
        <v>0.47</v>
      </c>
      <c r="E45" s="56">
        <f>MAX(C45:D45,0)</f>
        <v>1.1399999999999999</v>
      </c>
      <c r="G45" s="1" t="str">
        <f>B45</f>
        <v>per 100 youth petitioned</v>
      </c>
      <c r="L45" s="57">
        <v>100</v>
      </c>
      <c r="M45" s="57"/>
      <c r="R45" s="49"/>
    </row>
    <row r="46" spans="2:18" ht="15" hidden="1" customHeight="1">
      <c r="B46" s="49" t="s">
        <v>90</v>
      </c>
      <c r="C46" s="49">
        <f>C12/100</f>
        <v>1.0900000000000001</v>
      </c>
      <c r="D46" s="49">
        <f>E12/100</f>
        <v>0.41</v>
      </c>
      <c r="E46" s="56">
        <f>MAX(C46:D46)</f>
        <v>1.0900000000000001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10.914</v>
      </c>
      <c r="D48" s="56">
        <f>D42</f>
        <v>0</v>
      </c>
      <c r="E48" s="56">
        <f>MAX(C48:D48)</f>
        <v>10.914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1.24</v>
      </c>
      <c r="D50" s="49">
        <f t="shared" si="9"/>
        <v>0.47</v>
      </c>
      <c r="E50" s="49">
        <f>MAX(C50:D50)</f>
        <v>1.24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1.1399999999999999</v>
      </c>
      <c r="D51" s="49">
        <f>IF(($E45&gt;0),D45,D44)</f>
        <v>0.47</v>
      </c>
      <c r="E51" s="49">
        <f>MAX(C51:D51)</f>
        <v>1.1399999999999999</v>
      </c>
      <c r="G51" s="1" t="str">
        <f>G45</f>
        <v>per 100 youth petitioned</v>
      </c>
      <c r="L51" s="58">
        <f>IF(($E45&gt;0),L45,L44)</f>
        <v>100</v>
      </c>
      <c r="M51" s="58"/>
    </row>
    <row r="52" spans="2:18" ht="15" hidden="1" customHeight="1">
      <c r="B52" s="49" t="str">
        <f>IF(($E46&gt;0),B46,B45)</f>
        <v>per 100 youth found delinquent</v>
      </c>
      <c r="C52" s="49">
        <f>IF(($E46&gt;0),C46,C45)</f>
        <v>1.0900000000000001</v>
      </c>
      <c r="D52" s="49">
        <f>IF(($E46&gt;0),D46,D45)</f>
        <v>0.41</v>
      </c>
      <c r="E52" s="56">
        <f>MAX(C52:D52)</f>
        <v>1.0900000000000001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10.914</v>
      </c>
      <c r="D54" s="56">
        <f>D48</f>
        <v>0</v>
      </c>
      <c r="E54" s="56">
        <f>MAX(C54:D54)</f>
        <v>10.914</v>
      </c>
      <c r="G54" s="1" t="str">
        <f>G48</f>
        <v>per 1000 youth</v>
      </c>
      <c r="L54" s="58">
        <f>L48</f>
        <v>1000</v>
      </c>
      <c r="M54" s="58"/>
    </row>
    <row r="55" spans="2:18" ht="15" hidden="1" customHeight="1">
      <c r="B55" s="49" t="str">
        <f t="shared" ref="B55:D56" si="10">IF(($E49&gt;0),B49,B48)</f>
        <v>per 100 arrests</v>
      </c>
      <c r="C55" s="49">
        <f t="shared" si="10"/>
        <v>0.73</v>
      </c>
      <c r="D55" s="49">
        <f t="shared" si="10"/>
        <v>0</v>
      </c>
      <c r="E55" s="49">
        <f>MAX(C55:D55)</f>
        <v>0.73</v>
      </c>
      <c r="G55" s="1" t="str">
        <f>G49</f>
        <v>per 100 arrests</v>
      </c>
      <c r="L55" s="58">
        <f>IF(($E49&gt;0),L49,L48)</f>
        <v>100</v>
      </c>
      <c r="M55" s="58"/>
    </row>
    <row r="56" spans="2:18" ht="15" hidden="1" customHeight="1">
      <c r="B56" s="49" t="str">
        <f t="shared" si="10"/>
        <v>per 100 referrals</v>
      </c>
      <c r="C56" s="49">
        <f t="shared" si="10"/>
        <v>1.24</v>
      </c>
      <c r="D56" s="49">
        <f t="shared" si="10"/>
        <v>0.47</v>
      </c>
      <c r="E56" s="49">
        <f>MAX(C56:D56)</f>
        <v>1.24</v>
      </c>
      <c r="G56" s="1" t="str">
        <f>G50</f>
        <v>per 100 referrals</v>
      </c>
      <c r="L56" s="58">
        <f>IF(($E50&gt;0),L50,L49)</f>
        <v>100</v>
      </c>
      <c r="M56" s="58"/>
    </row>
    <row r="57" spans="2:18" ht="15" hidden="1" customHeight="1">
      <c r="B57" s="49" t="str">
        <f>IF(($E51&gt;0),B51,B49)</f>
        <v>per 100 youth petitioned</v>
      </c>
      <c r="C57" s="49">
        <f>IF(($E51&gt;0),C51,C50)</f>
        <v>1.1399999999999999</v>
      </c>
      <c r="D57" s="49">
        <f>IF(($E51&gt;0),D51,D50)</f>
        <v>0.47</v>
      </c>
      <c r="E57" s="49">
        <f>MAX(C57:D57)</f>
        <v>1.1399999999999999</v>
      </c>
      <c r="G57" s="1" t="str">
        <f>G51</f>
        <v>per 100 youth petitioned</v>
      </c>
      <c r="L57" s="58">
        <f>IF(($E51&gt;0),L51,L50)</f>
        <v>100</v>
      </c>
      <c r="M57" s="58"/>
    </row>
    <row r="58" spans="2:18" ht="15" hidden="1" customHeight="1">
      <c r="B58" s="49" t="str">
        <f>IF(($E52&gt;0),B52,B51)</f>
        <v>per 100 youth found delinquent</v>
      </c>
      <c r="C58" s="49">
        <f>IF(($E52&gt;0),C52,C51)</f>
        <v>1.0900000000000001</v>
      </c>
      <c r="D58" s="49">
        <f>IF(($E52&gt;0),D52,D51)</f>
        <v>0.41</v>
      </c>
      <c r="E58" s="56">
        <f>MAX(C58:D58)</f>
        <v>1.0900000000000001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10.914</v>
      </c>
      <c r="D60" s="56">
        <f>D54</f>
        <v>0</v>
      </c>
      <c r="E60" s="56">
        <f>MAX(C60:D60)</f>
        <v>10.914</v>
      </c>
      <c r="G60" s="1" t="str">
        <f>G54</f>
        <v>per 1000 youth</v>
      </c>
      <c r="L60" s="58">
        <f>L54</f>
        <v>1000</v>
      </c>
      <c r="M60" s="58"/>
    </row>
    <row r="61" spans="2:18" ht="15" hidden="1" customHeight="1">
      <c r="B61" s="49" t="str">
        <f t="shared" ref="B61:D62" si="11">IF(($E55&gt;0),B55,B54)</f>
        <v>per 100 arrests</v>
      </c>
      <c r="C61" s="49">
        <f t="shared" si="11"/>
        <v>0.73</v>
      </c>
      <c r="D61" s="49">
        <f t="shared" si="11"/>
        <v>0</v>
      </c>
      <c r="E61" s="49">
        <f>MAX(C61:D61)</f>
        <v>0.73</v>
      </c>
      <c r="G61" s="1" t="str">
        <f>G55</f>
        <v>per 100 arrests</v>
      </c>
      <c r="L61" s="58">
        <f>IF(($E55&gt;0),L55,L54)</f>
        <v>100</v>
      </c>
      <c r="M61" s="58"/>
    </row>
    <row r="62" spans="2:18" ht="15" hidden="1" customHeight="1">
      <c r="B62" s="49" t="str">
        <f t="shared" si="11"/>
        <v>per 100 referrals</v>
      </c>
      <c r="C62" s="49">
        <f t="shared" si="11"/>
        <v>1.24</v>
      </c>
      <c r="D62" s="49">
        <f t="shared" si="11"/>
        <v>0.47</v>
      </c>
      <c r="E62" s="49">
        <f>MAX(C62:D62)</f>
        <v>1.24</v>
      </c>
      <c r="G62" s="1" t="str">
        <f>G56</f>
        <v>per 100 referrals</v>
      </c>
      <c r="L62" s="58">
        <f>IF(($E56&gt;0),L56,L55)</f>
        <v>100</v>
      </c>
      <c r="M62" s="58"/>
    </row>
    <row r="63" spans="2:18" ht="15" hidden="1" customHeight="1">
      <c r="B63" s="49" t="str">
        <f>IF(($E57&gt;0),B57,B55)</f>
        <v>per 100 youth petitioned</v>
      </c>
      <c r="C63" s="49">
        <f>IF(($E57&gt;0),C57,C56)</f>
        <v>1.1399999999999999</v>
      </c>
      <c r="D63" s="49">
        <f>IF(($E57&gt;0),D57,D56)</f>
        <v>0.47</v>
      </c>
      <c r="E63" s="49">
        <f>MAX(C63:D63)</f>
        <v>1.1399999999999999</v>
      </c>
      <c r="G63" s="1" t="str">
        <f>G57</f>
        <v>per 100 youth petitioned</v>
      </c>
      <c r="L63" s="58">
        <f>IF(($E57&gt;0),L57,L56)</f>
        <v>100</v>
      </c>
      <c r="M63" s="58"/>
    </row>
    <row r="64" spans="2:18" ht="15" hidden="1" customHeight="1">
      <c r="B64" s="49" t="str">
        <f>IF(($E58&gt;0),B58,B57)</f>
        <v>per 100 youth found delinquent</v>
      </c>
      <c r="C64" s="49">
        <f>IF(($E58&gt;0),C58,C57)</f>
        <v>1.0900000000000001</v>
      </c>
      <c r="D64" s="49">
        <f>IF(($E58&gt;0),D58,D57)</f>
        <v>0.41</v>
      </c>
      <c r="E64" s="56">
        <f>MAX(C64:D64)</f>
        <v>1.0900000000000001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10.914</v>
      </c>
      <c r="D66" s="56">
        <f>D60</f>
        <v>0</v>
      </c>
      <c r="E66" s="56">
        <f>MAX(C66:D66)</f>
        <v>10.914</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v>
      </c>
      <c r="E67" s="49">
        <f>MAX(C67:D67)</f>
        <v>0.73</v>
      </c>
      <c r="G67" s="1" t="str">
        <f>G61</f>
        <v>per 100 arrests</v>
      </c>
      <c r="L67" s="58">
        <f>IF(($E61&gt;0),L61,L60)</f>
        <v>100</v>
      </c>
      <c r="M67" s="58">
        <f>IF((B67=G67),1,2)</f>
        <v>1</v>
      </c>
    </row>
    <row r="68" spans="2:13" ht="15" hidden="1" customHeight="1">
      <c r="B68" s="49" t="str">
        <f t="shared" si="12"/>
        <v>per 100 referrals</v>
      </c>
      <c r="C68" s="49">
        <f t="shared" si="12"/>
        <v>1.24</v>
      </c>
      <c r="D68" s="49">
        <f t="shared" si="12"/>
        <v>0.47</v>
      </c>
      <c r="E68" s="49">
        <f>MAX(C68:D68)</f>
        <v>1.24</v>
      </c>
      <c r="G68" s="1" t="str">
        <f>G62</f>
        <v>per 100 referrals</v>
      </c>
      <c r="L68" s="58">
        <f>IF(($E62&gt;0),L62,L61)</f>
        <v>100</v>
      </c>
      <c r="M68" s="58">
        <f>IF((B68=G68),1,2)</f>
        <v>1</v>
      </c>
    </row>
    <row r="69" spans="2:13" ht="15" hidden="1" customHeight="1">
      <c r="B69" s="49" t="str">
        <f>IF(($E63&gt;0),B63,B61)</f>
        <v>per 100 youth petitioned</v>
      </c>
      <c r="C69" s="49">
        <f>IF(($E63&gt;0),C63,C62)</f>
        <v>1.1399999999999999</v>
      </c>
      <c r="D69" s="49">
        <f>IF(($E63&gt;0),D63,D62)</f>
        <v>0.47</v>
      </c>
      <c r="E69" s="49">
        <f>MAX(C69:D69)</f>
        <v>1.1399999999999999</v>
      </c>
      <c r="G69" s="1" t="str">
        <f>G63</f>
        <v>per 100 youth petitioned</v>
      </c>
      <c r="L69" s="58">
        <f>IF(($E63&gt;0),L63,L62)</f>
        <v>100</v>
      </c>
      <c r="M69" s="58">
        <f>IF((B69=G69),1,2)</f>
        <v>1</v>
      </c>
    </row>
    <row r="70" spans="2:13" ht="15" hidden="1" customHeight="1">
      <c r="B70" s="49" t="str">
        <f>IF(($E64&gt;0),B64,B63)</f>
        <v>per 100 youth found delinquent</v>
      </c>
      <c r="C70" s="49">
        <f>IF(($E64&gt;0),C64,C63)</f>
        <v>1.0900000000000001</v>
      </c>
      <c r="D70" s="49">
        <f>IF(($E64&gt;0),D64,D63)</f>
        <v>0.41</v>
      </c>
      <c r="E70" s="56">
        <f>MAX(C70:D70)</f>
        <v>1.0900000000000001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10914</v>
      </c>
      <c r="D6" s="34"/>
      <c r="E6" s="33">
        <f>'Data Entry'!J6</f>
        <v>7414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6.6886567711196632</v>
      </c>
      <c r="E7" s="33">
        <f>'Data Entry'!J7</f>
        <v>188</v>
      </c>
      <c r="F7" s="34">
        <f>IF((AND($E$7&gt;0,$D$66&gt;0)),($E$7/$D$66),0)</f>
        <v>25.357431885621796</v>
      </c>
      <c r="G7" s="39">
        <f t="shared" ref="G7:G15" si="0">IF(L$6=100,"*",IF(M7=FALSE,"--",IF(K7=20,"**",($F7/$D7))))</f>
        <v>3.7911097479407707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188</v>
      </c>
      <c r="O7" s="42">
        <f>E6-E7</f>
        <v>7226</v>
      </c>
      <c r="P7" s="42">
        <f t="shared" ref="P7:P15" si="4">C7</f>
        <v>73</v>
      </c>
      <c r="Q7" s="42">
        <f>C6-C7</f>
        <v>10841</v>
      </c>
      <c r="R7" s="42">
        <f t="shared" ref="R7:R15" si="5">SUM(N7:Q7)</f>
        <v>18328</v>
      </c>
      <c r="S7" s="30">
        <f t="shared" ref="S7:S15" si="6">R7*((((N7*Q7)-(O7*P7))^2))</f>
        <v>4.18234434614488E+16</v>
      </c>
      <c r="T7" s="30">
        <f t="shared" ref="T7:T15" si="7">(N7+O7)*(P7+Q7)*(N7+P7)*(O7+Q7)</f>
        <v>381560213424852</v>
      </c>
      <c r="U7" s="31">
        <f t="shared" ref="U7:U15" si="8">IF((S7&gt;0),S7/T7,"- -")</f>
        <v>109.61164710032298</v>
      </c>
    </row>
    <row r="8" spans="2:21" ht="18" customHeight="1">
      <c r="B8" s="32" t="str">
        <f>'Data Entry'!A8</f>
        <v>3. Refer to Juvenile Court</v>
      </c>
      <c r="C8" s="33">
        <f>'Data Entry'!C8</f>
        <v>124</v>
      </c>
      <c r="D8" s="34">
        <f>IF((AND(C67&gt;0,C8&gt;0)),(C8/C67),0)</f>
        <v>169.86301369863014</v>
      </c>
      <c r="E8" s="33">
        <f>'Data Entry'!J8</f>
        <v>350</v>
      </c>
      <c r="F8" s="34">
        <f>IF((AND($E$8&gt;0,$D$67&gt;0)),($E8/$D67),0)</f>
        <v>186.17021276595744</v>
      </c>
      <c r="G8" s="39">
        <f t="shared" si="0"/>
        <v>1.0960020590253947</v>
      </c>
      <c r="H8" s="40"/>
      <c r="I8" s="41"/>
      <c r="J8" s="40">
        <f>IF((ABS($U8)&gt;Defaults!D$7),1,2)</f>
        <v>2</v>
      </c>
      <c r="K8" s="39">
        <f>IF((AND(N8&gt;Defaults!B$12,(N8+O8)&gt;Defaults!B$13, P8 &gt; Defaults!B$12, (P8+Q8) &gt; Defaults!B$13)),1,20)</f>
        <v>1</v>
      </c>
      <c r="L8" s="1">
        <f t="shared" si="1"/>
        <v>2</v>
      </c>
      <c r="M8" s="1" t="b">
        <f t="shared" si="2"/>
        <v>1</v>
      </c>
      <c r="N8" s="42">
        <f t="shared" si="3"/>
        <v>350</v>
      </c>
      <c r="O8" s="42">
        <f>((D67*L67)-E8)+0.05</f>
        <v>-161.94999999999999</v>
      </c>
      <c r="P8" s="42">
        <f t="shared" si="4"/>
        <v>124</v>
      </c>
      <c r="Q8" s="42">
        <f>(C$67*L67)-C8</f>
        <v>-51</v>
      </c>
      <c r="R8" s="42">
        <f t="shared" si="5"/>
        <v>261.05</v>
      </c>
      <c r="S8" s="30">
        <f t="shared" si="6"/>
        <v>1300272100.2019992</v>
      </c>
      <c r="T8" s="30">
        <f t="shared" si="7"/>
        <v>-1385645653.9950001</v>
      </c>
      <c r="U8" s="31">
        <f t="shared" si="8"/>
        <v>-0.93838716734912875</v>
      </c>
    </row>
    <row r="9" spans="2:21" ht="18" customHeight="1">
      <c r="B9" s="32" t="str">
        <f>'Data Entry'!A9</f>
        <v xml:space="preserve">4. Cases Diverted </v>
      </c>
      <c r="C9" s="33">
        <f>'Data Entry'!C9</f>
        <v>5</v>
      </c>
      <c r="D9" s="34">
        <f>IF((AND(C68&gt;0,C9&gt;0)),((C9/C68)),0)</f>
        <v>4.032258064516129</v>
      </c>
      <c r="E9" s="33">
        <f>'Data Entry'!J9</f>
        <v>9</v>
      </c>
      <c r="F9" s="34">
        <f>IF((AND($E$9&gt;0,$D$68&gt;0)),(($E$9/$D$68)),0)</f>
        <v>2.5714285714285716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9</v>
      </c>
      <c r="O9" s="42">
        <f>(D$68*L68)-E9</f>
        <v>341</v>
      </c>
      <c r="P9" s="42">
        <f t="shared" si="4"/>
        <v>5</v>
      </c>
      <c r="Q9" s="42">
        <f>(C$68*L68)-C9</f>
        <v>119</v>
      </c>
      <c r="R9" s="42">
        <f t="shared" si="5"/>
        <v>474</v>
      </c>
      <c r="S9" s="30">
        <f t="shared" si="6"/>
        <v>190527144</v>
      </c>
      <c r="T9" s="30">
        <f t="shared" si="7"/>
        <v>279496000</v>
      </c>
      <c r="U9" s="31">
        <f t="shared" si="8"/>
        <v>0.68168111171537338</v>
      </c>
    </row>
    <row r="10" spans="2:21" ht="18" customHeight="1">
      <c r="B10" s="32" t="str">
        <f>'Data Entry'!A10</f>
        <v>5. Cases Involving Secure Detention</v>
      </c>
      <c r="C10" s="33">
        <f>'Data Entry'!C10</f>
        <v>80</v>
      </c>
      <c r="D10" s="34">
        <f>IF(((AND(C68&gt;0,C10&gt;0))),(C10/(C68)),0)</f>
        <v>64.516129032258064</v>
      </c>
      <c r="E10" s="33">
        <f>'Data Entry'!J10</f>
        <v>270</v>
      </c>
      <c r="F10" s="34">
        <f>IF(((AND($E$10&gt;0,$D$68&gt;0))),($E$10/($D$68)),0)</f>
        <v>77.142857142857139</v>
      </c>
      <c r="G10" s="39">
        <f t="shared" si="0"/>
        <v>1.1957142857142857</v>
      </c>
      <c r="H10" s="40"/>
      <c r="I10" s="41"/>
      <c r="J10" s="40">
        <f>IF((ABS($U10)&gt;Defaults!D$7),1,2)</f>
        <v>1</v>
      </c>
      <c r="K10" s="39">
        <f>IF((AND(N10&gt;Defaults!B$12,(N10+O10)&gt;Defaults!B$13, P10 &gt; Defaults!B$12, (P10+Q10) &gt; Defaults!B$13)),1,20)</f>
        <v>1</v>
      </c>
      <c r="L10" s="1">
        <f t="shared" si="1"/>
        <v>1</v>
      </c>
      <c r="M10" s="1" t="b">
        <f t="shared" si="2"/>
        <v>1</v>
      </c>
      <c r="N10" s="42">
        <f t="shared" si="3"/>
        <v>270</v>
      </c>
      <c r="O10" s="42">
        <f>(D$68*L68)-E10</f>
        <v>80</v>
      </c>
      <c r="P10" s="42">
        <f t="shared" si="4"/>
        <v>80</v>
      </c>
      <c r="Q10" s="42">
        <f>(C$68*L68)-C10</f>
        <v>44</v>
      </c>
      <c r="R10" s="42">
        <f t="shared" si="5"/>
        <v>474</v>
      </c>
      <c r="S10" s="30">
        <f t="shared" si="6"/>
        <v>14234409600</v>
      </c>
      <c r="T10" s="30">
        <f t="shared" si="7"/>
        <v>1883560000</v>
      </c>
      <c r="U10" s="31">
        <f t="shared" si="8"/>
        <v>7.5571840557242664</v>
      </c>
    </row>
    <row r="11" spans="2:21" ht="18" customHeight="1">
      <c r="B11" s="32" t="str">
        <f>'Data Entry'!A11</f>
        <v>6. Cases Petitioned (Charge Filed)</v>
      </c>
      <c r="C11" s="33">
        <f>'Data Entry'!C11</f>
        <v>114</v>
      </c>
      <c r="D11" s="34">
        <f>IF(((AND(C68&gt;0,C11&gt;0))),(C11/(C68)),0)</f>
        <v>91.935483870967744</v>
      </c>
      <c r="E11" s="33">
        <f>'Data Entry'!J11</f>
        <v>346</v>
      </c>
      <c r="F11" s="34">
        <f>IF(((AND($E$11&gt;0,$D$68&gt;0))),($E$11/($D$68)),0)</f>
        <v>98.857142857142861</v>
      </c>
      <c r="G11" s="39">
        <f t="shared" si="0"/>
        <v>1.0752882205513785</v>
      </c>
      <c r="H11" s="40"/>
      <c r="I11" s="41"/>
      <c r="J11" s="40">
        <f>IF((ABS($U11)&gt;Defaults!D$7),1,2)</f>
        <v>1</v>
      </c>
      <c r="K11" s="39">
        <f>IF((AND(N11&gt;Defaults!B$12,(N11+O11)&gt;Defaults!B$13, P11 &gt; Defaults!B$12, (P11+Q11) &gt; Defaults!B$13)),1,20)</f>
        <v>1</v>
      </c>
      <c r="L11" s="1">
        <f t="shared" si="1"/>
        <v>1</v>
      </c>
      <c r="M11" s="1" t="b">
        <f t="shared" si="2"/>
        <v>1</v>
      </c>
      <c r="N11" s="42">
        <f t="shared" si="3"/>
        <v>346</v>
      </c>
      <c r="O11" s="42">
        <f>(D$68*L68)-E11</f>
        <v>4</v>
      </c>
      <c r="P11" s="42">
        <f t="shared" si="4"/>
        <v>114</v>
      </c>
      <c r="Q11" s="42">
        <f>(C$68*L68)-C11</f>
        <v>10</v>
      </c>
      <c r="R11" s="42">
        <f t="shared" si="5"/>
        <v>474</v>
      </c>
      <c r="S11" s="30">
        <f t="shared" si="6"/>
        <v>4277383584</v>
      </c>
      <c r="T11" s="30">
        <f t="shared" si="7"/>
        <v>279496000</v>
      </c>
      <c r="U11" s="31">
        <f t="shared" si="8"/>
        <v>15.303916993445345</v>
      </c>
    </row>
    <row r="12" spans="2:21" ht="18" customHeight="1">
      <c r="B12" s="32" t="str">
        <f>'Data Entry'!A12</f>
        <v>7. Cases Resulting in Delinquent Findings</v>
      </c>
      <c r="C12" s="33">
        <f>'Data Entry'!C12</f>
        <v>109</v>
      </c>
      <c r="D12" s="34">
        <f>IF(((AND(C69&gt;0,C12&gt;0))),(C12/(C69)),0)</f>
        <v>95.614035087719301</v>
      </c>
      <c r="E12" s="33">
        <f>'Data Entry'!J12</f>
        <v>304</v>
      </c>
      <c r="F12" s="34">
        <f>IF(((AND($D$69&gt;0,$E$12&gt;0))),(E12/(D69)),0)</f>
        <v>87.861271676300575</v>
      </c>
      <c r="G12" s="39">
        <f t="shared" si="0"/>
        <v>0.91891605239433627</v>
      </c>
      <c r="H12" s="40"/>
      <c r="I12" s="41"/>
      <c r="J12" s="40">
        <f>IF((ABS($U12)&gt;Defaults!D$7),1,2)</f>
        <v>1</v>
      </c>
      <c r="K12" s="39">
        <f>IF((AND(N12&gt;Defaults!B$12,(N12+O12)&gt;Defaults!B$13, P12 &gt; Defaults!B$12, (P12+Q12) &gt; Defaults!B$13)),1,20)</f>
        <v>1</v>
      </c>
      <c r="L12" s="1">
        <f t="shared" si="1"/>
        <v>1</v>
      </c>
      <c r="M12" s="1" t="b">
        <f t="shared" si="2"/>
        <v>1</v>
      </c>
      <c r="N12" s="42">
        <f t="shared" si="3"/>
        <v>304</v>
      </c>
      <c r="O12" s="42">
        <f>(D69*L69)-E12</f>
        <v>42</v>
      </c>
      <c r="P12" s="42">
        <f t="shared" si="4"/>
        <v>109</v>
      </c>
      <c r="Q12" s="42">
        <f>(C69*L69)-C12</f>
        <v>4.9999999999999858</v>
      </c>
      <c r="R12" s="42">
        <f t="shared" si="5"/>
        <v>460</v>
      </c>
      <c r="S12" s="30">
        <f t="shared" si="6"/>
        <v>4301627440.0000124</v>
      </c>
      <c r="T12" s="30">
        <f t="shared" si="7"/>
        <v>765647483.99999964</v>
      </c>
      <c r="U12" s="31">
        <f t="shared" si="8"/>
        <v>5.6182871750937728</v>
      </c>
    </row>
    <row r="13" spans="2:21" ht="18" customHeight="1">
      <c r="B13" s="32" t="str">
        <f>'Data Entry'!A13</f>
        <v>8. Cases Resulting in Probation Placement</v>
      </c>
      <c r="C13" s="33">
        <f>'Data Entry'!C13</f>
        <v>106</v>
      </c>
      <c r="D13" s="34">
        <f>IF(((AND(C70&gt;0,C13&gt;0))),(C13/(C70)),0)</f>
        <v>97.247706422018339</v>
      </c>
      <c r="E13" s="33">
        <f>'Data Entry'!J13</f>
        <v>274</v>
      </c>
      <c r="F13" s="34">
        <f>IF(((AND($D$70&gt;0,$E$13&gt;0))),($E$13/($D$70)),0)</f>
        <v>90.131578947368425</v>
      </c>
      <c r="G13" s="39">
        <f t="shared" si="0"/>
        <v>0.92682472691161877</v>
      </c>
      <c r="H13" s="40"/>
      <c r="I13" s="41"/>
      <c r="J13" s="40">
        <f>IF((ABS($U13)&gt;Defaults!D$7),1,2)</f>
        <v>1</v>
      </c>
      <c r="K13" s="39">
        <f>IF((AND(N13&gt;Defaults!B$12,(N13+O13)&gt;Defaults!B$13, P13 &gt; Defaults!B$12, (P13+Q13) &gt; Defaults!B$13)),1,20)</f>
        <v>1</v>
      </c>
      <c r="L13" s="1">
        <f t="shared" si="1"/>
        <v>1</v>
      </c>
      <c r="M13" s="1" t="b">
        <f t="shared" si="2"/>
        <v>1</v>
      </c>
      <c r="N13" s="42">
        <f t="shared" si="3"/>
        <v>274</v>
      </c>
      <c r="O13" s="42">
        <f>(D70*L70)-E13</f>
        <v>30</v>
      </c>
      <c r="P13" s="42">
        <f t="shared" si="4"/>
        <v>106</v>
      </c>
      <c r="Q13" s="42">
        <f>(C70*L70)-C13</f>
        <v>3.0000000000000142</v>
      </c>
      <c r="R13" s="42">
        <f t="shared" si="5"/>
        <v>413</v>
      </c>
      <c r="S13" s="30">
        <f t="shared" si="6"/>
        <v>2296347731.9999928</v>
      </c>
      <c r="T13" s="30">
        <f t="shared" si="7"/>
        <v>415525440.00000024</v>
      </c>
      <c r="U13" s="31">
        <f t="shared" si="8"/>
        <v>5.5263709774303864</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304</v>
      </c>
      <c r="P14" s="42">
        <f t="shared" si="4"/>
        <v>0</v>
      </c>
      <c r="Q14" s="42">
        <f>(C70*L70)-C14</f>
        <v>109.00000000000001</v>
      </c>
      <c r="R14" s="42">
        <f t="shared" si="5"/>
        <v>413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8</v>
      </c>
      <c r="F15" s="34">
        <f>IF(((AND($D$69&gt;0,$E$15&gt;0))),(($E$15/($D$69))),0)</f>
        <v>2.3121387283236996</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8</v>
      </c>
      <c r="O15" s="42">
        <f>(D69*L69)-E15</f>
        <v>338</v>
      </c>
      <c r="P15" s="42">
        <f t="shared" si="4"/>
        <v>0</v>
      </c>
      <c r="Q15" s="42">
        <f>(C69*L69)-C15</f>
        <v>113.99999999999999</v>
      </c>
      <c r="R15" s="42">
        <f t="shared" si="5"/>
        <v>460</v>
      </c>
      <c r="S15" s="30">
        <f t="shared" si="6"/>
        <v>382602239.99999988</v>
      </c>
      <c r="T15" s="30">
        <f t="shared" si="7"/>
        <v>142629503.99999997</v>
      </c>
      <c r="U15" s="31">
        <f t="shared" si="8"/>
        <v>2.6824901529489997</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10.914</v>
      </c>
      <c r="D42" s="56">
        <f>E6/1000</f>
        <v>7.4139999999999997</v>
      </c>
      <c r="E42" s="56">
        <f>MAX(C42:D42)</f>
        <v>10.914</v>
      </c>
      <c r="G42" s="1" t="str">
        <f>B42</f>
        <v>per 1000 youth</v>
      </c>
      <c r="L42" s="57">
        <v>1000</v>
      </c>
      <c r="M42" s="57"/>
      <c r="R42" s="49"/>
    </row>
    <row r="43" spans="2:18" ht="15" hidden="1" customHeight="1">
      <c r="B43" s="49" t="s">
        <v>87</v>
      </c>
      <c r="C43" s="56">
        <f>C7/100</f>
        <v>0.73</v>
      </c>
      <c r="D43" s="56">
        <f>E7/100</f>
        <v>1.88</v>
      </c>
      <c r="E43" s="56">
        <f>MAX(C43:D43,0)</f>
        <v>1.88</v>
      </c>
      <c r="G43" s="1" t="str">
        <f>B43</f>
        <v>per 100 arrests</v>
      </c>
      <c r="L43" s="57">
        <v>100</v>
      </c>
      <c r="M43" s="57"/>
      <c r="R43" s="49"/>
    </row>
    <row r="44" spans="2:18" ht="15" hidden="1" customHeight="1">
      <c r="B44" s="49" t="s">
        <v>88</v>
      </c>
      <c r="C44" s="56">
        <f>C8/100</f>
        <v>1.24</v>
      </c>
      <c r="D44" s="56">
        <f>E8/100</f>
        <v>3.5</v>
      </c>
      <c r="E44" s="56">
        <f>MAX(C44:D44,0)</f>
        <v>3.5</v>
      </c>
      <c r="G44" s="1" t="str">
        <f>B44</f>
        <v>per 100 referrals</v>
      </c>
      <c r="L44" s="57">
        <v>100</v>
      </c>
      <c r="M44" s="57"/>
      <c r="R44" s="49"/>
    </row>
    <row r="45" spans="2:18" ht="15" hidden="1" customHeight="1">
      <c r="B45" s="49" t="s">
        <v>89</v>
      </c>
      <c r="C45" s="49">
        <f>C11/100</f>
        <v>1.1399999999999999</v>
      </c>
      <c r="D45" s="49">
        <f>E11/100</f>
        <v>3.46</v>
      </c>
      <c r="E45" s="56">
        <f>MAX(C45:D45,0)</f>
        <v>3.46</v>
      </c>
      <c r="G45" s="1" t="str">
        <f>B45</f>
        <v>per 100 youth petitioned</v>
      </c>
      <c r="L45" s="57">
        <v>100</v>
      </c>
      <c r="M45" s="57"/>
      <c r="R45" s="49"/>
    </row>
    <row r="46" spans="2:18" ht="15" hidden="1" customHeight="1">
      <c r="B46" s="49" t="s">
        <v>90</v>
      </c>
      <c r="C46" s="49">
        <f>C12/100</f>
        <v>1.0900000000000001</v>
      </c>
      <c r="D46" s="49">
        <f>E12/100</f>
        <v>3.04</v>
      </c>
      <c r="E46" s="56">
        <f>MAX(C46:D46)</f>
        <v>3.04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10.914</v>
      </c>
      <c r="D48" s="56">
        <f>D42</f>
        <v>7.4139999999999997</v>
      </c>
      <c r="E48" s="56">
        <f>MAX(C48:D48)</f>
        <v>10.914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1.88</v>
      </c>
      <c r="E49" s="49">
        <f>MAX(C49:D49)</f>
        <v>1.88</v>
      </c>
      <c r="G49" s="1" t="str">
        <f>G43</f>
        <v>per 100 arrests</v>
      </c>
      <c r="L49" s="58">
        <f>IF(($E43&gt;0),L43,L42)</f>
        <v>100</v>
      </c>
      <c r="M49" s="58"/>
      <c r="N49" s="21"/>
      <c r="O49" s="21"/>
      <c r="P49" s="21"/>
      <c r="Q49" s="21"/>
      <c r="R49" s="21"/>
    </row>
    <row r="50" spans="2:18" ht="15" hidden="1" customHeight="1">
      <c r="B50" s="49" t="str">
        <f t="shared" si="9"/>
        <v>per 100 referrals</v>
      </c>
      <c r="C50" s="49">
        <f t="shared" si="9"/>
        <v>1.24</v>
      </c>
      <c r="D50" s="49">
        <f t="shared" si="9"/>
        <v>3.5</v>
      </c>
      <c r="E50" s="49">
        <f>MAX(C50:D50)</f>
        <v>3.5</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1.1399999999999999</v>
      </c>
      <c r="D51" s="49">
        <f>IF(($E45&gt;0),D45,D44)</f>
        <v>3.46</v>
      </c>
      <c r="E51" s="49">
        <f>MAX(C51:D51)</f>
        <v>3.46</v>
      </c>
      <c r="G51" s="1" t="str">
        <f>G45</f>
        <v>per 100 youth petitioned</v>
      </c>
      <c r="L51" s="58">
        <f>IF(($E45&gt;0),L45,L44)</f>
        <v>100</v>
      </c>
      <c r="M51" s="58"/>
    </row>
    <row r="52" spans="2:18" ht="15" hidden="1" customHeight="1">
      <c r="B52" s="49" t="str">
        <f>IF(($E46&gt;0),B46,B45)</f>
        <v>per 100 youth found delinquent</v>
      </c>
      <c r="C52" s="49">
        <f>IF(($E46&gt;0),C46,C45)</f>
        <v>1.0900000000000001</v>
      </c>
      <c r="D52" s="49">
        <f>IF(($E46&gt;0),D46,D45)</f>
        <v>3.04</v>
      </c>
      <c r="E52" s="56">
        <f>MAX(C52:D52)</f>
        <v>3.04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10.914</v>
      </c>
      <c r="D54" s="56">
        <f>D48</f>
        <v>7.4139999999999997</v>
      </c>
      <c r="E54" s="56">
        <f>MAX(C54:D54)</f>
        <v>10.914</v>
      </c>
      <c r="G54" s="1" t="str">
        <f>G48</f>
        <v>per 1000 youth</v>
      </c>
      <c r="L54" s="58">
        <f>L48</f>
        <v>1000</v>
      </c>
      <c r="M54" s="58"/>
    </row>
    <row r="55" spans="2:18" ht="15" hidden="1" customHeight="1">
      <c r="B55" s="49" t="str">
        <f t="shared" ref="B55:D56" si="10">IF(($E49&gt;0),B49,B48)</f>
        <v>per 100 arrests</v>
      </c>
      <c r="C55" s="49">
        <f t="shared" si="10"/>
        <v>0.73</v>
      </c>
      <c r="D55" s="49">
        <f t="shared" si="10"/>
        <v>1.88</v>
      </c>
      <c r="E55" s="49">
        <f>MAX(C55:D55)</f>
        <v>1.88</v>
      </c>
      <c r="G55" s="1" t="str">
        <f>G49</f>
        <v>per 100 arrests</v>
      </c>
      <c r="L55" s="58">
        <f>IF(($E49&gt;0),L49,L48)</f>
        <v>100</v>
      </c>
      <c r="M55" s="58"/>
    </row>
    <row r="56" spans="2:18" ht="15" hidden="1" customHeight="1">
      <c r="B56" s="49" t="str">
        <f t="shared" si="10"/>
        <v>per 100 referrals</v>
      </c>
      <c r="C56" s="49">
        <f t="shared" si="10"/>
        <v>1.24</v>
      </c>
      <c r="D56" s="49">
        <f t="shared" si="10"/>
        <v>3.5</v>
      </c>
      <c r="E56" s="49">
        <f>MAX(C56:D56)</f>
        <v>3.5</v>
      </c>
      <c r="G56" s="1" t="str">
        <f>G50</f>
        <v>per 100 referrals</v>
      </c>
      <c r="L56" s="58">
        <f>IF(($E50&gt;0),L50,L49)</f>
        <v>100</v>
      </c>
      <c r="M56" s="58"/>
    </row>
    <row r="57" spans="2:18" ht="15" hidden="1" customHeight="1">
      <c r="B57" s="49" t="str">
        <f>IF(($E51&gt;0),B51,B49)</f>
        <v>per 100 youth petitioned</v>
      </c>
      <c r="C57" s="49">
        <f>IF(($E51&gt;0),C51,C50)</f>
        <v>1.1399999999999999</v>
      </c>
      <c r="D57" s="49">
        <f>IF(($E51&gt;0),D51,D50)</f>
        <v>3.46</v>
      </c>
      <c r="E57" s="49">
        <f>MAX(C57:D57)</f>
        <v>3.46</v>
      </c>
      <c r="G57" s="1" t="str">
        <f>G51</f>
        <v>per 100 youth petitioned</v>
      </c>
      <c r="L57" s="58">
        <f>IF(($E51&gt;0),L51,L50)</f>
        <v>100</v>
      </c>
      <c r="M57" s="58"/>
    </row>
    <row r="58" spans="2:18" ht="15" hidden="1" customHeight="1">
      <c r="B58" s="49" t="str">
        <f>IF(($E52&gt;0),B52,B51)</f>
        <v>per 100 youth found delinquent</v>
      </c>
      <c r="C58" s="49">
        <f>IF(($E52&gt;0),C52,C51)</f>
        <v>1.0900000000000001</v>
      </c>
      <c r="D58" s="49">
        <f>IF(($E52&gt;0),D52,D51)</f>
        <v>3.04</v>
      </c>
      <c r="E58" s="56">
        <f>MAX(C58:D58)</f>
        <v>3.04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10.914</v>
      </c>
      <c r="D60" s="56">
        <f>D54</f>
        <v>7.4139999999999997</v>
      </c>
      <c r="E60" s="56">
        <f>MAX(C60:D60)</f>
        <v>10.914</v>
      </c>
      <c r="G60" s="1" t="str">
        <f>G54</f>
        <v>per 1000 youth</v>
      </c>
      <c r="L60" s="58">
        <f>L54</f>
        <v>1000</v>
      </c>
      <c r="M60" s="58"/>
    </row>
    <row r="61" spans="2:18" ht="15" hidden="1" customHeight="1">
      <c r="B61" s="49" t="str">
        <f t="shared" ref="B61:D62" si="11">IF(($E55&gt;0),B55,B54)</f>
        <v>per 100 arrests</v>
      </c>
      <c r="C61" s="49">
        <f t="shared" si="11"/>
        <v>0.73</v>
      </c>
      <c r="D61" s="49">
        <f t="shared" si="11"/>
        <v>1.88</v>
      </c>
      <c r="E61" s="49">
        <f>MAX(C61:D61)</f>
        <v>1.88</v>
      </c>
      <c r="G61" s="1" t="str">
        <f>G55</f>
        <v>per 100 arrests</v>
      </c>
      <c r="L61" s="58">
        <f>IF(($E55&gt;0),L55,L54)</f>
        <v>100</v>
      </c>
      <c r="M61" s="58"/>
    </row>
    <row r="62" spans="2:18" ht="15" hidden="1" customHeight="1">
      <c r="B62" s="49" t="str">
        <f t="shared" si="11"/>
        <v>per 100 referrals</v>
      </c>
      <c r="C62" s="49">
        <f t="shared" si="11"/>
        <v>1.24</v>
      </c>
      <c r="D62" s="49">
        <f t="shared" si="11"/>
        <v>3.5</v>
      </c>
      <c r="E62" s="49">
        <f>MAX(C62:D62)</f>
        <v>3.5</v>
      </c>
      <c r="G62" s="1" t="str">
        <f>G56</f>
        <v>per 100 referrals</v>
      </c>
      <c r="L62" s="58">
        <f>IF(($E56&gt;0),L56,L55)</f>
        <v>100</v>
      </c>
      <c r="M62" s="58"/>
    </row>
    <row r="63" spans="2:18" ht="15" hidden="1" customHeight="1">
      <c r="B63" s="49" t="str">
        <f>IF(($E57&gt;0),B57,B55)</f>
        <v>per 100 youth petitioned</v>
      </c>
      <c r="C63" s="49">
        <f>IF(($E57&gt;0),C57,C56)</f>
        <v>1.1399999999999999</v>
      </c>
      <c r="D63" s="49">
        <f>IF(($E57&gt;0),D57,D56)</f>
        <v>3.46</v>
      </c>
      <c r="E63" s="49">
        <f>MAX(C63:D63)</f>
        <v>3.46</v>
      </c>
      <c r="G63" s="1" t="str">
        <f>G57</f>
        <v>per 100 youth petitioned</v>
      </c>
      <c r="L63" s="58">
        <f>IF(($E57&gt;0),L57,L56)</f>
        <v>100</v>
      </c>
      <c r="M63" s="58"/>
    </row>
    <row r="64" spans="2:18" ht="15" hidden="1" customHeight="1">
      <c r="B64" s="49" t="str">
        <f>IF(($E58&gt;0),B58,B57)</f>
        <v>per 100 youth found delinquent</v>
      </c>
      <c r="C64" s="49">
        <f>IF(($E58&gt;0),C58,C57)</f>
        <v>1.0900000000000001</v>
      </c>
      <c r="D64" s="49">
        <f>IF(($E58&gt;0),D58,D57)</f>
        <v>3.04</v>
      </c>
      <c r="E64" s="56">
        <f>MAX(C64:D64)</f>
        <v>3.04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10.914</v>
      </c>
      <c r="D66" s="56">
        <f>D60</f>
        <v>7.4139999999999997</v>
      </c>
      <c r="E66" s="56">
        <f>MAX(C66:D66)</f>
        <v>10.914</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1.88</v>
      </c>
      <c r="E67" s="49">
        <f>MAX(C67:D67)</f>
        <v>1.88</v>
      </c>
      <c r="G67" s="1" t="str">
        <f>G61</f>
        <v>per 100 arrests</v>
      </c>
      <c r="L67" s="58">
        <f>IF(($E61&gt;0),L61,L60)</f>
        <v>100</v>
      </c>
      <c r="M67" s="58">
        <f>IF((B67=G67),1,2)</f>
        <v>1</v>
      </c>
    </row>
    <row r="68" spans="2:13" ht="15" hidden="1" customHeight="1">
      <c r="B68" s="49" t="str">
        <f t="shared" si="12"/>
        <v>per 100 referrals</v>
      </c>
      <c r="C68" s="49">
        <f t="shared" si="12"/>
        <v>1.24</v>
      </c>
      <c r="D68" s="49">
        <f t="shared" si="12"/>
        <v>3.5</v>
      </c>
      <c r="E68" s="49">
        <f>MAX(C68:D68)</f>
        <v>3.5</v>
      </c>
      <c r="G68" s="1" t="str">
        <f>G62</f>
        <v>per 100 referrals</v>
      </c>
      <c r="L68" s="58">
        <f>IF(($E62&gt;0),L62,L61)</f>
        <v>100</v>
      </c>
      <c r="M68" s="58">
        <f>IF((B68=G68),1,2)</f>
        <v>1</v>
      </c>
    </row>
    <row r="69" spans="2:13" ht="15" hidden="1" customHeight="1">
      <c r="B69" s="49" t="str">
        <f>IF(($E63&gt;0),B63,B61)</f>
        <v>per 100 youth petitioned</v>
      </c>
      <c r="C69" s="49">
        <f>IF(($E63&gt;0),C63,C62)</f>
        <v>1.1399999999999999</v>
      </c>
      <c r="D69" s="49">
        <f>IF(($E63&gt;0),D63,D62)</f>
        <v>3.46</v>
      </c>
      <c r="E69" s="49">
        <f>MAX(C69:D69)</f>
        <v>3.46</v>
      </c>
      <c r="G69" s="1" t="str">
        <f>G63</f>
        <v>per 100 youth petitioned</v>
      </c>
      <c r="L69" s="58">
        <f>IF(($E63&gt;0),L63,L62)</f>
        <v>100</v>
      </c>
      <c r="M69" s="58">
        <f>IF((B69=G69),1,2)</f>
        <v>1</v>
      </c>
    </row>
    <row r="70" spans="2:13" ht="15" hidden="1" customHeight="1">
      <c r="B70" s="49" t="str">
        <f>IF(($E64&gt;0),B64,B63)</f>
        <v>per 100 youth found delinquent</v>
      </c>
      <c r="C70" s="49">
        <f>IF(($E64&gt;0),C64,C63)</f>
        <v>1.0900000000000001</v>
      </c>
      <c r="D70" s="49">
        <f>IF(($E64&gt;0),D64,D63)</f>
        <v>3.04</v>
      </c>
      <c r="E70" s="56">
        <f>MAX(C70:D70)</f>
        <v>3.04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Saginaw</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5.8301640028735813</v>
      </c>
      <c r="D7" s="72">
        <f>Hispanic!G7</f>
        <v>0.69349910776220391</v>
      </c>
      <c r="E7" s="72" t="str">
        <f>Asian!G7</f>
        <v>**</v>
      </c>
      <c r="F7" s="72" t="str">
        <f>Hawaiian!G7</f>
        <v>*</v>
      </c>
      <c r="G7" s="72" t="str">
        <f>'Am Indian'!G7</f>
        <v>*</v>
      </c>
      <c r="H7" s="72" t="str">
        <f>'Other - Mixed'!G7</f>
        <v>*</v>
      </c>
      <c r="I7" s="73">
        <f>'All Minorities'!G7</f>
        <v>3.7911097479407707</v>
      </c>
      <c r="L7" s="1">
        <f>'Black or African-American'!L7</f>
        <v>1</v>
      </c>
      <c r="M7" s="1">
        <f>Hispanic!L7</f>
        <v>2</v>
      </c>
      <c r="N7" s="1">
        <f>Asian!L7</f>
        <v>40</v>
      </c>
      <c r="O7" s="1" t="e">
        <f>Hawaiian!L7</f>
        <v>#DIV/0!</v>
      </c>
      <c r="P7" s="1">
        <f>'Am Indian'!L7</f>
        <v>139</v>
      </c>
      <c r="Q7" s="1" t="e">
        <f>'Other - Mixed'!L7</f>
        <v>#VALUE!</v>
      </c>
      <c r="R7" s="1">
        <f>'All Minorities'!L7</f>
        <v>1</v>
      </c>
    </row>
    <row r="8" spans="2:18" ht="15" customHeight="1">
      <c r="B8" s="71" t="s">
        <v>9</v>
      </c>
      <c r="C8" s="72">
        <f>'Black or African-American'!$G8</f>
        <v>0.9338153503893214</v>
      </c>
      <c r="D8" s="72" t="str">
        <f>Hispanic!G8</f>
        <v>**</v>
      </c>
      <c r="E8" s="72" t="str">
        <f>Asian!G8</f>
        <v>**</v>
      </c>
      <c r="F8" s="72" t="str">
        <f>Hawaiian!G8</f>
        <v>*</v>
      </c>
      <c r="G8" s="72" t="str">
        <f>'Am Indian'!G8</f>
        <v>*</v>
      </c>
      <c r="H8" s="72" t="str">
        <f>'Other - Mixed'!G8</f>
        <v>*</v>
      </c>
      <c r="I8" s="73">
        <f>'All Minorities'!G8</f>
        <v>1.0960020590253947</v>
      </c>
      <c r="L8" s="1">
        <f>'Black or African-American'!L8</f>
        <v>2</v>
      </c>
      <c r="M8" s="1">
        <f>Hispanic!L8</f>
        <v>40</v>
      </c>
      <c r="N8" s="1">
        <f>Asian!L8</f>
        <v>40</v>
      </c>
      <c r="O8" s="1">
        <f>Hawaiian!L8</f>
        <v>139</v>
      </c>
      <c r="P8" s="1">
        <f>'Am Indian'!L8</f>
        <v>119</v>
      </c>
      <c r="Q8" s="1">
        <f>'Other - Mixed'!L8</f>
        <v>119</v>
      </c>
      <c r="R8" s="1">
        <f>'All Minorities'!L8</f>
        <v>2</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f>'Am Indian'!L9</f>
        <v>139</v>
      </c>
      <c r="Q9" s="1">
        <f>'Other - Mixed'!L9</f>
        <v>139</v>
      </c>
      <c r="R9" s="1">
        <f>'All Minorities'!L9</f>
        <v>40</v>
      </c>
    </row>
    <row r="10" spans="2:18" ht="15" customHeight="1">
      <c r="B10" s="71" t="s">
        <v>11</v>
      </c>
      <c r="C10" s="72">
        <f>'Black or African-American'!$G10</f>
        <v>1.3028985507246378</v>
      </c>
      <c r="D10" s="72" t="str">
        <f>Hispanic!G10</f>
        <v>**</v>
      </c>
      <c r="E10" s="72" t="str">
        <f>Asian!G10</f>
        <v>--</v>
      </c>
      <c r="F10" s="72" t="str">
        <f>Hawaiian!G10</f>
        <v>*</v>
      </c>
      <c r="G10" s="72" t="str">
        <f>'Am Indian'!G10</f>
        <v>*</v>
      </c>
      <c r="H10" s="72" t="str">
        <f>'Other - Mixed'!G10</f>
        <v>*</v>
      </c>
      <c r="I10" s="73">
        <f>'All Minorities'!G10</f>
        <v>1.1957142857142857</v>
      </c>
      <c r="L10" s="1">
        <f>'Black or African-American'!L10</f>
        <v>1</v>
      </c>
      <c r="M10" s="1">
        <f>Hispanic!L10</f>
        <v>20</v>
      </c>
      <c r="N10" s="1" t="e">
        <f>Asian!L10</f>
        <v>#VALUE!</v>
      </c>
      <c r="O10" s="1" t="e">
        <f>Hawaiian!L10</f>
        <v>#VALUE!</v>
      </c>
      <c r="P10" s="1">
        <f>'Am Indian'!L10</f>
        <v>139</v>
      </c>
      <c r="Q10" s="1">
        <f>'Other - Mixed'!L10</f>
        <v>100</v>
      </c>
      <c r="R10" s="1">
        <f>'All Minorities'!L10</f>
        <v>1</v>
      </c>
    </row>
    <row r="11" spans="2:18" ht="15" customHeight="1">
      <c r="B11" s="71" t="s">
        <v>95</v>
      </c>
      <c r="C11" s="72">
        <f>'Black or African-American'!$G11</f>
        <v>1.071955250444953</v>
      </c>
      <c r="D11" s="72" t="str">
        <f>Hispanic!G11</f>
        <v>**</v>
      </c>
      <c r="E11" s="72" t="str">
        <f>Asian!G11</f>
        <v>--</v>
      </c>
      <c r="F11" s="72" t="str">
        <f>Hawaiian!G11</f>
        <v>*</v>
      </c>
      <c r="G11" s="72" t="str">
        <f>'Am Indian'!G11</f>
        <v>*</v>
      </c>
      <c r="H11" s="72" t="str">
        <f>'Other - Mixed'!G11</f>
        <v>*</v>
      </c>
      <c r="I11" s="73">
        <f>'All Minorities'!G11</f>
        <v>1.0752882205513785</v>
      </c>
      <c r="L11" s="1">
        <f>'Black or African-American'!L11</f>
        <v>1</v>
      </c>
      <c r="M11" s="1">
        <f>Hispanic!L11</f>
        <v>40</v>
      </c>
      <c r="N11" s="1" t="e">
        <f>Asian!L11</f>
        <v>#VALUE!</v>
      </c>
      <c r="O11" s="1" t="e">
        <f>Hawaiian!L11</f>
        <v>#VALUE!</v>
      </c>
      <c r="P11" s="1">
        <f>'Am Indian'!L11</f>
        <v>139</v>
      </c>
      <c r="Q11" s="1">
        <f>'Other - Mixed'!L11</f>
        <v>100</v>
      </c>
      <c r="R11" s="1">
        <f>'All Minorities'!L11</f>
        <v>1</v>
      </c>
    </row>
    <row r="12" spans="2:18" ht="15" customHeight="1">
      <c r="B12" s="71" t="s">
        <v>13</v>
      </c>
      <c r="C12" s="72">
        <f>'Black or African-American'!$G12</f>
        <v>0.92282784673502427</v>
      </c>
      <c r="D12" s="72" t="str">
        <f>Hispanic!G12</f>
        <v>**</v>
      </c>
      <c r="E12" s="72" t="str">
        <f>Asian!G12</f>
        <v>--</v>
      </c>
      <c r="F12" s="72" t="str">
        <f>Hawaiian!G12</f>
        <v>*</v>
      </c>
      <c r="G12" s="72" t="str">
        <f>'Am Indian'!G12</f>
        <v>*</v>
      </c>
      <c r="H12" s="72" t="str">
        <f>'Other - Mixed'!G12</f>
        <v>*</v>
      </c>
      <c r="I12" s="73">
        <f>'All Minorities'!G12</f>
        <v>0.91891605239433627</v>
      </c>
      <c r="L12" s="1">
        <f>'Black or African-American'!L12</f>
        <v>1</v>
      </c>
      <c r="M12" s="1">
        <f>Hispanic!L12</f>
        <v>40</v>
      </c>
      <c r="N12" s="1" t="e">
        <f>Asian!L12</f>
        <v>#VALUE!</v>
      </c>
      <c r="O12" s="1" t="e">
        <f>Hawaiian!L12</f>
        <v>#VALUE!</v>
      </c>
      <c r="P12" s="1">
        <f>'Am Indian'!L12</f>
        <v>119</v>
      </c>
      <c r="Q12" s="1">
        <f>'Other - Mixed'!L12</f>
        <v>101</v>
      </c>
      <c r="R12" s="1">
        <f>'All Minorities'!L12</f>
        <v>1</v>
      </c>
    </row>
    <row r="13" spans="2:18" ht="15" customHeight="1">
      <c r="B13" s="71" t="s">
        <v>14</v>
      </c>
      <c r="C13" s="72">
        <f>'Black or African-American'!$G13</f>
        <v>0.93404088050314482</v>
      </c>
      <c r="D13" s="72" t="str">
        <f>Hispanic!G13</f>
        <v>**</v>
      </c>
      <c r="E13" s="72" t="str">
        <f>Asian!G13</f>
        <v>--</v>
      </c>
      <c r="F13" s="72" t="str">
        <f>Hawaiian!G13</f>
        <v>*</v>
      </c>
      <c r="G13" s="72" t="str">
        <f>'Am Indian'!G13</f>
        <v>*</v>
      </c>
      <c r="H13" s="72" t="str">
        <f>'Other - Mixed'!G13</f>
        <v>*</v>
      </c>
      <c r="I13" s="73">
        <f>'All Minorities'!G13</f>
        <v>0.92682472691161877</v>
      </c>
      <c r="L13" s="1">
        <f>'Black or African-American'!L13</f>
        <v>1</v>
      </c>
      <c r="M13" s="1">
        <f>Hispanic!L13</f>
        <v>40</v>
      </c>
      <c r="N13" s="1" t="e">
        <f>Asian!L13</f>
        <v>#VALUE!</v>
      </c>
      <c r="O13" s="1" t="e">
        <f>Hawaiian!L13</f>
        <v>#VALUE!</v>
      </c>
      <c r="P13" s="1">
        <f>'Am Indian'!L13</f>
        <v>139</v>
      </c>
      <c r="Q13" s="1">
        <f>'Other - Mixed'!L13</f>
        <v>100</v>
      </c>
      <c r="R13" s="1">
        <f>'All Minorities'!L13</f>
        <v>1</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f>Hispanic!L15</f>
        <v>20</v>
      </c>
      <c r="N15" s="1" t="e">
        <f>Asian!L15</f>
        <v>#VALUE!</v>
      </c>
      <c r="O15" s="1" t="e">
        <f>Hawaiian!L15</f>
        <v>#VALUE!</v>
      </c>
      <c r="P15" s="1" t="e">
        <f>'Am Indian'!L15</f>
        <v>#VALUE!</v>
      </c>
      <c r="Q15" s="1">
        <f>'Other - Mixed'!L15</f>
        <v>139</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18328</v>
      </c>
      <c r="D3" s="57">
        <f>'Data Entry'!C6</f>
        <v>10914</v>
      </c>
      <c r="E3" s="57">
        <f>'Data Entry'!D6</f>
        <v>4462</v>
      </c>
      <c r="F3" s="57">
        <f>'Data Entry'!E6</f>
        <v>2587</v>
      </c>
      <c r="G3" s="57">
        <f>'Data Entry'!F6</f>
        <v>277</v>
      </c>
      <c r="H3" s="57">
        <f>'Data Entry'!G6</f>
        <v>0</v>
      </c>
      <c r="I3" s="57">
        <f>'Data Entry'!H6</f>
        <v>88</v>
      </c>
      <c r="J3" s="57">
        <f>'Data Entry'!I6</f>
        <v>0</v>
      </c>
      <c r="K3" s="57">
        <f>'Data Entry'!J6</f>
        <v>7414</v>
      </c>
    </row>
    <row r="4" spans="2:11" ht="15" customHeight="1">
      <c r="B4" s="16" t="s">
        <v>8</v>
      </c>
      <c r="C4" s="1">
        <f>IF((C$3&gt;0),(1000*('Data Entry'!B7/'Data Entry'!B$6)), 0)</f>
        <v>14.513312963771279</v>
      </c>
      <c r="D4" s="1">
        <f>IF((D$3&gt;0),(1000*('Data Entry'!C7/'Data Entry'!C$6)), 0)</f>
        <v>6.6886567711196632</v>
      </c>
      <c r="E4" s="1">
        <f>IF((E$3&gt;0),(1000*('Data Entry'!D7/'Data Entry'!D$6)), 0)</f>
        <v>38.995965934558491</v>
      </c>
      <c r="F4" s="1">
        <f>IF((F$3&gt;0),(1000*('Data Entry'!E7/'Data Entry'!E$6)), 0)</f>
        <v>4.6385775028991105</v>
      </c>
      <c r="G4" s="1">
        <f>IF((G$3&gt;0),(1000*('Data Entry'!F7/'Data Entry'!F$6)), 0)</f>
        <v>3.6101083032490977</v>
      </c>
      <c r="H4" s="1">
        <f>IF((H$3&gt;0),(1000*('Data Entry'!G7/'Data Entry'!G$6)), 0)</f>
        <v>0</v>
      </c>
      <c r="I4" s="1">
        <f>IF((I$3&gt;0),(1000*('Data Entry'!H7/'Data Entry'!H$6)), 0)</f>
        <v>0</v>
      </c>
      <c r="J4" s="1">
        <f>IF((J$3&gt;0),(1000*('Data Entry'!I7/'Data Entry'!I$6)), 0)</f>
        <v>0</v>
      </c>
      <c r="K4" s="1">
        <f>IF((K$3&gt;0),(1000*('Data Entry'!J7/'Data Entry'!J$6)), 0)</f>
        <v>25.357431885621796</v>
      </c>
    </row>
    <row r="5" spans="2:11" ht="15" customHeight="1">
      <c r="B5" s="16" t="s">
        <v>9</v>
      </c>
      <c r="C5" s="1">
        <f>IF((C$3&gt;0),(1000*('Data Entry'!B8/'Data Entry'!B$6)), 0)</f>
        <v>25.862068965517242</v>
      </c>
      <c r="D5" s="1">
        <f>IF((D$3&gt;0),(1000*('Data Entry'!C8/'Data Entry'!C$6)), 0)</f>
        <v>11.361553967381345</v>
      </c>
      <c r="E5" s="1">
        <f>IF((E$3&gt;0),(1000*('Data Entry'!D8/'Data Entry'!D$6)), 0)</f>
        <v>61.855670103092784</v>
      </c>
      <c r="F5" s="1">
        <f>IF((F$3&gt;0),(1000*('Data Entry'!E8/'Data Entry'!E$6)), 0)</f>
        <v>9.6637031310398136</v>
      </c>
      <c r="G5" s="1">
        <f>IF((G$3&gt;0),(1000*('Data Entry'!F8/'Data Entry'!F$6)), 0)</f>
        <v>0</v>
      </c>
      <c r="H5" s="1">
        <f>IF((H$3&gt;0),(1000*('Data Entry'!G8/'Data Entry'!G$6)), 0)</f>
        <v>0</v>
      </c>
      <c r="I5" s="1">
        <f>IF((I$3&gt;0),(1000*('Data Entry'!H8/'Data Entry'!H$6)), 0)</f>
        <v>22.727272727272727</v>
      </c>
      <c r="J5" s="1">
        <f>IF((J$3&gt;0),(1000*('Data Entry'!I8/'Data Entry'!I$6)), 0)</f>
        <v>0</v>
      </c>
      <c r="K5" s="1">
        <f>IF((K$3&gt;0),(1000*('Data Entry'!J8/'Data Entry'!J$6)), 0)</f>
        <v>47.207984893444831</v>
      </c>
    </row>
    <row r="6" spans="2:11" ht="15" customHeight="1">
      <c r="B6" s="16" t="s">
        <v>10</v>
      </c>
      <c r="C6" s="1">
        <f>IF((C$3&gt;0),(1000*('Data Entry'!B9/'Data Entry'!B$6)), 0)</f>
        <v>0.76385857704059368</v>
      </c>
      <c r="D6" s="1">
        <f>IF((D$3&gt;0),(1000*('Data Entry'!C9/'Data Entry'!C$6)), 0)</f>
        <v>0.45812717610408649</v>
      </c>
      <c r="E6" s="1">
        <f>IF((E$3&gt;0),(1000*('Data Entry'!D9/'Data Entry'!D$6)), 0)</f>
        <v>1.5688032272523531</v>
      </c>
      <c r="F6" s="1">
        <f>IF((F$3&gt;0),(1000*('Data Entry'!E9/'Data Entry'!E$6)), 0)</f>
        <v>0.38654812524159254</v>
      </c>
      <c r="G6" s="1">
        <f>IF((G$3&gt;0),(1000*('Data Entry'!F9/'Data Entry'!F$6)), 0)</f>
        <v>0</v>
      </c>
      <c r="H6" s="1">
        <f>IF((H$3&gt;0),(1000*('Data Entry'!G9/'Data Entry'!G$6)), 0)</f>
        <v>0</v>
      </c>
      <c r="I6" s="1">
        <f>IF((I$3&gt;0),(1000*('Data Entry'!H9/'Data Entry'!H$6)), 0)</f>
        <v>0</v>
      </c>
      <c r="J6" s="1">
        <f>IF((J$3&gt;0),(1000*('Data Entry'!I9/'Data Entry'!I$6)), 0)</f>
        <v>0</v>
      </c>
      <c r="K6" s="1">
        <f>IF((K$3&gt;0),(1000*('Data Entry'!J9/'Data Entry'!J$6)), 0)</f>
        <v>1.2139196115457245</v>
      </c>
    </row>
    <row r="7" spans="2:11" ht="15" customHeight="1">
      <c r="B7" s="16" t="s">
        <v>11</v>
      </c>
      <c r="C7" s="1">
        <f>IF((C$3&gt;0),(1000*('Data Entry'!B10/'Data Entry'!B$6)), 0)</f>
        <v>19.15102575294631</v>
      </c>
      <c r="D7" s="1">
        <f>IF((D$3&gt;0),(1000*('Data Entry'!C10/'Data Entry'!C$6)), 0)</f>
        <v>7.3300348176653838</v>
      </c>
      <c r="E7" s="1">
        <f>IF((E$3&gt;0),(1000*('Data Entry'!D10/'Data Entry'!D$6)), 0)</f>
        <v>51.99462124607799</v>
      </c>
      <c r="F7" s="1">
        <f>IF((F$3&gt;0),(1000*('Data Entry'!E10/'Data Entry'!E$6)), 0)</f>
        <v>8.8906068805566303</v>
      </c>
      <c r="G7" s="1">
        <f>IF((G$3&gt;0),(1000*('Data Entry'!F10/'Data Entry'!F$6)), 0)</f>
        <v>0</v>
      </c>
      <c r="H7" s="1">
        <f>IF((H$3&gt;0),(1000*('Data Entry'!G10/'Data Entry'!G$6)), 0)</f>
        <v>0</v>
      </c>
      <c r="I7" s="1">
        <f>IF((I$3&gt;0),(1000*('Data Entry'!H10/'Data Entry'!H$6)), 0)</f>
        <v>0</v>
      </c>
      <c r="J7" s="1">
        <f>IF((J$3&gt;0),(1000*('Data Entry'!I10/'Data Entry'!I$6)), 0)</f>
        <v>0</v>
      </c>
      <c r="K7" s="1">
        <f>IF((K$3&gt;0),(1000*('Data Entry'!J10/'Data Entry'!J$6)), 0)</f>
        <v>36.41758834637173</v>
      </c>
    </row>
    <row r="8" spans="2:11" ht="15" customHeight="1">
      <c r="B8" s="16" t="s">
        <v>95</v>
      </c>
      <c r="C8" s="1">
        <f>IF((C$3&gt;0),(1000*('Data Entry'!B11/'Data Entry'!B$6)), 0)</f>
        <v>25.098210388476648</v>
      </c>
      <c r="D8" s="1">
        <f>IF((D$3&gt;0),(1000*('Data Entry'!C11/'Data Entry'!C$6)), 0)</f>
        <v>10.445299615173173</v>
      </c>
      <c r="E8" s="1">
        <f>IF((E$3&gt;0),(1000*('Data Entry'!D11/'Data Entry'!D$6)), 0)</f>
        <v>60.959211116091438</v>
      </c>
      <c r="F8" s="1">
        <f>IF((F$3&gt;0),(1000*('Data Entry'!E11/'Data Entry'!E$6)), 0)</f>
        <v>9.6637031310398136</v>
      </c>
      <c r="G8" s="1">
        <f>IF((G$3&gt;0),(1000*('Data Entry'!F11/'Data Entry'!F$6)), 0)</f>
        <v>0</v>
      </c>
      <c r="H8" s="1">
        <f>IF((H$3&gt;0),(1000*('Data Entry'!G11/'Data Entry'!G$6)), 0)</f>
        <v>0</v>
      </c>
      <c r="I8" s="1">
        <f>IF((I$3&gt;0),(1000*('Data Entry'!H11/'Data Entry'!H$6)), 0)</f>
        <v>22.727272727272727</v>
      </c>
      <c r="J8" s="1">
        <f>IF((J$3&gt;0),(1000*('Data Entry'!I11/'Data Entry'!I$6)), 0)</f>
        <v>0</v>
      </c>
      <c r="K8" s="1">
        <f>IF((K$3&gt;0),(1000*('Data Entry'!J11/'Data Entry'!J$6)), 0)</f>
        <v>46.66846506609118</v>
      </c>
    </row>
    <row r="9" spans="2:11" ht="15" customHeight="1">
      <c r="B9" s="16" t="s">
        <v>13</v>
      </c>
      <c r="C9" s="1">
        <f>IF((C$3&gt;0),(1000*('Data Entry'!B12/'Data Entry'!B$6)), 0)</f>
        <v>22.533828022697513</v>
      </c>
      <c r="D9" s="1">
        <f>IF((D$3&gt;0),(1000*('Data Entry'!C12/'Data Entry'!C$6)), 0)</f>
        <v>9.9871724390690861</v>
      </c>
      <c r="E9" s="1">
        <f>IF((E$3&gt;0),(1000*('Data Entry'!D12/'Data Entry'!D$6)), 0)</f>
        <v>53.787539220080681</v>
      </c>
      <c r="F9" s="1">
        <f>IF((F$3&gt;0),(1000*('Data Entry'!E12/'Data Entry'!E$6)), 0)</f>
        <v>8.504058755315036</v>
      </c>
      <c r="G9" s="1">
        <f>IF((G$3&gt;0),(1000*('Data Entry'!F12/'Data Entry'!F$6)), 0)</f>
        <v>0</v>
      </c>
      <c r="H9" s="1">
        <f>IF((H$3&gt;0),(1000*('Data Entry'!G12/'Data Entry'!G$6)), 0)</f>
        <v>0</v>
      </c>
      <c r="I9" s="1">
        <f>IF((I$3&gt;0),(1000*('Data Entry'!H12/'Data Entry'!H$6)), 0)</f>
        <v>11.363636363636363</v>
      </c>
      <c r="J9" s="1">
        <f>IF((J$3&gt;0),(1000*('Data Entry'!I12/'Data Entry'!I$6)), 0)</f>
        <v>0</v>
      </c>
      <c r="K9" s="1">
        <f>IF((K$3&gt;0),(1000*('Data Entry'!J12/'Data Entry'!J$6)), 0)</f>
        <v>41.003506878877801</v>
      </c>
    </row>
    <row r="10" spans="2:11" ht="15" customHeight="1">
      <c r="B10" s="16" t="s">
        <v>14</v>
      </c>
      <c r="C10" s="1">
        <f>IF((C$3&gt;0),(1000*('Data Entry'!B13/'Data Entry'!B$6)), 0)</f>
        <v>20.733304233958972</v>
      </c>
      <c r="D10" s="1">
        <f>IF((D$3&gt;0),(1000*('Data Entry'!C13/'Data Entry'!C$6)), 0)</f>
        <v>9.7122961334066336</v>
      </c>
      <c r="E10" s="1">
        <f>IF((E$3&gt;0),(1000*('Data Entry'!D13/'Data Entry'!D$6)), 0)</f>
        <v>48.857014791573285</v>
      </c>
      <c r="F10" s="1">
        <f>IF((F$3&gt;0),(1000*('Data Entry'!E13/'Data Entry'!E$6)), 0)</f>
        <v>7.7309625048318518</v>
      </c>
      <c r="G10" s="1">
        <f>IF((G$3&gt;0),(1000*('Data Entry'!F13/'Data Entry'!F$6)), 0)</f>
        <v>0</v>
      </c>
      <c r="H10" s="1">
        <f>IF((H$3&gt;0),(1000*('Data Entry'!G13/'Data Entry'!G$6)), 0)</f>
        <v>0</v>
      </c>
      <c r="I10" s="1">
        <f>IF((I$3&gt;0),(1000*('Data Entry'!H13/'Data Entry'!H$6)), 0)</f>
        <v>11.363636363636363</v>
      </c>
      <c r="J10" s="1">
        <f>IF((J$3&gt;0),(1000*('Data Entry'!I13/'Data Entry'!I$6)), 0)</f>
        <v>0</v>
      </c>
      <c r="K10" s="1">
        <f>IF((K$3&gt;0),(1000*('Data Entry'!J13/'Data Entry'!J$6)), 0)</f>
        <v>36.957108173725381</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0.43649061545176776</v>
      </c>
      <c r="D12" s="1">
        <f>IF((D$3&gt;0),(1000*('Data Entry'!C15/'Data Entry'!C$6)), 0)</f>
        <v>0</v>
      </c>
      <c r="E12" s="1">
        <f>IF((E$3&gt;0),(1000*('Data Entry'!D15/'Data Entry'!D$6)), 0)</f>
        <v>1.3446884805020169</v>
      </c>
      <c r="F12" s="1">
        <f>IF((F$3&gt;0),(1000*('Data Entry'!E15/'Data Entry'!E$6)), 0)</f>
        <v>0.38654812524159254</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1.0790396547073104</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Saginaw</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5.8301640028735804</v>
      </c>
      <c r="E19" s="72">
        <f t="shared" si="1"/>
        <v>0.69349910776220391</v>
      </c>
      <c r="F19" s="72">
        <f t="shared" si="1"/>
        <v>0.53973591810494037</v>
      </c>
      <c r="G19" s="72" t="str">
        <f t="shared" si="1"/>
        <v>--</v>
      </c>
      <c r="H19" s="72" t="str">
        <f t="shared" si="1"/>
        <v>--</v>
      </c>
      <c r="I19" s="72" t="str">
        <f t="shared" si="1"/>
        <v>--</v>
      </c>
      <c r="J19" s="73">
        <f t="shared" si="1"/>
        <v>3.7911097479407707</v>
      </c>
    </row>
    <row r="20" spans="2:10" ht="15" customHeight="1">
      <c r="B20" s="71" t="s">
        <v>9</v>
      </c>
      <c r="C20" s="72">
        <f t="shared" ref="C20:J27" si="2">IF(AND(($D5&gt;0),(D5&gt;0)), (D5/$D5),"--")</f>
        <v>1</v>
      </c>
      <c r="D20" s="72">
        <f t="shared" si="2"/>
        <v>5.4442966411706015</v>
      </c>
      <c r="E20" s="72">
        <f t="shared" si="2"/>
        <v>0.85056174171103649</v>
      </c>
      <c r="F20" s="72" t="str">
        <f t="shared" si="2"/>
        <v>--</v>
      </c>
      <c r="G20" s="72" t="str">
        <f t="shared" si="2"/>
        <v>--</v>
      </c>
      <c r="H20" s="72">
        <f t="shared" si="2"/>
        <v>2.0003665689149557</v>
      </c>
      <c r="I20" s="72" t="str">
        <f t="shared" si="2"/>
        <v>--</v>
      </c>
      <c r="J20" s="73">
        <f t="shared" si="2"/>
        <v>4.1550640897343296</v>
      </c>
    </row>
    <row r="21" spans="2:10" ht="15" customHeight="1">
      <c r="B21" s="71" t="s">
        <v>10</v>
      </c>
      <c r="C21" s="72">
        <f t="shared" si="2"/>
        <v>1</v>
      </c>
      <c r="D21" s="72">
        <f t="shared" si="2"/>
        <v>3.4243836844464366</v>
      </c>
      <c r="E21" s="72">
        <f t="shared" si="2"/>
        <v>0.84375724777734817</v>
      </c>
      <c r="F21" s="72" t="str">
        <f t="shared" si="2"/>
        <v>--</v>
      </c>
      <c r="G21" s="72" t="str">
        <f t="shared" si="2"/>
        <v>--</v>
      </c>
      <c r="H21" s="72" t="str">
        <f t="shared" si="2"/>
        <v>--</v>
      </c>
      <c r="I21" s="72" t="str">
        <f t="shared" si="2"/>
        <v>--</v>
      </c>
      <c r="J21" s="73">
        <f t="shared" si="2"/>
        <v>2.6497437280820075</v>
      </c>
    </row>
    <row r="22" spans="2:10" ht="15" customHeight="1">
      <c r="B22" s="71" t="s">
        <v>11</v>
      </c>
      <c r="C22" s="72">
        <f t="shared" si="2"/>
        <v>1</v>
      </c>
      <c r="D22" s="72">
        <f t="shared" si="2"/>
        <v>7.0933662034961902</v>
      </c>
      <c r="E22" s="72">
        <f t="shared" si="2"/>
        <v>1.2129010436799383</v>
      </c>
      <c r="F22" s="72" t="str">
        <f t="shared" si="2"/>
        <v>--</v>
      </c>
      <c r="G22" s="72" t="str">
        <f t="shared" si="2"/>
        <v>--</v>
      </c>
      <c r="H22" s="72" t="str">
        <f t="shared" si="2"/>
        <v>--</v>
      </c>
      <c r="I22" s="72" t="str">
        <f t="shared" si="2"/>
        <v>--</v>
      </c>
      <c r="J22" s="73">
        <f t="shared" si="2"/>
        <v>4.9682694901537632</v>
      </c>
    </row>
    <row r="23" spans="2:10" ht="15" customHeight="1">
      <c r="B23" s="71" t="s">
        <v>95</v>
      </c>
      <c r="C23" s="72">
        <f t="shared" si="2"/>
        <v>1</v>
      </c>
      <c r="D23" s="72">
        <f t="shared" si="2"/>
        <v>5.836042369482648</v>
      </c>
      <c r="E23" s="72">
        <f t="shared" si="2"/>
        <v>0.92517242080849571</v>
      </c>
      <c r="F23" s="72" t="str">
        <f t="shared" si="2"/>
        <v>--</v>
      </c>
      <c r="G23" s="72" t="str">
        <f t="shared" si="2"/>
        <v>--</v>
      </c>
      <c r="H23" s="72">
        <f t="shared" si="2"/>
        <v>2.1758373205741623</v>
      </c>
      <c r="I23" s="72" t="str">
        <f t="shared" si="2"/>
        <v>--</v>
      </c>
      <c r="J23" s="73">
        <f t="shared" si="2"/>
        <v>4.4678914713273601</v>
      </c>
    </row>
    <row r="24" spans="2:10" ht="15" customHeight="1">
      <c r="B24" s="71" t="s">
        <v>13</v>
      </c>
      <c r="C24" s="72">
        <f t="shared" si="2"/>
        <v>1</v>
      </c>
      <c r="D24" s="72">
        <f t="shared" si="2"/>
        <v>5.3856624132840416</v>
      </c>
      <c r="E24" s="72">
        <f t="shared" si="2"/>
        <v>0.85149813995879176</v>
      </c>
      <c r="F24" s="72" t="str">
        <f t="shared" si="2"/>
        <v>--</v>
      </c>
      <c r="G24" s="72" t="str">
        <f t="shared" si="2"/>
        <v>--</v>
      </c>
      <c r="H24" s="72">
        <f t="shared" si="2"/>
        <v>1.1378231859883234</v>
      </c>
      <c r="I24" s="72" t="str">
        <f t="shared" si="2"/>
        <v>--</v>
      </c>
      <c r="J24" s="73">
        <f t="shared" si="2"/>
        <v>4.1056171933584613</v>
      </c>
    </row>
    <row r="25" spans="2:10" ht="15" customHeight="1">
      <c r="B25" s="71" t="s">
        <v>14</v>
      </c>
      <c r="C25" s="72">
        <f t="shared" si="2"/>
        <v>1</v>
      </c>
      <c r="D25" s="72">
        <f t="shared" si="2"/>
        <v>5.0304288625965174</v>
      </c>
      <c r="E25" s="72">
        <f t="shared" si="2"/>
        <v>0.7959974035635361</v>
      </c>
      <c r="F25" s="72" t="str">
        <f t="shared" si="2"/>
        <v>--</v>
      </c>
      <c r="G25" s="72" t="str">
        <f t="shared" si="2"/>
        <v>--</v>
      </c>
      <c r="H25" s="72">
        <f t="shared" si="2"/>
        <v>1.1700257289879932</v>
      </c>
      <c r="I25" s="72" t="str">
        <f t="shared" si="2"/>
        <v>--</v>
      </c>
      <c r="J25" s="73">
        <f t="shared" si="2"/>
        <v>3.8051875340381018</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Saginaw</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10914</v>
      </c>
      <c r="D7" s="104">
        <f>'Data Entry'!D6</f>
        <v>4462</v>
      </c>
      <c r="E7" s="105"/>
      <c r="F7" s="106">
        <f>'Data Entry'!E6</f>
        <v>2587</v>
      </c>
      <c r="G7" s="105"/>
      <c r="H7" s="106">
        <f>'Data Entry'!F6</f>
        <v>277</v>
      </c>
      <c r="I7" s="105"/>
      <c r="J7" s="106">
        <f>'Data Entry'!G6</f>
        <v>0</v>
      </c>
      <c r="K7" s="105"/>
      <c r="L7" s="106">
        <f>'Data Entry'!H6</f>
        <v>88</v>
      </c>
      <c r="M7" s="105"/>
      <c r="N7" s="106">
        <f>'Data Entry'!I6</f>
        <v>0</v>
      </c>
      <c r="O7" s="105"/>
      <c r="P7" s="106">
        <f>'Data Entry'!J6</f>
        <v>7414</v>
      </c>
      <c r="Q7" s="107"/>
    </row>
    <row r="8" spans="2:26" s="1" customFormat="1" ht="15" customHeight="1">
      <c r="B8" s="142" t="s">
        <v>8</v>
      </c>
      <c r="C8" s="103">
        <f>'Data Entry'!C7</f>
        <v>73</v>
      </c>
      <c r="D8" s="104">
        <f>'Data Entry'!D7</f>
        <v>174</v>
      </c>
      <c r="E8" s="105">
        <f>'Black or African-American'!$G7</f>
        <v>5.8301640028735813</v>
      </c>
      <c r="F8" s="106">
        <f>'Data Entry'!E7</f>
        <v>12</v>
      </c>
      <c r="G8" s="105">
        <f>Hispanic!G7</f>
        <v>0.69349910776220391</v>
      </c>
      <c r="H8" s="106">
        <f>'Data Entry'!F7</f>
        <v>1</v>
      </c>
      <c r="I8" s="105" t="str">
        <f>Asian!G7</f>
        <v>**</v>
      </c>
      <c r="J8" s="106">
        <f>'Data Entry'!G7</f>
        <v>1</v>
      </c>
      <c r="K8" s="105" t="str">
        <f>Hawaiian!G7</f>
        <v>*</v>
      </c>
      <c r="L8" s="106">
        <f>'Data Entry'!H7</f>
        <v>0</v>
      </c>
      <c r="M8" s="105" t="str">
        <f>'Am Indian'!G7</f>
        <v>*</v>
      </c>
      <c r="N8" s="106">
        <f>'Data Entry'!I7</f>
        <v>0</v>
      </c>
      <c r="O8" s="105" t="str">
        <f>'Other - Mixed'!G7</f>
        <v>*</v>
      </c>
      <c r="P8" s="106">
        <f>'Data Entry'!J7</f>
        <v>188</v>
      </c>
      <c r="Q8" s="107">
        <f>'All Minorities'!G7</f>
        <v>3.7911097479407707</v>
      </c>
      <c r="R8"/>
      <c r="T8" s="1">
        <f>'Black or African-American'!L7</f>
        <v>1</v>
      </c>
      <c r="U8" s="1">
        <f>Hispanic!L7</f>
        <v>2</v>
      </c>
      <c r="V8" s="1">
        <f>Asian!L7</f>
        <v>40</v>
      </c>
      <c r="W8" s="1" t="e">
        <f>Hawaiian!L7</f>
        <v>#DIV/0!</v>
      </c>
      <c r="X8" s="1">
        <f>'Am Indian'!L7</f>
        <v>139</v>
      </c>
      <c r="Y8" s="1" t="e">
        <f>'Other - Mixed'!L7</f>
        <v>#VALUE!</v>
      </c>
      <c r="Z8" s="1">
        <f>'All Minorities'!L7</f>
        <v>1</v>
      </c>
    </row>
    <row r="9" spans="2:26" s="1" customFormat="1" ht="15" customHeight="1">
      <c r="B9" s="142" t="s">
        <v>126</v>
      </c>
      <c r="C9" s="103">
        <f>'Data Entry'!C8</f>
        <v>124</v>
      </c>
      <c r="D9" s="108">
        <f>'Data Entry'!D8</f>
        <v>276</v>
      </c>
      <c r="E9" s="109">
        <f>'Black or African-American'!$G8</f>
        <v>0.9338153503893214</v>
      </c>
      <c r="F9" s="110">
        <f>'Data Entry'!E8</f>
        <v>25</v>
      </c>
      <c r="G9" s="109" t="str">
        <f>Hispanic!G8</f>
        <v>**</v>
      </c>
      <c r="H9" s="110">
        <f>'Data Entry'!F8</f>
        <v>0</v>
      </c>
      <c r="I9" s="109" t="str">
        <f>Asian!G8</f>
        <v>**</v>
      </c>
      <c r="J9" s="110">
        <f>'Data Entry'!G8</f>
        <v>0</v>
      </c>
      <c r="K9" s="109" t="str">
        <f>Hawaiian!G8</f>
        <v>*</v>
      </c>
      <c r="L9" s="110">
        <f>'Data Entry'!H8</f>
        <v>2</v>
      </c>
      <c r="M9" s="109" t="str">
        <f>'Am Indian'!G8</f>
        <v>*</v>
      </c>
      <c r="N9" s="110">
        <f>'Data Entry'!I8</f>
        <v>47</v>
      </c>
      <c r="O9" s="109" t="str">
        <f>'Other - Mixed'!G8</f>
        <v>*</v>
      </c>
      <c r="P9" s="110">
        <f>'Data Entry'!J8</f>
        <v>350</v>
      </c>
      <c r="Q9" s="111">
        <f>'All Minorities'!G8</f>
        <v>1.0960020590253947</v>
      </c>
      <c r="R9"/>
      <c r="T9" s="1">
        <f>'Black or African-American'!L8</f>
        <v>2</v>
      </c>
      <c r="U9" s="1">
        <f>Hispanic!L8</f>
        <v>40</v>
      </c>
      <c r="V9" s="1">
        <f>Asian!L8</f>
        <v>40</v>
      </c>
      <c r="W9" s="1">
        <f>Hawaiian!L8</f>
        <v>139</v>
      </c>
      <c r="X9" s="1">
        <f>'Am Indian'!L8</f>
        <v>119</v>
      </c>
      <c r="Y9" s="1">
        <f>'Other - Mixed'!L8</f>
        <v>119</v>
      </c>
      <c r="Z9" s="1">
        <f>'All Minorities'!L8</f>
        <v>2</v>
      </c>
    </row>
    <row r="10" spans="2:26" s="1" customFormat="1" ht="15" customHeight="1">
      <c r="B10" s="142" t="s">
        <v>10</v>
      </c>
      <c r="C10" s="103">
        <f>'Data Entry'!C9</f>
        <v>5</v>
      </c>
      <c r="D10" s="112">
        <f>'Data Entry'!D9</f>
        <v>7</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9</v>
      </c>
      <c r="Q10" s="115" t="str">
        <f>'All Minorities'!G9</f>
        <v>**</v>
      </c>
      <c r="R10"/>
      <c r="T10" s="1">
        <f>'Black or African-American'!L9</f>
        <v>40</v>
      </c>
      <c r="U10" s="1">
        <f>Hispanic!L9</f>
        <v>40</v>
      </c>
      <c r="V10" s="1" t="e">
        <f>Asian!L9</f>
        <v>#VALUE!</v>
      </c>
      <c r="W10" s="1" t="e">
        <f>Hawaiian!L9</f>
        <v>#VALUE!</v>
      </c>
      <c r="X10" s="1">
        <f>'Am Indian'!L9</f>
        <v>139</v>
      </c>
      <c r="Y10" s="1">
        <f>'Other - Mixed'!L9</f>
        <v>139</v>
      </c>
      <c r="Z10" s="1">
        <f>'All Minorities'!L9</f>
        <v>40</v>
      </c>
    </row>
    <row r="11" spans="2:26" s="1" customFormat="1" ht="15" customHeight="1">
      <c r="B11" s="142" t="s">
        <v>11</v>
      </c>
      <c r="C11" s="103">
        <f>'Data Entry'!C10</f>
        <v>80</v>
      </c>
      <c r="D11" s="108">
        <f>'Data Entry'!D10</f>
        <v>232</v>
      </c>
      <c r="E11" s="109">
        <f>'Black or African-American'!$G10</f>
        <v>1.3028985507246378</v>
      </c>
      <c r="F11" s="110">
        <f>'Data Entry'!E10</f>
        <v>23</v>
      </c>
      <c r="G11" s="109" t="str">
        <f>Hispanic!G10</f>
        <v>**</v>
      </c>
      <c r="H11" s="110">
        <f>'Data Entry'!F10</f>
        <v>0</v>
      </c>
      <c r="I11" s="109" t="str">
        <f>Asian!G10</f>
        <v>--</v>
      </c>
      <c r="J11" s="110">
        <f>'Data Entry'!G10</f>
        <v>0</v>
      </c>
      <c r="K11" s="109" t="str">
        <f>Hawaiian!G10</f>
        <v>*</v>
      </c>
      <c r="L11" s="110">
        <f>'Data Entry'!H10</f>
        <v>0</v>
      </c>
      <c r="M11" s="109" t="str">
        <f>'Am Indian'!G10</f>
        <v>*</v>
      </c>
      <c r="N11" s="110">
        <f>'Data Entry'!I10</f>
        <v>15</v>
      </c>
      <c r="O11" s="109" t="str">
        <f>'Other - Mixed'!G10</f>
        <v>*</v>
      </c>
      <c r="P11" s="110">
        <f>'Data Entry'!J10</f>
        <v>270</v>
      </c>
      <c r="Q11" s="111">
        <f>'All Minorities'!G10</f>
        <v>1.1957142857142857</v>
      </c>
      <c r="R11"/>
      <c r="T11" s="1">
        <f>'Black or African-American'!L10</f>
        <v>1</v>
      </c>
      <c r="U11" s="1">
        <f>Hispanic!L10</f>
        <v>20</v>
      </c>
      <c r="V11" s="1" t="e">
        <f>Asian!L10</f>
        <v>#VALUE!</v>
      </c>
      <c r="W11" s="1" t="e">
        <f>Hawaiian!L10</f>
        <v>#VALUE!</v>
      </c>
      <c r="X11" s="1">
        <f>'Am Indian'!L10</f>
        <v>139</v>
      </c>
      <c r="Y11" s="1">
        <f>'Other - Mixed'!L10</f>
        <v>100</v>
      </c>
      <c r="Z11" s="1">
        <f>'All Minorities'!L10</f>
        <v>1</v>
      </c>
    </row>
    <row r="12" spans="2:26" s="1" customFormat="1" ht="15" customHeight="1">
      <c r="B12" s="142" t="s">
        <v>95</v>
      </c>
      <c r="C12" s="103">
        <f>'Data Entry'!C11</f>
        <v>114</v>
      </c>
      <c r="D12" s="112">
        <f>'Data Entry'!D11</f>
        <v>272</v>
      </c>
      <c r="E12" s="113">
        <f>'Black or African-American'!$G11</f>
        <v>1.071955250444953</v>
      </c>
      <c r="F12" s="114">
        <f>'Data Entry'!E11</f>
        <v>25</v>
      </c>
      <c r="G12" s="113" t="str">
        <f>Hispanic!G11</f>
        <v>**</v>
      </c>
      <c r="H12" s="114">
        <f>'Data Entry'!F11</f>
        <v>0</v>
      </c>
      <c r="I12" s="113" t="str">
        <f>Asian!G11</f>
        <v>--</v>
      </c>
      <c r="J12" s="114">
        <f>'Data Entry'!G11</f>
        <v>0</v>
      </c>
      <c r="K12" s="113" t="str">
        <f>Hawaiian!G11</f>
        <v>*</v>
      </c>
      <c r="L12" s="114">
        <f>'Data Entry'!H11</f>
        <v>2</v>
      </c>
      <c r="M12" s="113" t="str">
        <f>'Am Indian'!G11</f>
        <v>*</v>
      </c>
      <c r="N12" s="114">
        <f>'Data Entry'!I11</f>
        <v>47</v>
      </c>
      <c r="O12" s="113" t="str">
        <f>'Other - Mixed'!G11</f>
        <v>*</v>
      </c>
      <c r="P12" s="114">
        <f>'Data Entry'!J11</f>
        <v>346</v>
      </c>
      <c r="Q12" s="115">
        <f>'All Minorities'!G11</f>
        <v>1.0752882205513785</v>
      </c>
      <c r="R12"/>
      <c r="T12" s="1">
        <f>'Black or African-American'!L11</f>
        <v>1</v>
      </c>
      <c r="U12" s="1">
        <f>Hispanic!L11</f>
        <v>40</v>
      </c>
      <c r="V12" s="1" t="e">
        <f>Asian!L11</f>
        <v>#VALUE!</v>
      </c>
      <c r="W12" s="1" t="e">
        <f>Hawaiian!L11</f>
        <v>#VALUE!</v>
      </c>
      <c r="X12" s="1">
        <f>'Am Indian'!L11</f>
        <v>139</v>
      </c>
      <c r="Y12" s="1">
        <f>'Other - Mixed'!L11</f>
        <v>100</v>
      </c>
      <c r="Z12" s="1">
        <f>'All Minorities'!L11</f>
        <v>1</v>
      </c>
    </row>
    <row r="13" spans="2:26" s="1" customFormat="1" ht="15" customHeight="1">
      <c r="B13" s="142" t="s">
        <v>13</v>
      </c>
      <c r="C13" s="103">
        <f>'Data Entry'!C12</f>
        <v>109</v>
      </c>
      <c r="D13" s="108">
        <f>'Data Entry'!D12</f>
        <v>240</v>
      </c>
      <c r="E13" s="109">
        <f>'Black or African-American'!$G12</f>
        <v>0.92282784673502427</v>
      </c>
      <c r="F13" s="110">
        <f>'Data Entry'!E12</f>
        <v>22</v>
      </c>
      <c r="G13" s="109" t="str">
        <f>Hispanic!G12</f>
        <v>**</v>
      </c>
      <c r="H13" s="110">
        <f>'Data Entry'!F12</f>
        <v>0</v>
      </c>
      <c r="I13" s="109" t="str">
        <f>Asian!G12</f>
        <v>--</v>
      </c>
      <c r="J13" s="110">
        <f>'Data Entry'!G12</f>
        <v>0</v>
      </c>
      <c r="K13" s="109" t="str">
        <f>Hawaiian!G12</f>
        <v>*</v>
      </c>
      <c r="L13" s="110">
        <f>'Data Entry'!H12</f>
        <v>1</v>
      </c>
      <c r="M13" s="109" t="str">
        <f>'Am Indian'!G12</f>
        <v>*</v>
      </c>
      <c r="N13" s="110">
        <f>'Data Entry'!I12</f>
        <v>41</v>
      </c>
      <c r="O13" s="109" t="str">
        <f>'Other - Mixed'!G12</f>
        <v>*</v>
      </c>
      <c r="P13" s="110">
        <f>'Data Entry'!J12</f>
        <v>304</v>
      </c>
      <c r="Q13" s="111">
        <f>'All Minorities'!G12</f>
        <v>0.91891605239433627</v>
      </c>
      <c r="R13"/>
      <c r="T13" s="1">
        <f>'Black or African-American'!L12</f>
        <v>1</v>
      </c>
      <c r="U13" s="1">
        <f>Hispanic!L12</f>
        <v>40</v>
      </c>
      <c r="V13" s="1" t="e">
        <f>Asian!L12</f>
        <v>#VALUE!</v>
      </c>
      <c r="W13" s="1" t="e">
        <f>Hawaiian!L12</f>
        <v>#VALUE!</v>
      </c>
      <c r="X13" s="1">
        <f>'Am Indian'!L12</f>
        <v>119</v>
      </c>
      <c r="Y13" s="1">
        <f>'Other - Mixed'!L12</f>
        <v>101</v>
      </c>
      <c r="Z13" s="1">
        <f>'All Minorities'!L12</f>
        <v>1</v>
      </c>
    </row>
    <row r="14" spans="2:26" s="1" customFormat="1" ht="15" customHeight="1">
      <c r="B14" s="142" t="s">
        <v>125</v>
      </c>
      <c r="C14" s="103">
        <f>'Data Entry'!C13</f>
        <v>106</v>
      </c>
      <c r="D14" s="112">
        <f>'Data Entry'!D13</f>
        <v>218</v>
      </c>
      <c r="E14" s="113">
        <f>'Black or African-American'!$G13</f>
        <v>0.93404088050314482</v>
      </c>
      <c r="F14" s="114">
        <f>'Data Entry'!E13</f>
        <v>20</v>
      </c>
      <c r="G14" s="113" t="str">
        <f>Hispanic!G13</f>
        <v>**</v>
      </c>
      <c r="H14" s="114">
        <f>'Data Entry'!F13</f>
        <v>0</v>
      </c>
      <c r="I14" s="113" t="str">
        <f>Asian!G13</f>
        <v>--</v>
      </c>
      <c r="J14" s="114">
        <f>'Data Entry'!G13</f>
        <v>0</v>
      </c>
      <c r="K14" s="113" t="str">
        <f>Hawaiian!G13</f>
        <v>*</v>
      </c>
      <c r="L14" s="114">
        <f>'Data Entry'!H13</f>
        <v>1</v>
      </c>
      <c r="M14" s="113" t="str">
        <f>'Am Indian'!G13</f>
        <v>*</v>
      </c>
      <c r="N14" s="114">
        <f>'Data Entry'!I13</f>
        <v>35</v>
      </c>
      <c r="O14" s="113" t="str">
        <f>'Other - Mixed'!G13</f>
        <v>*</v>
      </c>
      <c r="P14" s="114">
        <f>'Data Entry'!J13</f>
        <v>274</v>
      </c>
      <c r="Q14" s="115">
        <f>'All Minorities'!G13</f>
        <v>0.92682472691161877</v>
      </c>
      <c r="R14"/>
      <c r="T14" s="1">
        <f>'Black or African-American'!L13</f>
        <v>1</v>
      </c>
      <c r="U14" s="1">
        <f>Hispanic!L13</f>
        <v>40</v>
      </c>
      <c r="V14" s="1" t="e">
        <f>Asian!L13</f>
        <v>#VALUE!</v>
      </c>
      <c r="W14" s="1" t="e">
        <f>Hawaiian!L13</f>
        <v>#VALUE!</v>
      </c>
      <c r="X14" s="1">
        <f>'Am Indian'!L13</f>
        <v>139</v>
      </c>
      <c r="Y14" s="1">
        <f>'Other - Mixed'!L13</f>
        <v>100</v>
      </c>
      <c r="Z14" s="1">
        <f>'All Minorities'!L13</f>
        <v>1</v>
      </c>
    </row>
    <row r="15" spans="2:26" s="1" customFormat="1" ht="33">
      <c r="B15" s="144"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6</v>
      </c>
      <c r="E16" s="117" t="str">
        <f>'Black or African-American'!$G15</f>
        <v>**</v>
      </c>
      <c r="F16" s="118">
        <f>'Data Entry'!E15</f>
        <v>1</v>
      </c>
      <c r="G16" s="117" t="str">
        <f>Hispanic!G15</f>
        <v>**</v>
      </c>
      <c r="H16" s="118">
        <f>'Data Entry'!F15</f>
        <v>0</v>
      </c>
      <c r="I16" s="117" t="str">
        <f>Asian!G15</f>
        <v>--</v>
      </c>
      <c r="J16" s="118">
        <f>'Data Entry'!G15</f>
        <v>0</v>
      </c>
      <c r="K16" s="117" t="str">
        <f>Hawaiian!G15</f>
        <v>*</v>
      </c>
      <c r="L16" s="118">
        <f>'Data Entry'!H15</f>
        <v>0</v>
      </c>
      <c r="M16" s="117" t="str">
        <f>'Am Indian'!G15</f>
        <v>*</v>
      </c>
      <c r="N16" s="118">
        <f>'Data Entry'!I15</f>
        <v>1</v>
      </c>
      <c r="O16" s="117" t="str">
        <f>'Other - Mixed'!G15</f>
        <v>*</v>
      </c>
      <c r="P16" s="118">
        <f>'Data Entry'!J15</f>
        <v>8</v>
      </c>
      <c r="Q16" s="119" t="str">
        <f>'All Minorities'!G15</f>
        <v>**</v>
      </c>
      <c r="R16"/>
      <c r="T16" s="1">
        <f>'Black or African-American'!L15</f>
        <v>40</v>
      </c>
      <c r="U16" s="1">
        <f>Hispanic!L15</f>
        <v>20</v>
      </c>
      <c r="V16" s="1" t="e">
        <f>Asian!L15</f>
        <v>#VALUE!</v>
      </c>
      <c r="W16" s="1" t="e">
        <f>Hawaiian!L15</f>
        <v>#VALUE!</v>
      </c>
      <c r="X16" s="1" t="e">
        <f>'Am Indian'!L15</f>
        <v>#VALUE!</v>
      </c>
      <c r="Y16" s="1">
        <f>'Other - Mixed'!L15</f>
        <v>139</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Saginaw County Juvenile Court</v>
      </c>
      <c r="E27" s="1" t="str">
        <f>'Data Entry'!D20</f>
        <v>Item 4.Diversion: Saginaw County Juvenile Court</v>
      </c>
      <c r="I27" s="96"/>
      <c r="J27" s="96"/>
    </row>
    <row r="28" spans="2:18" ht="12.75" customHeight="1">
      <c r="B28" s="1" t="str">
        <f>'Data Entry'!A21</f>
        <v>Item 5.Detention: Saginaw County Juvenile Court</v>
      </c>
      <c r="E28" s="1" t="str">
        <f>'Data Entry'!D21</f>
        <v>Item 6.Petitioned: Saginaw County Juvenile Court</v>
      </c>
      <c r="I28" s="96"/>
      <c r="J28" s="96"/>
    </row>
    <row r="29" spans="2:18" ht="12.75" customHeight="1">
      <c r="B29" s="1" t="str">
        <f>'Data Entry'!A22</f>
        <v>Item 7.Delinquent: Saginaw County Juvenile Court</v>
      </c>
      <c r="E29" s="1" t="str">
        <f>'Data Entry'!D22</f>
        <v>Item 8.Probation: Saginaw County Juvenile Court</v>
      </c>
      <c r="I29" s="96"/>
      <c r="J29" s="96"/>
    </row>
    <row r="30" spans="2:18" ht="12.75" customHeight="1">
      <c r="B30" s="1" t="str">
        <f>'Data Entry'!A23</f>
        <v>Item 9.Confinement: Saginaw County Juvenile Court</v>
      </c>
      <c r="E30" s="1" t="str">
        <f>'Data Entry'!D23</f>
        <v>Item 10.Transferred: Saginaw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Saginaw</v>
      </c>
    </row>
    <row r="6" spans="1:12">
      <c r="A6" s="135" t="str">
        <f>CONCATENATE("Percentage of Minorities at Stages of the Juvenile Justice System, ", A5, " 2024")</f>
        <v>Percentage of Minorities at Stages of the Juvenile Justice System, County: Saginaw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N=8</v>
      </c>
      <c r="B7" s="150">
        <f>'Data Entry'!D15/'Data Entry'!B15</f>
        <v>0.75</v>
      </c>
      <c r="C7" s="150">
        <f>'Data Entry'!E15/'Data Entry'!B15</f>
        <v>0.125</v>
      </c>
      <c r="D7" s="150">
        <f>'Data Entry'!F15/'Data Entry'!B15</f>
        <v>0</v>
      </c>
      <c r="E7" s="150">
        <f>'Data Entry'!G15/'Data Entry'!B15</f>
        <v>0</v>
      </c>
      <c r="F7" s="150">
        <f>'Data Entry'!H15/'Data Entry'!B15</f>
        <v>0</v>
      </c>
      <c r="G7" s="150">
        <f>'Data Entry'!I15/'Data Entry'!B15</f>
        <v>0.125</v>
      </c>
      <c r="H7" s="150">
        <f>SUM(D7:G7)/'Data Entry'!B15</f>
        <v>1.5625E-2</v>
      </c>
      <c r="I7" s="150">
        <f>'Data Entry'!C15/'Data Entry'!B15</f>
        <v>0</v>
      </c>
      <c r="K7" s="96" t="str">
        <f t="shared" ref="K7:K14" si="0">A7</f>
        <v>Waivers, total N=8</v>
      </c>
      <c r="L7">
        <f>I14/(SUM(B14:G14))</f>
        <v>1.4720798489344487</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1.4720798489344487</v>
      </c>
    </row>
    <row r="9" spans="1:12">
      <c r="A9" s="128" t="str">
        <f>CONCATENATE("Delinquent Findings, total N=", 'Data Entry'!B12)</f>
        <v>Delinquent Findings, total N=413</v>
      </c>
      <c r="B9" s="150">
        <f>'Data Entry'!D12/'Data Entry'!B12</f>
        <v>0.58111380145278446</v>
      </c>
      <c r="C9" s="150">
        <f>'Data Entry'!E12/'Data Entry'!B12</f>
        <v>5.3268765133171914E-2</v>
      </c>
      <c r="D9" s="150">
        <f>'Data Entry'!F12/'Data Entry'!B12</f>
        <v>0</v>
      </c>
      <c r="E9" s="150">
        <f>'Data Entry'!G12/'Data Entry'!B12</f>
        <v>0</v>
      </c>
      <c r="F9" s="150">
        <f>'Data Entry'!H12/'Data Entry'!B12</f>
        <v>2.4213075060532689E-3</v>
      </c>
      <c r="G9" s="150">
        <f>'Data Entry'!I12/'Data Entry'!B12</f>
        <v>9.9273607748184015E-2</v>
      </c>
      <c r="H9" s="150">
        <f>SUM(D9:G9)/'Data Entry'!B12</f>
        <v>2.4623466163253577E-4</v>
      </c>
      <c r="I9" s="150">
        <f>'Data Entry'!C12/'Data Entry'!B12</f>
        <v>0.26392251815980627</v>
      </c>
      <c r="K9" s="96" t="str">
        <f t="shared" si="0"/>
        <v>Delinquent Findings, total N=413</v>
      </c>
      <c r="L9">
        <f>I14/(SUM(B14:G14))</f>
        <v>1.4720798489344487</v>
      </c>
    </row>
    <row r="10" spans="1:12">
      <c r="A10" s="128" t="str">
        <f>CONCATENATE("Petitions, total N=", 'Data Entry'!B11)</f>
        <v>Petitions, total N=460</v>
      </c>
      <c r="B10" s="150">
        <f>'Data Entry'!D11/'Data Entry'!B11</f>
        <v>0.59130434782608698</v>
      </c>
      <c r="C10" s="150">
        <f>'Data Entry'!E11/'Data Entry'!B11</f>
        <v>5.434782608695652E-2</v>
      </c>
      <c r="D10" s="150">
        <f>'Data Entry'!F11/'Data Entry'!B11</f>
        <v>0</v>
      </c>
      <c r="E10" s="150">
        <f>'Data Entry'!G11/'Data Entry'!B11</f>
        <v>0</v>
      </c>
      <c r="F10" s="150">
        <f>'Data Entry'!H11/'Data Entry'!B11</f>
        <v>4.3478260869565218E-3</v>
      </c>
      <c r="G10" s="150">
        <f>'Data Entry'!I11/'Data Entry'!B11</f>
        <v>0.10217391304347827</v>
      </c>
      <c r="H10" s="150">
        <f>SUM(D10:G10)/'Data Entry'!B11</f>
        <v>2.3156899810964087E-4</v>
      </c>
      <c r="I10" s="150">
        <f>'Data Entry'!C11/'Data Entry'!B11</f>
        <v>0.24782608695652175</v>
      </c>
      <c r="K10" s="96" t="str">
        <f t="shared" si="0"/>
        <v>Petitions, total N=460</v>
      </c>
      <c r="L10">
        <f>I14/(SUM(B14:G14))</f>
        <v>1.4720798489344487</v>
      </c>
    </row>
    <row r="11" spans="1:12">
      <c r="A11" s="128" t="str">
        <f>CONCATENATE("Detentions, total N=", 'Data Entry'!B10)</f>
        <v>Detentions, total N=351</v>
      </c>
      <c r="B11" s="150">
        <f>'Data Entry'!D10/'Data Entry'!B10</f>
        <v>0.66096866096866091</v>
      </c>
      <c r="C11" s="150">
        <f>'Data Entry'!E10/'Data Entry'!B10</f>
        <v>6.5527065527065526E-2</v>
      </c>
      <c r="D11" s="150">
        <f>'Data Entry'!F10/'Data Entry'!B10</f>
        <v>0</v>
      </c>
      <c r="E11" s="150">
        <f>'Data Entry'!G10/'Data Entry'!B10</f>
        <v>0</v>
      </c>
      <c r="F11" s="150">
        <f>'Data Entry'!H10/'Data Entry'!B10</f>
        <v>0</v>
      </c>
      <c r="G11" s="150">
        <f>'Data Entry'!I10/'Data Entry'!B10</f>
        <v>4.2735042735042736E-2</v>
      </c>
      <c r="H11" s="150">
        <f>SUM(D11:G11)/'Data Entry'!B10</f>
        <v>1.2175225850439525E-4</v>
      </c>
      <c r="I11" s="150">
        <f>'Data Entry'!C10/'Data Entry'!B10</f>
        <v>0.22792022792022792</v>
      </c>
      <c r="K11" s="96" t="str">
        <f t="shared" si="0"/>
        <v>Detentions, total N=351</v>
      </c>
      <c r="L11">
        <f>I14/(SUM(B14:G14))</f>
        <v>1.4720798489344487</v>
      </c>
    </row>
    <row r="12" spans="1:12">
      <c r="A12" s="128" t="str">
        <f>CONCATENATE("Referrals, total N=", 'Data Entry'!B8)</f>
        <v>Referrals, total N=474</v>
      </c>
      <c r="B12" s="150">
        <f>'Data Entry'!D8/'Data Entry'!B8</f>
        <v>0.58227848101265822</v>
      </c>
      <c r="C12" s="150">
        <f>'Data Entry'!E8/'Data Entry'!B8</f>
        <v>5.2742616033755275E-2</v>
      </c>
      <c r="D12" s="150">
        <f>'Data Entry'!F8/'Data Entry'!B8</f>
        <v>0</v>
      </c>
      <c r="E12" s="150">
        <f>'Data Entry'!G8/'Data Entry'!B8</f>
        <v>0</v>
      </c>
      <c r="F12" s="150">
        <f>'Data Entry'!H8/'Data Entry'!B8</f>
        <v>4.2194092827004216E-3</v>
      </c>
      <c r="G12" s="150">
        <f>'Data Entry'!I8/'Data Entry'!B8</f>
        <v>9.9156118143459912E-2</v>
      </c>
      <c r="H12" s="150">
        <f>SUM(D12:G12)/'Data Entry'!B8</f>
        <v>2.1809183001299649E-4</v>
      </c>
      <c r="I12" s="150">
        <f>'Data Entry'!C8/'Data Entry'!B8</f>
        <v>0.26160337552742619</v>
      </c>
      <c r="K12" s="96" t="str">
        <f t="shared" si="0"/>
        <v>Referrals, total N=474</v>
      </c>
      <c r="L12">
        <f>I14/(SUM(B14:G14))</f>
        <v>1.4720798489344487</v>
      </c>
    </row>
    <row r="13" spans="1:12">
      <c r="A13" s="128" t="str">
        <f>CONCATENATE("Arrests, total N=", 'Data Entry'!B7)</f>
        <v>Arrests, total N=266</v>
      </c>
      <c r="B13" s="150">
        <f>'Data Entry'!D7/'Data Entry'!B7</f>
        <v>0.65413533834586468</v>
      </c>
      <c r="C13" s="150">
        <f>'Data Entry'!E7/'Data Entry'!B7</f>
        <v>4.5112781954887216E-2</v>
      </c>
      <c r="D13" s="150">
        <f>'Data Entry'!F7/'Data Entry'!B7</f>
        <v>3.7593984962406013E-3</v>
      </c>
      <c r="E13" s="150">
        <f>'Data Entry'!G7/'Data Entry'!B7</f>
        <v>3.7593984962406013E-3</v>
      </c>
      <c r="F13" s="150">
        <f>'Data Entry'!H7/'Data Entry'!B7</f>
        <v>0</v>
      </c>
      <c r="G13" s="150">
        <f>'Data Entry'!I7/'Data Entry'!B7</f>
        <v>0</v>
      </c>
      <c r="H13" s="150">
        <f>SUM(D13:G13)/'Data Entry'!B7</f>
        <v>2.8266154107072189E-5</v>
      </c>
      <c r="I13" s="150">
        <f>'Data Entry'!C7/'Data Entry'!B7</f>
        <v>0.27443609022556392</v>
      </c>
      <c r="K13" s="96" t="str">
        <f t="shared" si="0"/>
        <v>Arrests, total N=266</v>
      </c>
      <c r="L13">
        <f>I14/(SUM(B14:G14))</f>
        <v>1.4720798489344487</v>
      </c>
    </row>
    <row r="14" spans="1:12">
      <c r="A14" s="128" t="str">
        <f>CONCATENATE("Population, total N=", 'Data Entry'!B6)</f>
        <v>Population, total N=18328</v>
      </c>
      <c r="B14" s="150">
        <f>'Data Entry'!D6/'Data Entry'!B6</f>
        <v>0.24345264076822348</v>
      </c>
      <c r="C14" s="150">
        <f>'Data Entry'!E6/'Data Entry'!B6</f>
        <v>0.14115015277171541</v>
      </c>
      <c r="D14" s="150">
        <f>'Data Entry'!F6/'Data Entry'!B6</f>
        <v>1.511348756001746E-2</v>
      </c>
      <c r="E14" s="150">
        <f>'Data Entry'!G6/'Data Entry'!B6</f>
        <v>0</v>
      </c>
      <c r="F14" s="150">
        <f>'Data Entry'!H6/'Data Entry'!B6</f>
        <v>4.8013967699694453E-3</v>
      </c>
      <c r="G14" s="150">
        <f>'Data Entry'!I6/'Data Entry'!B6</f>
        <v>0</v>
      </c>
      <c r="H14" s="150">
        <f>SUM(D14:G14)/'Data Entry'!B6</f>
        <v>1.0865825147308439E-6</v>
      </c>
      <c r="I14" s="150">
        <f>'Data Entry'!C6/'Data Entry'!B6</f>
        <v>0.59548232213007424</v>
      </c>
      <c r="K14" s="96" t="str">
        <f t="shared" si="0"/>
        <v>Population, total N=18328</v>
      </c>
      <c r="L14">
        <f>I14/(SUM(B14:G14))</f>
        <v>1.4720798489344487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Saginaw</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10914</v>
      </c>
      <c r="D7" s="104">
        <f>'Data Entry'!D6</f>
        <v>4462</v>
      </c>
      <c r="E7" s="105"/>
      <c r="F7" s="106">
        <f>'Data Entry'!E6</f>
        <v>2587</v>
      </c>
      <c r="G7" s="105"/>
      <c r="H7" s="106">
        <f>'Data Entry'!F6</f>
        <v>277</v>
      </c>
      <c r="I7" s="105"/>
      <c r="J7" s="106">
        <f>'Data Entry'!J6</f>
        <v>7414</v>
      </c>
      <c r="K7" s="107"/>
    </row>
    <row r="8" spans="2:30" s="1" customFormat="1" ht="15" customHeight="1">
      <c r="B8" s="121" t="s">
        <v>8</v>
      </c>
      <c r="C8" s="103">
        <f>'Data Entry'!C7</f>
        <v>73</v>
      </c>
      <c r="D8" s="104">
        <f>'Data Entry'!D7</f>
        <v>174</v>
      </c>
      <c r="E8" s="105">
        <f>'Black or African-American'!$G7</f>
        <v>5.8301640028735813</v>
      </c>
      <c r="F8" s="106">
        <f>'Data Entry'!E7</f>
        <v>12</v>
      </c>
      <c r="G8" s="105">
        <f>Hispanic!G7</f>
        <v>0.69349910776220391</v>
      </c>
      <c r="H8" s="106">
        <f>'Data Entry'!F7</f>
        <v>1</v>
      </c>
      <c r="I8" s="105" t="str">
        <f>Asian!G7</f>
        <v>**</v>
      </c>
      <c r="J8" s="106">
        <f>'Data Entry'!J7</f>
        <v>188</v>
      </c>
      <c r="K8" s="107">
        <f>'All Minorities'!G7</f>
        <v>3.7911097479407707</v>
      </c>
      <c r="L8"/>
      <c r="N8" s="1">
        <f>'Black or African-American'!L7</f>
        <v>1</v>
      </c>
      <c r="O8" s="1">
        <f>Hispanic!L7</f>
        <v>2</v>
      </c>
      <c r="P8" s="1">
        <f>Asian!L7</f>
        <v>40</v>
      </c>
      <c r="Q8" s="1" t="e">
        <f>Hawaiian!L7</f>
        <v>#DIV/0!</v>
      </c>
      <c r="R8" s="1">
        <f>'Am Indian'!L7</f>
        <v>139</v>
      </c>
      <c r="S8" s="1" t="e">
        <f>'Other - Mixed'!L7</f>
        <v>#VALUE!</v>
      </c>
      <c r="T8" s="1">
        <f>'All Minorities'!L7</f>
        <v>1</v>
      </c>
    </row>
    <row r="9" spans="2:30" s="1" customFormat="1" ht="15" customHeight="1">
      <c r="B9" s="121" t="s">
        <v>126</v>
      </c>
      <c r="C9" s="103">
        <f>'Data Entry'!C8</f>
        <v>124</v>
      </c>
      <c r="D9" s="108">
        <f>'Data Entry'!D8</f>
        <v>276</v>
      </c>
      <c r="E9" s="109">
        <f>'Black or African-American'!$G8</f>
        <v>0.9338153503893214</v>
      </c>
      <c r="F9" s="110">
        <f>'Data Entry'!E8</f>
        <v>25</v>
      </c>
      <c r="G9" s="109" t="str">
        <f>Hispanic!G8</f>
        <v>**</v>
      </c>
      <c r="H9" s="110">
        <f>'Data Entry'!F8</f>
        <v>0</v>
      </c>
      <c r="I9" s="109" t="str">
        <f>Asian!G8</f>
        <v>**</v>
      </c>
      <c r="J9" s="110">
        <f>'Data Entry'!J8</f>
        <v>350</v>
      </c>
      <c r="K9" s="111">
        <f>'All Minorities'!G8</f>
        <v>1.0960020590253947</v>
      </c>
      <c r="L9"/>
      <c r="N9" s="1">
        <f>'Black or African-American'!L8</f>
        <v>2</v>
      </c>
      <c r="O9" s="1">
        <f>Hispanic!L8</f>
        <v>40</v>
      </c>
      <c r="P9" s="1">
        <f>Asian!L8</f>
        <v>40</v>
      </c>
      <c r="Q9" s="1">
        <f>Hawaiian!L8</f>
        <v>139</v>
      </c>
      <c r="R9" s="1">
        <f>'Am Indian'!L8</f>
        <v>119</v>
      </c>
      <c r="S9" s="1">
        <f>'Other - Mixed'!L8</f>
        <v>119</v>
      </c>
      <c r="T9" s="1">
        <f>'All Minorities'!L8</f>
        <v>2</v>
      </c>
    </row>
    <row r="10" spans="2:30" s="1" customFormat="1" ht="15" customHeight="1">
      <c r="B10" s="121" t="s">
        <v>10</v>
      </c>
      <c r="C10" s="103">
        <f>'Data Entry'!C9</f>
        <v>5</v>
      </c>
      <c r="D10" s="112">
        <f>'Data Entry'!D9</f>
        <v>7</v>
      </c>
      <c r="E10" s="113" t="str">
        <f>'Black or African-American'!$G9</f>
        <v>**</v>
      </c>
      <c r="F10" s="114">
        <f>'Data Entry'!E9</f>
        <v>1</v>
      </c>
      <c r="G10" s="113" t="str">
        <f>Hispanic!G9</f>
        <v>**</v>
      </c>
      <c r="H10" s="114">
        <f>'Data Entry'!F9</f>
        <v>0</v>
      </c>
      <c r="I10" s="113" t="str">
        <f>Asian!G9</f>
        <v>--</v>
      </c>
      <c r="J10" s="114">
        <f>'Data Entry'!J9</f>
        <v>9</v>
      </c>
      <c r="K10" s="115" t="str">
        <f>'All Minorities'!G9</f>
        <v>**</v>
      </c>
      <c r="L10"/>
      <c r="N10" s="1">
        <f>'Black or African-American'!L9</f>
        <v>40</v>
      </c>
      <c r="O10" s="1">
        <f>Hispanic!L9</f>
        <v>40</v>
      </c>
      <c r="P10" s="1" t="e">
        <f>Asian!L9</f>
        <v>#VALUE!</v>
      </c>
      <c r="Q10" s="1" t="e">
        <f>Hawaiian!L9</f>
        <v>#VALUE!</v>
      </c>
      <c r="R10" s="1">
        <f>'Am Indian'!L9</f>
        <v>139</v>
      </c>
      <c r="S10" s="1">
        <f>'Other - Mixed'!L9</f>
        <v>139</v>
      </c>
      <c r="T10" s="1">
        <f>'All Minorities'!L9</f>
        <v>40</v>
      </c>
    </row>
    <row r="11" spans="2:30" s="1" customFormat="1" ht="15" customHeight="1">
      <c r="B11" s="121" t="s">
        <v>11</v>
      </c>
      <c r="C11" s="103">
        <f>'Data Entry'!C10</f>
        <v>80</v>
      </c>
      <c r="D11" s="108">
        <f>'Data Entry'!D10</f>
        <v>232</v>
      </c>
      <c r="E11" s="109">
        <f>'Black or African-American'!$G10</f>
        <v>1.3028985507246378</v>
      </c>
      <c r="F11" s="110">
        <f>'Data Entry'!E10</f>
        <v>23</v>
      </c>
      <c r="G11" s="109" t="str">
        <f>Hispanic!G10</f>
        <v>**</v>
      </c>
      <c r="H11" s="110">
        <f>'Data Entry'!F10</f>
        <v>0</v>
      </c>
      <c r="I11" s="109" t="str">
        <f>Asian!G10</f>
        <v>--</v>
      </c>
      <c r="J11" s="110">
        <f>'Data Entry'!J10</f>
        <v>270</v>
      </c>
      <c r="K11" s="111">
        <f>'All Minorities'!G10</f>
        <v>1.1957142857142857</v>
      </c>
      <c r="L11"/>
      <c r="N11" s="1">
        <f>'Black or African-American'!L10</f>
        <v>1</v>
      </c>
      <c r="O11" s="1">
        <f>Hispanic!L10</f>
        <v>20</v>
      </c>
      <c r="P11" s="1" t="e">
        <f>Asian!L10</f>
        <v>#VALUE!</v>
      </c>
      <c r="Q11" s="1" t="e">
        <f>Hawaiian!L10</f>
        <v>#VALUE!</v>
      </c>
      <c r="R11" s="1">
        <f>'Am Indian'!L10</f>
        <v>139</v>
      </c>
      <c r="S11" s="1">
        <f>'Other - Mixed'!L10</f>
        <v>100</v>
      </c>
      <c r="T11" s="1">
        <f>'All Minorities'!L10</f>
        <v>1</v>
      </c>
    </row>
    <row r="12" spans="2:30" s="1" customFormat="1" ht="15" customHeight="1">
      <c r="B12" s="121" t="s">
        <v>95</v>
      </c>
      <c r="C12" s="103">
        <f>'Data Entry'!C11</f>
        <v>114</v>
      </c>
      <c r="D12" s="112">
        <f>'Data Entry'!D11</f>
        <v>272</v>
      </c>
      <c r="E12" s="113">
        <f>'Black or African-American'!$G11</f>
        <v>1.071955250444953</v>
      </c>
      <c r="F12" s="114">
        <f>'Data Entry'!E11</f>
        <v>25</v>
      </c>
      <c r="G12" s="113" t="str">
        <f>Hispanic!G11</f>
        <v>**</v>
      </c>
      <c r="H12" s="114">
        <f>'Data Entry'!F11</f>
        <v>0</v>
      </c>
      <c r="I12" s="113" t="str">
        <f>Asian!G11</f>
        <v>--</v>
      </c>
      <c r="J12" s="114">
        <f>'Data Entry'!J11</f>
        <v>346</v>
      </c>
      <c r="K12" s="115">
        <f>'All Minorities'!G11</f>
        <v>1.0752882205513785</v>
      </c>
      <c r="L12"/>
      <c r="N12" s="1">
        <f>'Black or African-American'!L11</f>
        <v>1</v>
      </c>
      <c r="O12" s="1">
        <f>Hispanic!L11</f>
        <v>40</v>
      </c>
      <c r="P12" s="1" t="e">
        <f>Asian!L11</f>
        <v>#VALUE!</v>
      </c>
      <c r="Q12" s="1" t="e">
        <f>Hawaiian!L11</f>
        <v>#VALUE!</v>
      </c>
      <c r="R12" s="1">
        <f>'Am Indian'!L11</f>
        <v>139</v>
      </c>
      <c r="S12" s="1">
        <f>'Other - Mixed'!L11</f>
        <v>100</v>
      </c>
      <c r="T12" s="1">
        <f>'All Minorities'!L11</f>
        <v>1</v>
      </c>
    </row>
    <row r="13" spans="2:30" s="1" customFormat="1" ht="15" customHeight="1">
      <c r="B13" s="121" t="s">
        <v>13</v>
      </c>
      <c r="C13" s="103">
        <f>'Data Entry'!C12</f>
        <v>109</v>
      </c>
      <c r="D13" s="108">
        <f>'Data Entry'!D12</f>
        <v>240</v>
      </c>
      <c r="E13" s="109">
        <f>'Black or African-American'!$G12</f>
        <v>0.92282784673502427</v>
      </c>
      <c r="F13" s="110">
        <f>'Data Entry'!E12</f>
        <v>22</v>
      </c>
      <c r="G13" s="109" t="str">
        <f>Hispanic!G12</f>
        <v>**</v>
      </c>
      <c r="H13" s="110">
        <f>'Data Entry'!F12</f>
        <v>0</v>
      </c>
      <c r="I13" s="109" t="str">
        <f>Asian!G12</f>
        <v>--</v>
      </c>
      <c r="J13" s="110">
        <f>'Data Entry'!J12</f>
        <v>304</v>
      </c>
      <c r="K13" s="111">
        <f>'All Minorities'!G12</f>
        <v>0.91891605239433627</v>
      </c>
      <c r="L13"/>
      <c r="N13" s="1">
        <f>'Black or African-American'!L12</f>
        <v>1</v>
      </c>
      <c r="O13" s="1">
        <f>Hispanic!L12</f>
        <v>40</v>
      </c>
      <c r="P13" s="1" t="e">
        <f>Asian!L12</f>
        <v>#VALUE!</v>
      </c>
      <c r="Q13" s="1" t="e">
        <f>Hawaiian!L12</f>
        <v>#VALUE!</v>
      </c>
      <c r="R13" s="1">
        <f>'Am Indian'!L12</f>
        <v>119</v>
      </c>
      <c r="S13" s="1">
        <f>'Other - Mixed'!L12</f>
        <v>101</v>
      </c>
      <c r="T13" s="1">
        <f>'All Minorities'!L12</f>
        <v>1</v>
      </c>
      <c r="W13" s="8"/>
      <c r="X13" s="8"/>
      <c r="Y13" s="8"/>
      <c r="Z13" s="8"/>
      <c r="AA13" s="8"/>
      <c r="AB13" s="8"/>
      <c r="AC13" s="8"/>
      <c r="AD13" s="8"/>
    </row>
    <row r="14" spans="2:30" s="1" customFormat="1" ht="15" customHeight="1">
      <c r="B14" s="121" t="s">
        <v>14</v>
      </c>
      <c r="C14" s="103">
        <f>'Data Entry'!C13</f>
        <v>106</v>
      </c>
      <c r="D14" s="112">
        <f>'Data Entry'!D13</f>
        <v>218</v>
      </c>
      <c r="E14" s="113">
        <f>'Black or African-American'!$G13</f>
        <v>0.93404088050314482</v>
      </c>
      <c r="F14" s="114">
        <f>'Data Entry'!E13</f>
        <v>20</v>
      </c>
      <c r="G14" s="113" t="str">
        <f>Hispanic!G13</f>
        <v>**</v>
      </c>
      <c r="H14" s="114">
        <f>'Data Entry'!F13</f>
        <v>0</v>
      </c>
      <c r="I14" s="113" t="str">
        <f>Asian!G13</f>
        <v>--</v>
      </c>
      <c r="J14" s="114">
        <f>'Data Entry'!J13</f>
        <v>274</v>
      </c>
      <c r="K14" s="115">
        <f>'All Minorities'!G13</f>
        <v>0.92682472691161877</v>
      </c>
      <c r="L14"/>
      <c r="N14" s="1">
        <f>'Black or African-American'!L13</f>
        <v>1</v>
      </c>
      <c r="O14" s="1">
        <f>Hispanic!L13</f>
        <v>40</v>
      </c>
      <c r="P14" s="1" t="e">
        <f>Asian!L13</f>
        <v>#VALUE!</v>
      </c>
      <c r="Q14" s="1" t="e">
        <f>Hawaiian!L13</f>
        <v>#VALUE!</v>
      </c>
      <c r="R14" s="1">
        <f>'Am Indian'!L13</f>
        <v>139</v>
      </c>
      <c r="S14" s="1">
        <f>'Other - Mixed'!L13</f>
        <v>100</v>
      </c>
      <c r="T14" s="1">
        <f>'All Minorities'!L13</f>
        <v>1</v>
      </c>
      <c r="W14" s="8"/>
      <c r="X14" s="8"/>
      <c r="Y14" s="8"/>
      <c r="Z14" s="8"/>
      <c r="AA14" s="8"/>
      <c r="AB14" s="8"/>
      <c r="AC14" s="8"/>
      <c r="AD14" s="8"/>
    </row>
    <row r="15" spans="2:30" s="1" customFormat="1" ht="33">
      <c r="B15" s="126"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6</v>
      </c>
      <c r="E16" s="117" t="str">
        <f>'Black or African-American'!$G15</f>
        <v>**</v>
      </c>
      <c r="F16" s="118">
        <f>'Data Entry'!E15</f>
        <v>1</v>
      </c>
      <c r="G16" s="117" t="str">
        <f>Hispanic!G15</f>
        <v>**</v>
      </c>
      <c r="H16" s="118">
        <f>'Data Entry'!F15</f>
        <v>0</v>
      </c>
      <c r="I16" s="117" t="str">
        <f>Asian!G15</f>
        <v>--</v>
      </c>
      <c r="J16" s="118">
        <f>'Data Entry'!J15</f>
        <v>8</v>
      </c>
      <c r="K16" s="119" t="str">
        <f>'All Minorities'!G15</f>
        <v>**</v>
      </c>
      <c r="L16"/>
      <c r="N16" s="1">
        <f>'Black or African-American'!L15</f>
        <v>40</v>
      </c>
      <c r="O16" s="1">
        <f>Hispanic!L15</f>
        <v>20</v>
      </c>
      <c r="P16" s="1" t="e">
        <f>Asian!L15</f>
        <v>#VALUE!</v>
      </c>
      <c r="Q16" s="1" t="e">
        <f>Hawaiian!L15</f>
        <v>#VALUE!</v>
      </c>
      <c r="R16" s="1" t="e">
        <f>'Am Indian'!L15</f>
        <v>#VALUE!</v>
      </c>
      <c r="S16" s="1">
        <f>'Other - Mixed'!L15</f>
        <v>139</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Saginaw County Juvenile Court</v>
      </c>
      <c r="E27" s="1" t="str">
        <f>'Data Entry'!D20</f>
        <v>Item 4.Diversion: Saginaw County Juvenile Court</v>
      </c>
      <c r="I27" s="96"/>
    </row>
    <row r="28" spans="2:30" ht="12.75" customHeight="1">
      <c r="B28" s="1" t="str">
        <f>'Data Entry'!A21</f>
        <v>Item 5.Detention: Saginaw County Juvenile Court</v>
      </c>
      <c r="E28" s="1" t="str">
        <f>'Data Entry'!D21</f>
        <v>Item 6.Petitioned: Saginaw County Juvenile Court</v>
      </c>
      <c r="I28" s="96"/>
    </row>
    <row r="29" spans="2:30" ht="12.75" customHeight="1">
      <c r="B29" s="1" t="str">
        <f>'Data Entry'!A22</f>
        <v>Item 7.Delinquent: Saginaw County Juvenile Court</v>
      </c>
      <c r="E29" s="1" t="str">
        <f>'Data Entry'!D22</f>
        <v>Item 8.Probation: Saginaw County Juvenile Court</v>
      </c>
      <c r="I29" s="96"/>
    </row>
    <row r="30" spans="2:30" ht="12.75" customHeight="1">
      <c r="B30" s="1" t="str">
        <f>'Data Entry'!A23</f>
        <v>Item 9.Confinement: Saginaw County Juvenile Court</v>
      </c>
      <c r="E30" s="1" t="str">
        <f>'Data Entry'!D23</f>
        <v>Item 10.Transferred: Saginaw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10914</v>
      </c>
      <c r="D6" s="34"/>
      <c r="E6" s="33">
        <f>'Data Entry'!D6</f>
        <v>4462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6.6886567711196632</v>
      </c>
      <c r="E7" s="33">
        <f>'Data Entry'!D7</f>
        <v>174</v>
      </c>
      <c r="F7" s="34">
        <f>IF((AND($E$7&gt;0,$D$66&gt;0)),($E$7/$D$66),0)</f>
        <v>38.995965934558498</v>
      </c>
      <c r="G7" s="39">
        <f>IF(L$6=100,"*",IF(M7=FALSE,"--",IF(K7=20,"**",($F7/$D7))))</f>
        <v>5.8301640028735813</v>
      </c>
      <c r="H7" s="40"/>
      <c r="I7" s="41"/>
      <c r="J7" s="40">
        <f>IF((ABS($U7)&gt;Defaults!D$7),1,2)</f>
        <v>1</v>
      </c>
      <c r="K7" s="39">
        <f>IF((AND(N7&gt;Defaults!B$12,(N7+O7)&gt;Defaults!B$13, P7 &gt; Defaults!B$12, (P7+Q7) &gt; Defaults!B$13)),1,20)</f>
        <v>1</v>
      </c>
      <c r="L7" s="1">
        <f>(J7*K7+L$6)-1</f>
        <v>1</v>
      </c>
      <c r="M7" s="1" t="b">
        <f t="shared" ref="M7:M15" si="0">(ISNUMBER(J7))</f>
        <v>1</v>
      </c>
      <c r="N7" s="42">
        <f t="shared" ref="N7:N15" si="1">E7</f>
        <v>174</v>
      </c>
      <c r="O7" s="42">
        <f>E6-E7</f>
        <v>4288</v>
      </c>
      <c r="P7" s="42">
        <f t="shared" ref="P7:P15" si="2">C7</f>
        <v>73</v>
      </c>
      <c r="Q7" s="42">
        <f>C6-C7</f>
        <v>10841</v>
      </c>
      <c r="R7" s="42">
        <f t="shared" ref="R7:R15" si="3">SUM(N7:Q7)</f>
        <v>15376</v>
      </c>
      <c r="S7" s="30">
        <f t="shared" ref="S7:S15" si="4">R7*((((N7*Q7)-(O7*P7))^2))</f>
        <v>3.80602797793936E+16</v>
      </c>
      <c r="T7" s="30">
        <f t="shared" ref="T7:T15" si="5">(N7+O7)*(P7+Q7)*(N7+P7)*(O7+Q7)</f>
        <v>181978755853284</v>
      </c>
      <c r="U7" s="31">
        <f t="shared" ref="U7:U15" si="6">IF((S7&gt;0),S7/T7,"- -")</f>
        <v>209.14682925999773</v>
      </c>
    </row>
    <row r="8" spans="2:21" ht="18" customHeight="1">
      <c r="B8" s="32" t="str">
        <f>'Data Entry'!A8</f>
        <v>3. Refer to Juvenile Court</v>
      </c>
      <c r="C8" s="33">
        <f>'Data Entry'!C8</f>
        <v>124</v>
      </c>
      <c r="D8" s="34">
        <f>IF((AND(C67&gt;0,C8&gt;0)),(C8/C67),0)</f>
        <v>169.86301369863014</v>
      </c>
      <c r="E8" s="33">
        <f>'Data Entry'!D8</f>
        <v>276</v>
      </c>
      <c r="F8" s="34">
        <f>IF((AND($E$8&gt;0,$D$67&gt;0)),($E8/$D67),0)</f>
        <v>158.62068965517241</v>
      </c>
      <c r="G8" s="39">
        <f t="shared" ref="G8:G15" si="7">IF(L$6=100,"*",IF(M8=FALSE,"--",IF(K8=20,"**",($F8/$D8))))</f>
        <v>0.9338153503893214</v>
      </c>
      <c r="H8" s="40"/>
      <c r="I8" s="41"/>
      <c r="J8" s="40">
        <f>IF((ABS($U8)&gt;Defaults!D$7),1,2)</f>
        <v>2</v>
      </c>
      <c r="K8" s="39">
        <f>IF((AND(N8&gt;Defaults!B$12,(N8+O8)&gt;Defaults!B$13, P8 &gt; Defaults!B$12, (P8+Q8) &gt; Defaults!B$13)),1,20)</f>
        <v>1</v>
      </c>
      <c r="L8" s="1">
        <f t="shared" ref="L8:L15" si="8">(J8*K8+L$6)-1</f>
        <v>2</v>
      </c>
      <c r="M8" s="1" t="b">
        <f t="shared" si="0"/>
        <v>1</v>
      </c>
      <c r="N8" s="42">
        <f t="shared" si="1"/>
        <v>276</v>
      </c>
      <c r="O8" s="42">
        <f>((D67*L67)-E8)+0.05</f>
        <v>-101.95</v>
      </c>
      <c r="P8" s="42">
        <f t="shared" si="2"/>
        <v>124</v>
      </c>
      <c r="Q8" s="42">
        <f>(C$67*L67)-C8</f>
        <v>-51</v>
      </c>
      <c r="R8" s="42">
        <f t="shared" si="3"/>
        <v>247.05</v>
      </c>
      <c r="S8" s="30">
        <f t="shared" si="4"/>
        <v>508164467.56199926</v>
      </c>
      <c r="T8" s="30">
        <f t="shared" si="5"/>
        <v>-777331667.00000012</v>
      </c>
      <c r="U8" s="31">
        <f t="shared" si="6"/>
        <v>-0.65372927559118621</v>
      </c>
    </row>
    <row r="9" spans="2:21" ht="18" customHeight="1">
      <c r="B9" s="32" t="str">
        <f>'Data Entry'!A9</f>
        <v xml:space="preserve">4. Cases Diverted </v>
      </c>
      <c r="C9" s="33">
        <f>'Data Entry'!C9</f>
        <v>5</v>
      </c>
      <c r="D9" s="34">
        <f>IF((AND(C68&gt;0,C9&gt;0)),((C9/C68)),0)</f>
        <v>4.032258064516129</v>
      </c>
      <c r="E9" s="33">
        <f>'Data Entry'!D9</f>
        <v>7</v>
      </c>
      <c r="F9" s="34">
        <f>IF((AND($E$9&gt;0,$D$68&gt;0)),(($E$9/$D$68)),0)</f>
        <v>2.5362318840579712</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7</v>
      </c>
      <c r="O9" s="42">
        <f>(D$68*L68)-E9</f>
        <v>269</v>
      </c>
      <c r="P9" s="42">
        <f t="shared" si="2"/>
        <v>5</v>
      </c>
      <c r="Q9" s="42">
        <f>(C$68*L68)-C9</f>
        <v>119</v>
      </c>
      <c r="R9" s="42">
        <f t="shared" si="3"/>
        <v>400</v>
      </c>
      <c r="S9" s="30">
        <f t="shared" si="4"/>
        <v>104857600</v>
      </c>
      <c r="T9" s="30">
        <f t="shared" si="5"/>
        <v>159346944</v>
      </c>
      <c r="U9" s="31">
        <f t="shared" si="6"/>
        <v>0.6580458800640695</v>
      </c>
    </row>
    <row r="10" spans="2:21" ht="18" customHeight="1">
      <c r="B10" s="32" t="str">
        <f>'Data Entry'!A10</f>
        <v>5. Cases Involving Secure Detention</v>
      </c>
      <c r="C10" s="33">
        <f>'Data Entry'!C10</f>
        <v>80</v>
      </c>
      <c r="D10" s="34">
        <f>IF(((AND(C68&gt;0,C10&gt;0))),(C10/(C68)),0)</f>
        <v>64.516129032258064</v>
      </c>
      <c r="E10" s="33">
        <f>'Data Entry'!D10</f>
        <v>232</v>
      </c>
      <c r="F10" s="34">
        <f>IF(((AND($E$10&gt;0,$D$68&gt;0))),($E$10/($D$68)),0)</f>
        <v>84.057971014492765</v>
      </c>
      <c r="G10" s="39">
        <f t="shared" si="7"/>
        <v>1.3028985507246378</v>
      </c>
      <c r="H10" s="40"/>
      <c r="I10" s="41"/>
      <c r="J10" s="40">
        <f>IF((ABS($U10)&gt;Defaults!D$7),1,2)</f>
        <v>1</v>
      </c>
      <c r="K10" s="39">
        <f>IF((AND(N10&gt;Defaults!B$12,(N10+O10)&gt;Defaults!B$13, P10 &gt; Defaults!B$12, (P10+Q10) &gt; Defaults!B$13)),1,20)</f>
        <v>1</v>
      </c>
      <c r="L10" s="1">
        <f t="shared" si="8"/>
        <v>1</v>
      </c>
      <c r="M10" s="1" t="b">
        <f t="shared" si="0"/>
        <v>1</v>
      </c>
      <c r="N10" s="42">
        <f t="shared" si="1"/>
        <v>232</v>
      </c>
      <c r="O10" s="42">
        <f>(D$68*L68)-E10</f>
        <v>44</v>
      </c>
      <c r="P10" s="42">
        <f t="shared" si="2"/>
        <v>80</v>
      </c>
      <c r="Q10" s="42">
        <f>(C$68*L68)-C10</f>
        <v>44</v>
      </c>
      <c r="R10" s="42">
        <f t="shared" si="3"/>
        <v>400</v>
      </c>
      <c r="S10" s="30">
        <f t="shared" si="4"/>
        <v>17891737600</v>
      </c>
      <c r="T10" s="30">
        <f t="shared" si="5"/>
        <v>939654144</v>
      </c>
      <c r="U10" s="31">
        <f t="shared" si="6"/>
        <v>19.040769110895337</v>
      </c>
    </row>
    <row r="11" spans="2:21" ht="18" customHeight="1">
      <c r="B11" s="32" t="str">
        <f>'Data Entry'!A11</f>
        <v>6. Cases Petitioned (Charge Filed)</v>
      </c>
      <c r="C11" s="33">
        <f>'Data Entry'!C11</f>
        <v>114</v>
      </c>
      <c r="D11" s="34">
        <f>IF(((AND(C68&gt;0,C11&gt;0))),(C11/(C68)),0)</f>
        <v>91.935483870967744</v>
      </c>
      <c r="E11" s="33">
        <f>'Data Entry'!D11</f>
        <v>272</v>
      </c>
      <c r="F11" s="34">
        <f>IF(((AND($E$11&gt;0,$D$68&gt;0))),($E$11/($D$68)),0)</f>
        <v>98.550724637681171</v>
      </c>
      <c r="G11" s="39">
        <f t="shared" si="7"/>
        <v>1.071955250444953</v>
      </c>
      <c r="H11" s="40"/>
      <c r="I11" s="41"/>
      <c r="J11" s="40">
        <f>IF((ABS($U11)&gt;Defaults!D$7),1,2)</f>
        <v>1</v>
      </c>
      <c r="K11" s="39">
        <f>IF((AND(N11&gt;Defaults!B$12,(N11+O11)&gt;Defaults!B$13, P11 &gt; Defaults!B$12, (P11+Q11) &gt; Defaults!B$13)),1,20)</f>
        <v>1</v>
      </c>
      <c r="L11" s="1">
        <f t="shared" si="8"/>
        <v>1</v>
      </c>
      <c r="M11" s="1" t="b">
        <f t="shared" si="0"/>
        <v>1</v>
      </c>
      <c r="N11" s="42">
        <f t="shared" si="1"/>
        <v>272</v>
      </c>
      <c r="O11" s="42">
        <f>(D$68*L68)-E11</f>
        <v>4</v>
      </c>
      <c r="P11" s="42">
        <f t="shared" si="2"/>
        <v>114</v>
      </c>
      <c r="Q11" s="42">
        <f>(C$68*L68)-C11</f>
        <v>10</v>
      </c>
      <c r="R11" s="42">
        <f t="shared" si="3"/>
        <v>400</v>
      </c>
      <c r="S11" s="30">
        <f t="shared" si="4"/>
        <v>2050278400</v>
      </c>
      <c r="T11" s="30">
        <f t="shared" si="5"/>
        <v>184946496</v>
      </c>
      <c r="U11" s="31">
        <f t="shared" si="6"/>
        <v>11.085792076860974</v>
      </c>
    </row>
    <row r="12" spans="2:21" ht="18" customHeight="1">
      <c r="B12" s="32" t="str">
        <f>'Data Entry'!A12</f>
        <v>7. Cases Resulting in Delinquent Findings</v>
      </c>
      <c r="C12" s="33">
        <f>'Data Entry'!C12</f>
        <v>109</v>
      </c>
      <c r="D12" s="34">
        <f>IF(((AND(C69&gt;0,C12&gt;0))),(C12/(C69)),0)</f>
        <v>95.614035087719301</v>
      </c>
      <c r="E12" s="33">
        <f>'Data Entry'!D12</f>
        <v>240</v>
      </c>
      <c r="F12" s="34">
        <f>IF(((AND($D$69&gt;0,$E$12&gt;0))),(E12/(D69)),0)</f>
        <v>88.235294117647058</v>
      </c>
      <c r="G12" s="39">
        <f t="shared" si="7"/>
        <v>0.92282784673502427</v>
      </c>
      <c r="H12" s="40"/>
      <c r="I12" s="41"/>
      <c r="J12" s="40">
        <f>IF((ABS($U12)&gt;Defaults!D$7),1,2)</f>
        <v>1</v>
      </c>
      <c r="K12" s="39">
        <f>IF((AND(N12&gt;Defaults!B$12,(N12+O12)&gt;Defaults!B$13, P12 &gt; Defaults!B$12, (P12+Q12) &gt; Defaults!B$13)),1,20)</f>
        <v>1</v>
      </c>
      <c r="L12" s="1">
        <f t="shared" si="8"/>
        <v>1</v>
      </c>
      <c r="M12" s="1" t="b">
        <f t="shared" si="0"/>
        <v>1</v>
      </c>
      <c r="N12" s="42">
        <f t="shared" si="1"/>
        <v>240</v>
      </c>
      <c r="O12" s="42">
        <f>(D69*L69)-E12</f>
        <v>32</v>
      </c>
      <c r="P12" s="42">
        <f t="shared" si="2"/>
        <v>109</v>
      </c>
      <c r="Q12" s="42">
        <f>(C69*L69)-C12</f>
        <v>4.9999999999999858</v>
      </c>
      <c r="R12" s="42">
        <f t="shared" si="3"/>
        <v>386</v>
      </c>
      <c r="S12" s="30">
        <f t="shared" si="4"/>
        <v>2020688384.0000064</v>
      </c>
      <c r="T12" s="30">
        <f t="shared" si="5"/>
        <v>400406303.99999976</v>
      </c>
      <c r="U12" s="31">
        <f t="shared" si="6"/>
        <v>5.0465948308346507</v>
      </c>
    </row>
    <row r="13" spans="2:21" ht="18" customHeight="1">
      <c r="B13" s="32" t="str">
        <f>'Data Entry'!A13</f>
        <v>8. Cases Resulting in Probation Placement</v>
      </c>
      <c r="C13" s="33">
        <f>'Data Entry'!C13</f>
        <v>106</v>
      </c>
      <c r="D13" s="34">
        <f>IF(((AND(C70&gt;0,C13&gt;0))),(C13/(C70)),0)</f>
        <v>97.247706422018339</v>
      </c>
      <c r="E13" s="33">
        <f>'Data Entry'!D13</f>
        <v>218</v>
      </c>
      <c r="F13" s="34">
        <f>IF(((AND($D$70&gt;0,$E$13&gt;0))),($E$13/($D$70)),0)</f>
        <v>90.833333333333343</v>
      </c>
      <c r="G13" s="39">
        <f t="shared" si="7"/>
        <v>0.93404088050314482</v>
      </c>
      <c r="H13" s="40"/>
      <c r="I13" s="41"/>
      <c r="J13" s="40">
        <f>IF((ABS($U13)&gt;Defaults!D$7),1,2)</f>
        <v>1</v>
      </c>
      <c r="K13" s="39">
        <f>IF((AND(N13&gt;Defaults!B$12,(N13+O13)&gt;Defaults!B$13, P13 &gt; Defaults!B$12, (P13+Q13) &gt; Defaults!B$13)),1,20)</f>
        <v>1</v>
      </c>
      <c r="L13" s="1">
        <f t="shared" si="8"/>
        <v>1</v>
      </c>
      <c r="M13" s="1" t="b">
        <f t="shared" si="0"/>
        <v>1</v>
      </c>
      <c r="N13" s="42">
        <f t="shared" si="1"/>
        <v>218</v>
      </c>
      <c r="O13" s="42">
        <f>(D70*L70)-E13</f>
        <v>22</v>
      </c>
      <c r="P13" s="42">
        <f t="shared" si="2"/>
        <v>106</v>
      </c>
      <c r="Q13" s="42">
        <f>(C70*L70)-C13</f>
        <v>3.0000000000000142</v>
      </c>
      <c r="R13" s="42">
        <f t="shared" si="3"/>
        <v>349</v>
      </c>
      <c r="S13" s="30">
        <f t="shared" si="4"/>
        <v>982673715.9999963</v>
      </c>
      <c r="T13" s="30">
        <f t="shared" si="5"/>
        <v>211896000.00000018</v>
      </c>
      <c r="U13" s="31">
        <f t="shared" si="6"/>
        <v>4.6375283912862697</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240</v>
      </c>
      <c r="P14" s="42">
        <f t="shared" si="2"/>
        <v>0</v>
      </c>
      <c r="Q14" s="42">
        <f>(C70*L70)-C14</f>
        <v>109.00000000000001</v>
      </c>
      <c r="R14" s="42">
        <f t="shared" si="3"/>
        <v>349</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6</v>
      </c>
      <c r="F15" s="34">
        <f>IF(((AND($D$69&gt;0,$E$15&gt;0))),(($E$15/($D$69))),0)</f>
        <v>2.2058823529411762</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6</v>
      </c>
      <c r="O15" s="42">
        <f>(D69*L69)-E15</f>
        <v>266</v>
      </c>
      <c r="P15" s="42">
        <f t="shared" si="2"/>
        <v>0</v>
      </c>
      <c r="Q15" s="42">
        <f>(C69*L69)-C15</f>
        <v>113.99999999999999</v>
      </c>
      <c r="R15" s="42">
        <f t="shared" si="3"/>
        <v>386</v>
      </c>
      <c r="S15" s="30">
        <f t="shared" si="4"/>
        <v>180592415.99999994</v>
      </c>
      <c r="T15" s="30">
        <f t="shared" si="5"/>
        <v>70698239.999999985</v>
      </c>
      <c r="U15" s="31">
        <f t="shared" si="6"/>
        <v>2.5544117647058822</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10.914</v>
      </c>
      <c r="D42" s="56">
        <f>E6/1000</f>
        <v>4.4619999999999997</v>
      </c>
      <c r="E42" s="56">
        <f>MAX(C42:D42)</f>
        <v>10.914</v>
      </c>
      <c r="G42" s="1" t="str">
        <f>B42</f>
        <v>per 1000 youth</v>
      </c>
      <c r="L42" s="57">
        <v>1000</v>
      </c>
      <c r="M42" s="57"/>
      <c r="R42" s="49"/>
    </row>
    <row r="43" spans="2:18" ht="15" hidden="1" customHeight="1">
      <c r="B43" s="49" t="s">
        <v>87</v>
      </c>
      <c r="C43" s="56">
        <f>C7/100</f>
        <v>0.73</v>
      </c>
      <c r="D43" s="56">
        <f>E7/100</f>
        <v>1.74</v>
      </c>
      <c r="E43" s="56">
        <f>MAX(C43:D43,0)</f>
        <v>1.74</v>
      </c>
      <c r="G43" s="1" t="str">
        <f>B43</f>
        <v>per 100 arrests</v>
      </c>
      <c r="L43" s="57">
        <v>100</v>
      </c>
      <c r="M43" s="57"/>
      <c r="R43" s="49"/>
    </row>
    <row r="44" spans="2:18" ht="15" hidden="1" customHeight="1">
      <c r="B44" s="49" t="s">
        <v>88</v>
      </c>
      <c r="C44" s="56">
        <f>C8/100</f>
        <v>1.24</v>
      </c>
      <c r="D44" s="56">
        <f>E8/100</f>
        <v>2.76</v>
      </c>
      <c r="E44" s="56">
        <f>MAX(C44:D44,0)</f>
        <v>2.76</v>
      </c>
      <c r="G44" s="1" t="str">
        <f>B44</f>
        <v>per 100 referrals</v>
      </c>
      <c r="L44" s="57">
        <v>100</v>
      </c>
      <c r="M44" s="57"/>
      <c r="R44" s="49"/>
    </row>
    <row r="45" spans="2:18" ht="15" hidden="1" customHeight="1">
      <c r="B45" s="49" t="s">
        <v>89</v>
      </c>
      <c r="C45" s="49">
        <f>C11/100</f>
        <v>1.1399999999999999</v>
      </c>
      <c r="D45" s="49">
        <f>E11/100</f>
        <v>2.72</v>
      </c>
      <c r="E45" s="56">
        <f>MAX(C45:D45,0)</f>
        <v>2.72</v>
      </c>
      <c r="G45" s="1" t="str">
        <f>B45</f>
        <v>per 100 youth petitioned</v>
      </c>
      <c r="L45" s="57">
        <v>100</v>
      </c>
      <c r="M45" s="57"/>
      <c r="R45" s="49"/>
    </row>
    <row r="46" spans="2:18" ht="15" hidden="1" customHeight="1">
      <c r="B46" s="49" t="s">
        <v>90</v>
      </c>
      <c r="C46" s="49">
        <f>C12/100</f>
        <v>1.0900000000000001</v>
      </c>
      <c r="D46" s="49">
        <f>E12/100</f>
        <v>2.4</v>
      </c>
      <c r="E46" s="56">
        <f>MAX(C46:D46)</f>
        <v>2.4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10.914</v>
      </c>
      <c r="D48" s="56">
        <f>D42</f>
        <v>4.4619999999999997</v>
      </c>
      <c r="E48" s="56">
        <f>MAX(C48:D48)</f>
        <v>10.914</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0.73</v>
      </c>
      <c r="D49" s="49">
        <f t="shared" si="9"/>
        <v>1.74</v>
      </c>
      <c r="E49" s="49">
        <f>MAX(C49:D49)</f>
        <v>1.74</v>
      </c>
      <c r="G49" s="1" t="str">
        <f>G43</f>
        <v>per 100 arrests</v>
      </c>
      <c r="L49" s="58">
        <f>IF(($E43&gt;0),L43,L42)</f>
        <v>100</v>
      </c>
      <c r="M49" s="58"/>
      <c r="N49" s="21"/>
      <c r="O49" s="21"/>
      <c r="P49" s="21"/>
      <c r="Q49" s="21"/>
      <c r="R49" s="21"/>
    </row>
    <row r="50" spans="2:18" ht="15" hidden="1" customHeight="1">
      <c r="B50" s="49" t="str">
        <f t="shared" si="9"/>
        <v>per 100 referrals</v>
      </c>
      <c r="C50" s="49">
        <f t="shared" si="9"/>
        <v>1.24</v>
      </c>
      <c r="D50" s="49">
        <f t="shared" si="9"/>
        <v>2.76</v>
      </c>
      <c r="E50" s="49">
        <f>MAX(C50:D50)</f>
        <v>2.76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1.1399999999999999</v>
      </c>
      <c r="D51" s="49">
        <f>IF(($E45&gt;0),D45,D44)</f>
        <v>2.72</v>
      </c>
      <c r="E51" s="49">
        <f>MAX(C51:D51)</f>
        <v>2.72</v>
      </c>
      <c r="G51" s="1" t="str">
        <f>G45</f>
        <v>per 100 youth petitioned</v>
      </c>
      <c r="L51" s="58">
        <f>IF(($E45&gt;0),L45,L44)</f>
        <v>100</v>
      </c>
      <c r="M51" s="58"/>
    </row>
    <row r="52" spans="2:18" ht="15" hidden="1" customHeight="1">
      <c r="B52" s="49" t="str">
        <f>IF(($E46&gt;0),B46,B45)</f>
        <v>per 100 youth found delinquent</v>
      </c>
      <c r="C52" s="49">
        <f>IF(($E46&gt;0),C46,C45)</f>
        <v>1.0900000000000001</v>
      </c>
      <c r="D52" s="49">
        <f>IF(($E46&gt;0),D46,D45)</f>
        <v>2.4</v>
      </c>
      <c r="E52" s="56">
        <f>MAX(C52:D52)</f>
        <v>2.4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10.914</v>
      </c>
      <c r="D54" s="56">
        <f>D48</f>
        <v>4.4619999999999997</v>
      </c>
      <c r="E54" s="56">
        <f>MAX(C54:D54)</f>
        <v>10.914</v>
      </c>
      <c r="G54" s="1" t="str">
        <f>G48</f>
        <v>per 1000 youth</v>
      </c>
      <c r="L54" s="58">
        <f>L48</f>
        <v>1000</v>
      </c>
      <c r="M54" s="58"/>
    </row>
    <row r="55" spans="2:18" ht="15" hidden="1" customHeight="1">
      <c r="B55" s="49" t="str">
        <f t="shared" ref="B55:D56" si="10">IF(($E49&gt;0),B49,B48)</f>
        <v>per 100 arrests</v>
      </c>
      <c r="C55" s="49">
        <f t="shared" si="10"/>
        <v>0.73</v>
      </c>
      <c r="D55" s="49">
        <f t="shared" si="10"/>
        <v>1.74</v>
      </c>
      <c r="E55" s="49">
        <f>MAX(C55:D55)</f>
        <v>1.74</v>
      </c>
      <c r="G55" s="1" t="str">
        <f>G49</f>
        <v>per 100 arrests</v>
      </c>
      <c r="L55" s="58">
        <f>IF(($E49&gt;0),L49,L48)</f>
        <v>100</v>
      </c>
      <c r="M55" s="58"/>
    </row>
    <row r="56" spans="2:18" ht="15" hidden="1" customHeight="1">
      <c r="B56" s="49" t="str">
        <f t="shared" si="10"/>
        <v>per 100 referrals</v>
      </c>
      <c r="C56" s="49">
        <f t="shared" si="10"/>
        <v>1.24</v>
      </c>
      <c r="D56" s="49">
        <f t="shared" si="10"/>
        <v>2.76</v>
      </c>
      <c r="E56" s="49">
        <f>MAX(C56:D56)</f>
        <v>2.76</v>
      </c>
      <c r="G56" s="1" t="str">
        <f>G50</f>
        <v>per 100 referrals</v>
      </c>
      <c r="L56" s="58">
        <f>IF(($E50&gt;0),L50,L49)</f>
        <v>100</v>
      </c>
      <c r="M56" s="58"/>
    </row>
    <row r="57" spans="2:18" ht="15" hidden="1" customHeight="1">
      <c r="B57" s="49" t="str">
        <f>IF(($E51&gt;0),B51,B49)</f>
        <v>per 100 youth petitioned</v>
      </c>
      <c r="C57" s="49">
        <f>IF(($E51&gt;0),C51,C50)</f>
        <v>1.1399999999999999</v>
      </c>
      <c r="D57" s="49">
        <f>IF(($E51&gt;0),D51,D50)</f>
        <v>2.72</v>
      </c>
      <c r="E57" s="49">
        <f>MAX(C57:D57)</f>
        <v>2.72</v>
      </c>
      <c r="G57" s="1" t="str">
        <f>G51</f>
        <v>per 100 youth petitioned</v>
      </c>
      <c r="L57" s="58">
        <f>IF(($E51&gt;0),L51,L50)</f>
        <v>100</v>
      </c>
      <c r="M57" s="58"/>
    </row>
    <row r="58" spans="2:18" ht="15" hidden="1" customHeight="1">
      <c r="B58" s="49" t="str">
        <f>IF(($E52&gt;0),B52,B51)</f>
        <v>per 100 youth found delinquent</v>
      </c>
      <c r="C58" s="49">
        <f>IF(($E52&gt;0),C52,C51)</f>
        <v>1.0900000000000001</v>
      </c>
      <c r="D58" s="49">
        <f>IF(($E52&gt;0),D52,D51)</f>
        <v>2.4</v>
      </c>
      <c r="E58" s="56">
        <f>MAX(C58:D58)</f>
        <v>2.4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10.914</v>
      </c>
      <c r="D60" s="56">
        <f>D54</f>
        <v>4.4619999999999997</v>
      </c>
      <c r="E60" s="56">
        <f>MAX(C60:D60)</f>
        <v>10.914</v>
      </c>
      <c r="G60" s="1" t="str">
        <f>G54</f>
        <v>per 1000 youth</v>
      </c>
      <c r="L60" s="58">
        <f>L54</f>
        <v>1000</v>
      </c>
      <c r="M60" s="58"/>
    </row>
    <row r="61" spans="2:18" ht="15" hidden="1" customHeight="1">
      <c r="B61" s="49" t="str">
        <f t="shared" ref="B61:D62" si="11">IF(($E55&gt;0),B55,B54)</f>
        <v>per 100 arrests</v>
      </c>
      <c r="C61" s="49">
        <f t="shared" si="11"/>
        <v>0.73</v>
      </c>
      <c r="D61" s="49">
        <f t="shared" si="11"/>
        <v>1.74</v>
      </c>
      <c r="E61" s="49">
        <f>MAX(C61:D61)</f>
        <v>1.74</v>
      </c>
      <c r="G61" s="1" t="str">
        <f>G55</f>
        <v>per 100 arrests</v>
      </c>
      <c r="L61" s="58">
        <f>IF(($E55&gt;0),L55,L54)</f>
        <v>100</v>
      </c>
      <c r="M61" s="58"/>
    </row>
    <row r="62" spans="2:18" ht="15" hidden="1" customHeight="1">
      <c r="B62" s="49" t="str">
        <f t="shared" si="11"/>
        <v>per 100 referrals</v>
      </c>
      <c r="C62" s="49">
        <f t="shared" si="11"/>
        <v>1.24</v>
      </c>
      <c r="D62" s="49">
        <f t="shared" si="11"/>
        <v>2.76</v>
      </c>
      <c r="E62" s="49">
        <f>MAX(C62:D62)</f>
        <v>2.76</v>
      </c>
      <c r="G62" s="1" t="str">
        <f>G56</f>
        <v>per 100 referrals</v>
      </c>
      <c r="L62" s="58">
        <f>IF(($E56&gt;0),L56,L55)</f>
        <v>100</v>
      </c>
      <c r="M62" s="58"/>
    </row>
    <row r="63" spans="2:18" ht="15" hidden="1" customHeight="1">
      <c r="B63" s="49" t="str">
        <f>IF(($E57&gt;0),B57,B55)</f>
        <v>per 100 youth petitioned</v>
      </c>
      <c r="C63" s="49">
        <f>IF(($E57&gt;0),C57,C56)</f>
        <v>1.1399999999999999</v>
      </c>
      <c r="D63" s="49">
        <f>IF(($E57&gt;0),D57,D56)</f>
        <v>2.72</v>
      </c>
      <c r="E63" s="49">
        <f>MAX(C63:D63)</f>
        <v>2.72</v>
      </c>
      <c r="G63" s="1" t="str">
        <f>G57</f>
        <v>per 100 youth petitioned</v>
      </c>
      <c r="L63" s="58">
        <f>IF(($E57&gt;0),L57,L56)</f>
        <v>100</v>
      </c>
      <c r="M63" s="58"/>
    </row>
    <row r="64" spans="2:18" ht="15" hidden="1" customHeight="1">
      <c r="B64" s="49" t="str">
        <f>IF(($E58&gt;0),B58,B57)</f>
        <v>per 100 youth found delinquent</v>
      </c>
      <c r="C64" s="49">
        <f>IF(($E58&gt;0),C58,C57)</f>
        <v>1.0900000000000001</v>
      </c>
      <c r="D64" s="49">
        <f>IF(($E58&gt;0),D58,D57)</f>
        <v>2.4</v>
      </c>
      <c r="E64" s="56">
        <f>MAX(C64:D64)</f>
        <v>2.4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10.914</v>
      </c>
      <c r="D66" s="56">
        <f>D60</f>
        <v>4.4619999999999997</v>
      </c>
      <c r="E66" s="56">
        <f>MAX(C66:D66)</f>
        <v>10.914</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1.74</v>
      </c>
      <c r="E67" s="49">
        <f>MAX(C67:D67)</f>
        <v>1.74</v>
      </c>
      <c r="G67" s="1" t="str">
        <f>G61</f>
        <v>per 100 arrests</v>
      </c>
      <c r="L67" s="58">
        <f>IF(($E61&gt;0),L61,L60)</f>
        <v>100</v>
      </c>
      <c r="M67" s="58">
        <f>IF((B67=G67),1,2)</f>
        <v>1</v>
      </c>
    </row>
    <row r="68" spans="2:13" ht="15" hidden="1" customHeight="1">
      <c r="B68" s="49" t="str">
        <f t="shared" si="12"/>
        <v>per 100 referrals</v>
      </c>
      <c r="C68" s="49">
        <f t="shared" si="12"/>
        <v>1.24</v>
      </c>
      <c r="D68" s="49">
        <f t="shared" si="12"/>
        <v>2.76</v>
      </c>
      <c r="E68" s="49">
        <f>MAX(C68:D68)</f>
        <v>2.76</v>
      </c>
      <c r="G68" s="1" t="str">
        <f>G62</f>
        <v>per 100 referrals</v>
      </c>
      <c r="L68" s="58">
        <f>IF(($E62&gt;0),L62,L61)</f>
        <v>100</v>
      </c>
      <c r="M68" s="58">
        <f>IF((B68=G68),1,2)</f>
        <v>1</v>
      </c>
    </row>
    <row r="69" spans="2:13" ht="15" hidden="1" customHeight="1">
      <c r="B69" s="49" t="str">
        <f>IF(($E63&gt;0),B63,B61)</f>
        <v>per 100 youth petitioned</v>
      </c>
      <c r="C69" s="49">
        <f>IF(($E63&gt;0),C63,C62)</f>
        <v>1.1399999999999999</v>
      </c>
      <c r="D69" s="49">
        <f>IF(($E63&gt;0),D63,D62)</f>
        <v>2.72</v>
      </c>
      <c r="E69" s="49">
        <f>MAX(C69:D69)</f>
        <v>2.72</v>
      </c>
      <c r="G69" s="1" t="str">
        <f>G63</f>
        <v>per 100 youth petitioned</v>
      </c>
      <c r="L69" s="58">
        <f>IF(($E63&gt;0),L63,L62)</f>
        <v>100</v>
      </c>
      <c r="M69" s="58">
        <f>IF((B69=G69),1,2)</f>
        <v>1</v>
      </c>
    </row>
    <row r="70" spans="2:13" ht="15" hidden="1" customHeight="1">
      <c r="B70" s="49" t="str">
        <f>IF(($E64&gt;0),B64,B63)</f>
        <v>per 100 youth found delinquent</v>
      </c>
      <c r="C70" s="49">
        <f>IF(($E64&gt;0),C64,C63)</f>
        <v>1.0900000000000001</v>
      </c>
      <c r="D70" s="49">
        <f>IF(($E64&gt;0),D64,D63)</f>
        <v>2.4</v>
      </c>
      <c r="E70" s="56">
        <f>MAX(C70:D70)</f>
        <v>2.4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10914</v>
      </c>
      <c r="D6" s="34"/>
      <c r="E6" s="33">
        <f>'Data Entry'!F6</f>
        <v>277</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6.6886567711196632</v>
      </c>
      <c r="E7" s="33">
        <f>'Data Entry'!F7</f>
        <v>1</v>
      </c>
      <c r="F7" s="34">
        <f>IF((AND($E$7&gt;0,$D$66&gt;0)),($E$7/$D$66),0)</f>
        <v>3.6101083032490973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276</v>
      </c>
      <c r="P7" s="42">
        <f t="shared" ref="P7:P15" si="4">C7</f>
        <v>73</v>
      </c>
      <c r="Q7" s="42">
        <f>C6-C7</f>
        <v>10841</v>
      </c>
      <c r="R7" s="42">
        <f t="shared" ref="R7:R15" si="5">SUM(N7:Q7)</f>
        <v>11191</v>
      </c>
      <c r="S7" s="30">
        <f t="shared" ref="S7:S15" si="6">R7*((((N7*Q7)-(O7*P7))^2))</f>
        <v>969367206559</v>
      </c>
      <c r="T7" s="30">
        <f t="shared" ref="T7:T15" si="7">(N7+O7)*(P7+Q7)*(N7+P7)*(O7+Q7)</f>
        <v>2487041567124</v>
      </c>
      <c r="U7" s="31">
        <f t="shared" ref="U7:U15" si="8">IF((S7&gt;0),S7/T7,"- -")</f>
        <v>0.38976719141850552</v>
      </c>
    </row>
    <row r="8" spans="2:21" ht="18" customHeight="1">
      <c r="B8" s="32" t="str">
        <f>'Data Entry'!A8</f>
        <v>3. Refer to Juvenile Court</v>
      </c>
      <c r="C8" s="33">
        <f>'Data Entry'!C8</f>
        <v>124</v>
      </c>
      <c r="D8" s="34">
        <f>IF((AND(C67&gt;0,C8&gt;0)),(C8/C67),0)</f>
        <v>169.86301369863014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124</v>
      </c>
      <c r="Q8" s="42">
        <f>(C$67*L67)-C8</f>
        <v>-51</v>
      </c>
      <c r="R8" s="42">
        <f t="shared" si="5"/>
        <v>74.05</v>
      </c>
      <c r="S8" s="30">
        <f t="shared" si="6"/>
        <v>1255298.5620000004</v>
      </c>
      <c r="T8" s="30">
        <f t="shared" si="7"/>
        <v>-474754.77</v>
      </c>
      <c r="U8" s="31">
        <f t="shared" si="8"/>
        <v>-2.6440988934139624</v>
      </c>
    </row>
    <row r="9" spans="2:21" ht="18" customHeight="1">
      <c r="B9" s="32" t="str">
        <f>'Data Entry'!A9</f>
        <v xml:space="preserve">4. Cases Diverted </v>
      </c>
      <c r="C9" s="33">
        <f>'Data Entry'!C9</f>
        <v>5</v>
      </c>
      <c r="D9" s="34">
        <f>IF((AND(C68&gt;0,C9&gt;0)),((C9/C68)),0)</f>
        <v>4.032258064516129</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119</v>
      </c>
      <c r="R9" s="42">
        <f t="shared" si="5"/>
        <v>124</v>
      </c>
      <c r="S9" s="30">
        <f t="shared" si="6"/>
        <v>0</v>
      </c>
      <c r="T9" s="30">
        <f t="shared" si="7"/>
        <v>0</v>
      </c>
      <c r="U9" s="31" t="str">
        <f t="shared" si="8"/>
        <v>- -</v>
      </c>
    </row>
    <row r="10" spans="2:21" ht="18" customHeight="1">
      <c r="B10" s="32" t="str">
        <f>'Data Entry'!A10</f>
        <v>5. Cases Involving Secure Detention</v>
      </c>
      <c r="C10" s="33">
        <f>'Data Entry'!C10</f>
        <v>80</v>
      </c>
      <c r="D10" s="34">
        <f>IF(((AND(C68&gt;0,C10&gt;0))),(C10/(C68)),0)</f>
        <v>64.516129032258064</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80</v>
      </c>
      <c r="Q10" s="42">
        <f>(C$68*L68)-C10</f>
        <v>44</v>
      </c>
      <c r="R10" s="42">
        <f t="shared" si="5"/>
        <v>124</v>
      </c>
      <c r="S10" s="30">
        <f t="shared" si="6"/>
        <v>0</v>
      </c>
      <c r="T10" s="30">
        <f t="shared" si="7"/>
        <v>0</v>
      </c>
      <c r="U10" s="31" t="str">
        <f t="shared" si="8"/>
        <v>- -</v>
      </c>
    </row>
    <row r="11" spans="2:21" ht="18" customHeight="1">
      <c r="B11" s="32" t="str">
        <f>'Data Entry'!A11</f>
        <v>6. Cases Petitioned (Charge Filed)</v>
      </c>
      <c r="C11" s="33">
        <f>'Data Entry'!C11</f>
        <v>114</v>
      </c>
      <c r="D11" s="34">
        <f>IF(((AND(C68&gt;0,C11&gt;0))),(C11/(C68)),0)</f>
        <v>91.935483870967744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114</v>
      </c>
      <c r="Q11" s="42">
        <f>(C$68*L68)-C11</f>
        <v>10</v>
      </c>
      <c r="R11" s="42">
        <f t="shared" si="5"/>
        <v>124</v>
      </c>
      <c r="S11" s="30">
        <f t="shared" si="6"/>
        <v>0</v>
      </c>
      <c r="T11" s="30">
        <f t="shared" si="7"/>
        <v>0</v>
      </c>
      <c r="U11" s="31" t="str">
        <f t="shared" si="8"/>
        <v>- -</v>
      </c>
    </row>
    <row r="12" spans="2:21" ht="18" customHeight="1">
      <c r="B12" s="32" t="str">
        <f>'Data Entry'!A12</f>
        <v>7. Cases Resulting in Delinquent Findings</v>
      </c>
      <c r="C12" s="33">
        <f>'Data Entry'!C12</f>
        <v>109</v>
      </c>
      <c r="D12" s="34">
        <f>IF(((AND(C69&gt;0,C12&gt;0))),(C12/(C69)),0)</f>
        <v>95.614035087719301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109</v>
      </c>
      <c r="Q12" s="42">
        <f>(C69*L69)-C12</f>
        <v>4.9999999999999858</v>
      </c>
      <c r="R12" s="42">
        <f t="shared" si="5"/>
        <v>113.99999999999999</v>
      </c>
      <c r="S12" s="30">
        <f t="shared" si="6"/>
        <v>0</v>
      </c>
      <c r="T12" s="30">
        <f t="shared" si="7"/>
        <v>0</v>
      </c>
      <c r="U12" s="31" t="str">
        <f t="shared" si="8"/>
        <v>- -</v>
      </c>
    </row>
    <row r="13" spans="2:21" ht="18" customHeight="1">
      <c r="B13" s="32" t="str">
        <f>'Data Entry'!A13</f>
        <v>8. Cases Resulting in Probation Placement</v>
      </c>
      <c r="C13" s="33">
        <f>'Data Entry'!C13</f>
        <v>106</v>
      </c>
      <c r="D13" s="34">
        <f>IF(((AND(C70&gt;0,C13&gt;0))),(C13/(C70)),0)</f>
        <v>97.247706422018339</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106</v>
      </c>
      <c r="Q13" s="42">
        <f>(C70*L70)-C13</f>
        <v>3.0000000000000142</v>
      </c>
      <c r="R13" s="42">
        <f t="shared" si="5"/>
        <v>109.00000000000001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109.00000000000001</v>
      </c>
      <c r="R14" s="42">
        <f t="shared" si="5"/>
        <v>109.00000000000001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113.99999999999999</v>
      </c>
      <c r="R15" s="42">
        <f t="shared" si="5"/>
        <v>113.99999999999999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10.914</v>
      </c>
      <c r="D42" s="56">
        <f>E6/1000</f>
        <v>0.27700000000000002</v>
      </c>
      <c r="E42" s="56">
        <f>MAX(C42:D42)</f>
        <v>10.914</v>
      </c>
      <c r="G42" s="1" t="str">
        <f>B42</f>
        <v>per 1000 youth</v>
      </c>
      <c r="L42" s="57">
        <v>1000</v>
      </c>
      <c r="M42" s="57"/>
      <c r="R42" s="49"/>
    </row>
    <row r="43" spans="2:18" ht="15" hidden="1" customHeight="1">
      <c r="B43" s="49" t="s">
        <v>87</v>
      </c>
      <c r="C43" s="56">
        <f>C7/100</f>
        <v>0.73</v>
      </c>
      <c r="D43" s="56">
        <f>E7/100</f>
        <v>0.01</v>
      </c>
      <c r="E43" s="56">
        <f>MAX(C43:D43,0)</f>
        <v>0.73</v>
      </c>
      <c r="G43" s="1" t="str">
        <f>B43</f>
        <v>per 100 arrests</v>
      </c>
      <c r="L43" s="57">
        <v>100</v>
      </c>
      <c r="M43" s="57"/>
      <c r="R43" s="49"/>
    </row>
    <row r="44" spans="2:18" ht="15" hidden="1" customHeight="1">
      <c r="B44" s="49" t="s">
        <v>88</v>
      </c>
      <c r="C44" s="56">
        <f>C8/100</f>
        <v>1.24</v>
      </c>
      <c r="D44" s="56">
        <f>E8/100</f>
        <v>0</v>
      </c>
      <c r="E44" s="56">
        <f>MAX(C44:D44,0)</f>
        <v>1.24</v>
      </c>
      <c r="G44" s="1" t="str">
        <f>B44</f>
        <v>per 100 referrals</v>
      </c>
      <c r="L44" s="57">
        <v>100</v>
      </c>
      <c r="M44" s="57"/>
      <c r="R44" s="49"/>
    </row>
    <row r="45" spans="2:18" ht="15" hidden="1" customHeight="1">
      <c r="B45" s="49" t="s">
        <v>89</v>
      </c>
      <c r="C45" s="49">
        <f>C11/100</f>
        <v>1.1399999999999999</v>
      </c>
      <c r="D45" s="49">
        <f>E11/100</f>
        <v>0</v>
      </c>
      <c r="E45" s="56">
        <f>MAX(C45:D45,0)</f>
        <v>1.1399999999999999</v>
      </c>
      <c r="G45" s="1" t="str">
        <f>B45</f>
        <v>per 100 youth petitioned</v>
      </c>
      <c r="L45" s="57">
        <v>100</v>
      </c>
      <c r="M45" s="57"/>
      <c r="R45" s="49"/>
    </row>
    <row r="46" spans="2:18" ht="15" hidden="1" customHeight="1">
      <c r="B46" s="49" t="s">
        <v>90</v>
      </c>
      <c r="C46" s="49">
        <f>C12/100</f>
        <v>1.0900000000000001</v>
      </c>
      <c r="D46" s="49">
        <f>E12/100</f>
        <v>0</v>
      </c>
      <c r="E46" s="56">
        <f>MAX(C46:D46)</f>
        <v>1.0900000000000001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10.914</v>
      </c>
      <c r="D48" s="56">
        <f>D42</f>
        <v>0.27700000000000002</v>
      </c>
      <c r="E48" s="56">
        <f>MAX(C48:D48)</f>
        <v>10.914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0.01</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1.24</v>
      </c>
      <c r="D50" s="49">
        <f t="shared" si="9"/>
        <v>0</v>
      </c>
      <c r="E50" s="49">
        <f>MAX(C50:D50)</f>
        <v>1.24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1.1399999999999999</v>
      </c>
      <c r="D51" s="49">
        <f>IF(($E45&gt;0),D45,D44)</f>
        <v>0</v>
      </c>
      <c r="E51" s="49">
        <f>MAX(C51:D51)</f>
        <v>1.1399999999999999</v>
      </c>
      <c r="G51" s="1" t="str">
        <f>G45</f>
        <v>per 100 youth petitioned</v>
      </c>
      <c r="L51" s="58">
        <f>IF(($E45&gt;0),L45,L44)</f>
        <v>100</v>
      </c>
      <c r="M51" s="58"/>
    </row>
    <row r="52" spans="2:18" ht="15" hidden="1" customHeight="1">
      <c r="B52" s="49" t="str">
        <f>IF(($E46&gt;0),B46,B45)</f>
        <v>per 100 youth found delinquent</v>
      </c>
      <c r="C52" s="49">
        <f>IF(($E46&gt;0),C46,C45)</f>
        <v>1.0900000000000001</v>
      </c>
      <c r="D52" s="49">
        <f>IF(($E46&gt;0),D46,D45)</f>
        <v>0</v>
      </c>
      <c r="E52" s="56">
        <f>MAX(C52:D52)</f>
        <v>1.0900000000000001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10.914</v>
      </c>
      <c r="D54" s="56">
        <f>D48</f>
        <v>0.27700000000000002</v>
      </c>
      <c r="E54" s="56">
        <f>MAX(C54:D54)</f>
        <v>10.914</v>
      </c>
      <c r="G54" s="1" t="str">
        <f>G48</f>
        <v>per 1000 youth</v>
      </c>
      <c r="L54" s="58">
        <f>L48</f>
        <v>1000</v>
      </c>
      <c r="M54" s="58"/>
    </row>
    <row r="55" spans="2:18" ht="15" hidden="1" customHeight="1">
      <c r="B55" s="49" t="str">
        <f t="shared" ref="B55:D56" si="10">IF(($E49&gt;0),B49,B48)</f>
        <v>per 100 arrests</v>
      </c>
      <c r="C55" s="49">
        <f t="shared" si="10"/>
        <v>0.73</v>
      </c>
      <c r="D55" s="49">
        <f t="shared" si="10"/>
        <v>0.01</v>
      </c>
      <c r="E55" s="49">
        <f>MAX(C55:D55)</f>
        <v>0.73</v>
      </c>
      <c r="G55" s="1" t="str">
        <f>G49</f>
        <v>per 100 arrests</v>
      </c>
      <c r="L55" s="58">
        <f>IF(($E49&gt;0),L49,L48)</f>
        <v>100</v>
      </c>
      <c r="M55" s="58"/>
    </row>
    <row r="56" spans="2:18" ht="15" hidden="1" customHeight="1">
      <c r="B56" s="49" t="str">
        <f t="shared" si="10"/>
        <v>per 100 referrals</v>
      </c>
      <c r="C56" s="49">
        <f t="shared" si="10"/>
        <v>1.24</v>
      </c>
      <c r="D56" s="49">
        <f t="shared" si="10"/>
        <v>0</v>
      </c>
      <c r="E56" s="49">
        <f>MAX(C56:D56)</f>
        <v>1.24</v>
      </c>
      <c r="G56" s="1" t="str">
        <f>G50</f>
        <v>per 100 referrals</v>
      </c>
      <c r="L56" s="58">
        <f>IF(($E50&gt;0),L50,L49)</f>
        <v>100</v>
      </c>
      <c r="M56" s="58"/>
    </row>
    <row r="57" spans="2:18" ht="15" hidden="1" customHeight="1">
      <c r="B57" s="49" t="str">
        <f>IF(($E51&gt;0),B51,B49)</f>
        <v>per 100 youth petitioned</v>
      </c>
      <c r="C57" s="49">
        <f>IF(($E51&gt;0),C51,C50)</f>
        <v>1.1399999999999999</v>
      </c>
      <c r="D57" s="49">
        <f>IF(($E51&gt;0),D51,D50)</f>
        <v>0</v>
      </c>
      <c r="E57" s="49">
        <f>MAX(C57:D57)</f>
        <v>1.1399999999999999</v>
      </c>
      <c r="G57" s="1" t="str">
        <f>G51</f>
        <v>per 100 youth petitioned</v>
      </c>
      <c r="L57" s="58">
        <f>IF(($E51&gt;0),L51,L50)</f>
        <v>100</v>
      </c>
      <c r="M57" s="58"/>
    </row>
    <row r="58" spans="2:18" ht="15" hidden="1" customHeight="1">
      <c r="B58" s="49" t="str">
        <f>IF(($E52&gt;0),B52,B51)</f>
        <v>per 100 youth found delinquent</v>
      </c>
      <c r="C58" s="49">
        <f>IF(($E52&gt;0),C52,C51)</f>
        <v>1.0900000000000001</v>
      </c>
      <c r="D58" s="49">
        <f>IF(($E52&gt;0),D52,D51)</f>
        <v>0</v>
      </c>
      <c r="E58" s="56">
        <f>MAX(C58:D58)</f>
        <v>1.0900000000000001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10.914</v>
      </c>
      <c r="D60" s="56">
        <f>D54</f>
        <v>0.27700000000000002</v>
      </c>
      <c r="E60" s="56">
        <f>MAX(C60:D60)</f>
        <v>10.914</v>
      </c>
      <c r="G60" s="1" t="str">
        <f>G54</f>
        <v>per 1000 youth</v>
      </c>
      <c r="L60" s="58">
        <f>L54</f>
        <v>1000</v>
      </c>
      <c r="M60" s="58"/>
    </row>
    <row r="61" spans="2:18" ht="15" hidden="1" customHeight="1">
      <c r="B61" s="49" t="str">
        <f t="shared" ref="B61:D62" si="11">IF(($E55&gt;0),B55,B54)</f>
        <v>per 100 arrests</v>
      </c>
      <c r="C61" s="49">
        <f t="shared" si="11"/>
        <v>0.73</v>
      </c>
      <c r="D61" s="49">
        <f t="shared" si="11"/>
        <v>0.01</v>
      </c>
      <c r="E61" s="49">
        <f>MAX(C61:D61)</f>
        <v>0.73</v>
      </c>
      <c r="G61" s="1" t="str">
        <f>G55</f>
        <v>per 100 arrests</v>
      </c>
      <c r="L61" s="58">
        <f>IF(($E55&gt;0),L55,L54)</f>
        <v>100</v>
      </c>
      <c r="M61" s="58"/>
    </row>
    <row r="62" spans="2:18" ht="15" hidden="1" customHeight="1">
      <c r="B62" s="49" t="str">
        <f t="shared" si="11"/>
        <v>per 100 referrals</v>
      </c>
      <c r="C62" s="49">
        <f t="shared" si="11"/>
        <v>1.24</v>
      </c>
      <c r="D62" s="49">
        <f t="shared" si="11"/>
        <v>0</v>
      </c>
      <c r="E62" s="49">
        <f>MAX(C62:D62)</f>
        <v>1.24</v>
      </c>
      <c r="G62" s="1" t="str">
        <f>G56</f>
        <v>per 100 referrals</v>
      </c>
      <c r="L62" s="58">
        <f>IF(($E56&gt;0),L56,L55)</f>
        <v>100</v>
      </c>
      <c r="M62" s="58"/>
    </row>
    <row r="63" spans="2:18" ht="15" hidden="1" customHeight="1">
      <c r="B63" s="49" t="str">
        <f>IF(($E57&gt;0),B57,B55)</f>
        <v>per 100 youth petitioned</v>
      </c>
      <c r="C63" s="49">
        <f>IF(($E57&gt;0),C57,C56)</f>
        <v>1.1399999999999999</v>
      </c>
      <c r="D63" s="49">
        <f>IF(($E57&gt;0),D57,D56)</f>
        <v>0</v>
      </c>
      <c r="E63" s="49">
        <f>MAX(C63:D63)</f>
        <v>1.1399999999999999</v>
      </c>
      <c r="G63" s="1" t="str">
        <f>G57</f>
        <v>per 100 youth petitioned</v>
      </c>
      <c r="L63" s="58">
        <f>IF(($E57&gt;0),L57,L56)</f>
        <v>100</v>
      </c>
      <c r="M63" s="58"/>
    </row>
    <row r="64" spans="2:18" ht="15" hidden="1" customHeight="1">
      <c r="B64" s="49" t="str">
        <f>IF(($E58&gt;0),B58,B57)</f>
        <v>per 100 youth found delinquent</v>
      </c>
      <c r="C64" s="49">
        <f>IF(($E58&gt;0),C58,C57)</f>
        <v>1.0900000000000001</v>
      </c>
      <c r="D64" s="49">
        <f>IF(($E58&gt;0),D58,D57)</f>
        <v>0</v>
      </c>
      <c r="E64" s="56">
        <f>MAX(C64:D64)</f>
        <v>1.0900000000000001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10.914</v>
      </c>
      <c r="D66" s="56">
        <f>D60</f>
        <v>0.27700000000000002</v>
      </c>
      <c r="E66" s="56">
        <f>MAX(C66:D66)</f>
        <v>10.914</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0.01</v>
      </c>
      <c r="E67" s="49">
        <f>MAX(C67:D67)</f>
        <v>0.73</v>
      </c>
      <c r="G67" s="1" t="str">
        <f>G61</f>
        <v>per 100 arrests</v>
      </c>
      <c r="L67" s="58">
        <f>IF(($E61&gt;0),L61,L60)</f>
        <v>100</v>
      </c>
      <c r="M67" s="58">
        <f>IF((B67=G67),1,2)</f>
        <v>1</v>
      </c>
    </row>
    <row r="68" spans="2:13" ht="15" hidden="1" customHeight="1">
      <c r="B68" s="49" t="str">
        <f t="shared" si="12"/>
        <v>per 100 referrals</v>
      </c>
      <c r="C68" s="49">
        <f t="shared" si="12"/>
        <v>1.24</v>
      </c>
      <c r="D68" s="49">
        <f t="shared" si="12"/>
        <v>0</v>
      </c>
      <c r="E68" s="49">
        <f>MAX(C68:D68)</f>
        <v>1.24</v>
      </c>
      <c r="G68" s="1" t="str">
        <f>G62</f>
        <v>per 100 referrals</v>
      </c>
      <c r="L68" s="58">
        <f>IF(($E62&gt;0),L62,L61)</f>
        <v>100</v>
      </c>
      <c r="M68" s="58">
        <f>IF((B68=G68),1,2)</f>
        <v>1</v>
      </c>
    </row>
    <row r="69" spans="2:13" ht="15" hidden="1" customHeight="1">
      <c r="B69" s="49" t="str">
        <f>IF(($E63&gt;0),B63,B61)</f>
        <v>per 100 youth petitioned</v>
      </c>
      <c r="C69" s="49">
        <f>IF(($E63&gt;0),C63,C62)</f>
        <v>1.1399999999999999</v>
      </c>
      <c r="D69" s="49">
        <f>IF(($E63&gt;0),D63,D62)</f>
        <v>0</v>
      </c>
      <c r="E69" s="49">
        <f>MAX(C69:D69)</f>
        <v>1.1399999999999999</v>
      </c>
      <c r="G69" s="1" t="str">
        <f>G63</f>
        <v>per 100 youth petitioned</v>
      </c>
      <c r="L69" s="58">
        <f>IF(($E63&gt;0),L63,L62)</f>
        <v>100</v>
      </c>
      <c r="M69" s="58">
        <f>IF((B69=G69),1,2)</f>
        <v>1</v>
      </c>
    </row>
    <row r="70" spans="2:13" ht="15" hidden="1" customHeight="1">
      <c r="B70" s="49" t="str">
        <f>IF(($E64&gt;0),B64,B63)</f>
        <v>per 100 youth found delinquent</v>
      </c>
      <c r="C70" s="49">
        <f>IF(($E64&gt;0),C64,C63)</f>
        <v>1.0900000000000001</v>
      </c>
      <c r="D70" s="49">
        <f>IF(($E64&gt;0),D64,D63)</f>
        <v>0</v>
      </c>
      <c r="E70" s="56">
        <f>MAX(C70:D70)</f>
        <v>1.0900000000000001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10914</v>
      </c>
      <c r="D6" s="34"/>
      <c r="E6" s="33">
        <f>'Data Entry'!E6</f>
        <v>2587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6.6886567711196632</v>
      </c>
      <c r="E7" s="33">
        <f>'Data Entry'!E7</f>
        <v>12</v>
      </c>
      <c r="F7" s="34">
        <f>IF((AND($E$7&gt;0,$D$66&gt;0)),($E$7/$D$66),0)</f>
        <v>4.6385775028991105</v>
      </c>
      <c r="G7" s="39">
        <f t="shared" ref="G7:G15" si="0">IF(L$6=100,"*",IF(M7=FALSE,"--",IF(K7=20,"**",($F7/$D7))))</f>
        <v>0.69349910776220391</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12</v>
      </c>
      <c r="O7" s="42">
        <f>E6-E7</f>
        <v>2575</v>
      </c>
      <c r="P7" s="42">
        <f t="shared" ref="P7:P15" si="4">C7</f>
        <v>73</v>
      </c>
      <c r="Q7" s="42">
        <f>C6-C7</f>
        <v>10841</v>
      </c>
      <c r="R7" s="42">
        <f t="shared" ref="R7:R15" si="5">SUM(N7:Q7)</f>
        <v>13501</v>
      </c>
      <c r="S7" s="30">
        <f t="shared" ref="S7:S15" si="6">R7*((((N7*Q7)-(O7*P7))^2))</f>
        <v>45234313243189</v>
      </c>
      <c r="T7" s="30">
        <f t="shared" ref="T7:T15" si="7">(N7+O7)*(P7+Q7)*(N7+P7)*(O7+Q7)</f>
        <v>32197514946480</v>
      </c>
      <c r="U7" s="31">
        <f t="shared" ref="U7:U15" si="8">IF((S7&gt;0),S7/T7,"- -")</f>
        <v>1.4049007607692485</v>
      </c>
    </row>
    <row r="8" spans="2:21" ht="18" customHeight="1">
      <c r="B8" s="32" t="str">
        <f>'Data Entry'!A8</f>
        <v>3. Refer to Juvenile Court</v>
      </c>
      <c r="C8" s="33">
        <f>'Data Entry'!C8</f>
        <v>124</v>
      </c>
      <c r="D8" s="34">
        <f>IF((AND(C67&gt;0,C8&gt;0)),(C8/C67),0)</f>
        <v>169.86301369863014</v>
      </c>
      <c r="E8" s="33">
        <f>'Data Entry'!E8</f>
        <v>25</v>
      </c>
      <c r="F8" s="34">
        <f>IF((AND($E$8&gt;0,$D$67&gt;0)),($E8/$D67),0)</f>
        <v>208.33333333333334</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25</v>
      </c>
      <c r="O8" s="42">
        <f>((D67*L67)-E8)+0.05</f>
        <v>-12.95</v>
      </c>
      <c r="P8" s="42">
        <f t="shared" si="4"/>
        <v>124</v>
      </c>
      <c r="Q8" s="42">
        <f>(C$67*L67)-C8</f>
        <v>-51</v>
      </c>
      <c r="R8" s="42">
        <f t="shared" si="5"/>
        <v>85.050000000000011</v>
      </c>
      <c r="S8" s="30">
        <f t="shared" si="6"/>
        <v>9306905.8319999985</v>
      </c>
      <c r="T8" s="30">
        <f t="shared" si="7"/>
        <v>-8381789.0075000012</v>
      </c>
      <c r="U8" s="31">
        <f t="shared" si="8"/>
        <v>-1.1103722395865854</v>
      </c>
    </row>
    <row r="9" spans="2:21" ht="18" customHeight="1">
      <c r="B9" s="32" t="str">
        <f>'Data Entry'!A9</f>
        <v xml:space="preserve">4. Cases Diverted </v>
      </c>
      <c r="C9" s="33">
        <f>'Data Entry'!C9</f>
        <v>5</v>
      </c>
      <c r="D9" s="34">
        <f>IF((AND(C68&gt;0,C9&gt;0)),((C9/C68)),0)</f>
        <v>4.032258064516129</v>
      </c>
      <c r="E9" s="33">
        <f>'Data Entry'!E9</f>
        <v>1</v>
      </c>
      <c r="F9" s="34">
        <f>IF((AND($E$9&gt;0,$D$68&gt;0)),(($E$9/$D$68)),0)</f>
        <v>4</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24</v>
      </c>
      <c r="P9" s="42">
        <f t="shared" si="4"/>
        <v>5</v>
      </c>
      <c r="Q9" s="42">
        <f>(C$68*L68)-C9</f>
        <v>119</v>
      </c>
      <c r="R9" s="42">
        <f t="shared" si="5"/>
        <v>149</v>
      </c>
      <c r="S9" s="30">
        <f t="shared" si="6"/>
        <v>149</v>
      </c>
      <c r="T9" s="30">
        <f t="shared" si="7"/>
        <v>2659800</v>
      </c>
      <c r="U9" s="31">
        <f t="shared" si="8"/>
        <v>5.6019249567636664E-5</v>
      </c>
    </row>
    <row r="10" spans="2:21" ht="18" customHeight="1">
      <c r="B10" s="32" t="str">
        <f>'Data Entry'!A10</f>
        <v>5. Cases Involving Secure Detention</v>
      </c>
      <c r="C10" s="33">
        <f>'Data Entry'!C10</f>
        <v>80</v>
      </c>
      <c r="D10" s="34">
        <f>IF(((AND(C68&gt;0,C10&gt;0))),(C10/(C68)),0)</f>
        <v>64.516129032258064</v>
      </c>
      <c r="E10" s="33">
        <f>'Data Entry'!E10</f>
        <v>23</v>
      </c>
      <c r="F10" s="34">
        <f>IF(((AND($E$10&gt;0,$D$68&gt;0))),($E$10/($D$68)),0)</f>
        <v>92</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23</v>
      </c>
      <c r="O10" s="42">
        <f>(D$68*L68)-E10</f>
        <v>2</v>
      </c>
      <c r="P10" s="42">
        <f t="shared" si="4"/>
        <v>80</v>
      </c>
      <c r="Q10" s="42">
        <f>(C$68*L68)-C10</f>
        <v>44</v>
      </c>
      <c r="R10" s="42">
        <f t="shared" si="5"/>
        <v>149</v>
      </c>
      <c r="S10" s="30">
        <f t="shared" si="6"/>
        <v>108159696</v>
      </c>
      <c r="T10" s="30">
        <f t="shared" si="7"/>
        <v>14687800</v>
      </c>
      <c r="U10" s="31">
        <f t="shared" si="8"/>
        <v>7.3639139966502816</v>
      </c>
    </row>
    <row r="11" spans="2:21" ht="18" customHeight="1">
      <c r="B11" s="32" t="str">
        <f>'Data Entry'!A11</f>
        <v>6. Cases Petitioned (Charge Filed)</v>
      </c>
      <c r="C11" s="33">
        <f>'Data Entry'!C11</f>
        <v>114</v>
      </c>
      <c r="D11" s="34">
        <f>IF(((AND(C68&gt;0,C11&gt;0))),(C11/(C68)),0)</f>
        <v>91.935483870967744</v>
      </c>
      <c r="E11" s="33">
        <f>'Data Entry'!E11</f>
        <v>25</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25</v>
      </c>
      <c r="O11" s="42">
        <f>(D$68*L68)-E11</f>
        <v>0</v>
      </c>
      <c r="P11" s="42">
        <f t="shared" si="4"/>
        <v>114</v>
      </c>
      <c r="Q11" s="42">
        <f>(C$68*L68)-C11</f>
        <v>10</v>
      </c>
      <c r="R11" s="42">
        <f t="shared" si="5"/>
        <v>149</v>
      </c>
      <c r="S11" s="30">
        <f t="shared" si="6"/>
        <v>9312500</v>
      </c>
      <c r="T11" s="30">
        <f t="shared" si="7"/>
        <v>4309000</v>
      </c>
      <c r="U11" s="31">
        <f t="shared" si="8"/>
        <v>2.1611742863773498</v>
      </c>
    </row>
    <row r="12" spans="2:21" ht="18" customHeight="1">
      <c r="B12" s="32" t="str">
        <f>'Data Entry'!A12</f>
        <v>7. Cases Resulting in Delinquent Findings</v>
      </c>
      <c r="C12" s="33">
        <f>'Data Entry'!C12</f>
        <v>109</v>
      </c>
      <c r="D12" s="34">
        <f>IF(((AND(C69&gt;0,C12&gt;0))),(C12/(C69)),0)</f>
        <v>95.614035087719301</v>
      </c>
      <c r="E12" s="33">
        <f>'Data Entry'!E12</f>
        <v>22</v>
      </c>
      <c r="F12" s="34">
        <f>IF(((AND($D$69&gt;0,$E$12&gt;0))),(E12/(D69)),0)</f>
        <v>88</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22</v>
      </c>
      <c r="O12" s="42">
        <f>(D69*L69)-E12</f>
        <v>3</v>
      </c>
      <c r="P12" s="42">
        <f t="shared" si="4"/>
        <v>109</v>
      </c>
      <c r="Q12" s="42">
        <f>(C69*L69)-C12</f>
        <v>4.9999999999999858</v>
      </c>
      <c r="R12" s="42">
        <f t="shared" si="5"/>
        <v>139</v>
      </c>
      <c r="S12" s="30">
        <f t="shared" si="6"/>
        <v>6545371.0000000196</v>
      </c>
      <c r="T12" s="30">
        <f t="shared" si="7"/>
        <v>2986799.9999999944</v>
      </c>
      <c r="U12" s="31">
        <f t="shared" si="8"/>
        <v>2.1914326369358617</v>
      </c>
    </row>
    <row r="13" spans="2:21" ht="18" customHeight="1">
      <c r="B13" s="32" t="str">
        <f>'Data Entry'!A13</f>
        <v>8. Cases Resulting in Probation Placement</v>
      </c>
      <c r="C13" s="33">
        <f>'Data Entry'!C13</f>
        <v>106</v>
      </c>
      <c r="D13" s="34">
        <f>IF(((AND(C70&gt;0,C13&gt;0))),(C13/(C70)),0)</f>
        <v>97.247706422018339</v>
      </c>
      <c r="E13" s="33">
        <f>'Data Entry'!E13</f>
        <v>20</v>
      </c>
      <c r="F13" s="34">
        <f>IF(((AND($D$70&gt;0,$E$13&gt;0))),($E$13/($D$70)),0)</f>
        <v>90.909090909090907</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20</v>
      </c>
      <c r="O13" s="42">
        <f>(D70*L70)-E13</f>
        <v>2</v>
      </c>
      <c r="P13" s="42">
        <f t="shared" si="4"/>
        <v>106</v>
      </c>
      <c r="Q13" s="42">
        <f>(C70*L70)-C13</f>
        <v>3.0000000000000142</v>
      </c>
      <c r="R13" s="42">
        <f t="shared" si="5"/>
        <v>131</v>
      </c>
      <c r="S13" s="30">
        <f t="shared" si="6"/>
        <v>3026623.9999999884</v>
      </c>
      <c r="T13" s="30">
        <f t="shared" si="7"/>
        <v>1510740.0000000047</v>
      </c>
      <c r="U13" s="31">
        <f t="shared" si="8"/>
        <v>2.0034049538636554</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22</v>
      </c>
      <c r="P14" s="42">
        <f t="shared" si="4"/>
        <v>0</v>
      </c>
      <c r="Q14" s="42">
        <f>(C70*L70)-C14</f>
        <v>109.00000000000001</v>
      </c>
      <c r="R14" s="42">
        <f t="shared" si="5"/>
        <v>131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1</v>
      </c>
      <c r="F15" s="34">
        <f>IF(((AND($D$69&gt;0,$E$15&gt;0))),(($E$15/($D$69))),0)</f>
        <v>4</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1</v>
      </c>
      <c r="O15" s="42">
        <f>(D69*L69)-E15</f>
        <v>24</v>
      </c>
      <c r="P15" s="42">
        <f t="shared" si="4"/>
        <v>0</v>
      </c>
      <c r="Q15" s="42">
        <f>(C69*L69)-C15</f>
        <v>113.99999999999999</v>
      </c>
      <c r="R15" s="42">
        <f t="shared" si="5"/>
        <v>139</v>
      </c>
      <c r="S15" s="30">
        <f t="shared" si="6"/>
        <v>1806443.9999999995</v>
      </c>
      <c r="T15" s="30">
        <f t="shared" si="7"/>
        <v>393299.99999999994</v>
      </c>
      <c r="U15" s="31">
        <f t="shared" si="8"/>
        <v>4.5930434782608689</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10.914</v>
      </c>
      <c r="D42" s="56">
        <f>E6/1000</f>
        <v>2.5870000000000002</v>
      </c>
      <c r="E42" s="56">
        <f>MAX(C42:D42)</f>
        <v>10.914</v>
      </c>
      <c r="G42" s="1" t="str">
        <f>B42</f>
        <v>per 1000 youth</v>
      </c>
      <c r="L42" s="57">
        <v>1000</v>
      </c>
      <c r="M42" s="57"/>
      <c r="R42" s="49"/>
    </row>
    <row r="43" spans="2:18" ht="15" hidden="1" customHeight="1">
      <c r="B43" s="49" t="s">
        <v>87</v>
      </c>
      <c r="C43" s="56">
        <f>C7/100</f>
        <v>0.73</v>
      </c>
      <c r="D43" s="56">
        <f>E7/100</f>
        <v>0.12</v>
      </c>
      <c r="E43" s="56">
        <f>MAX(C43:D43,0)</f>
        <v>0.73</v>
      </c>
      <c r="G43" s="1" t="str">
        <f>B43</f>
        <v>per 100 arrests</v>
      </c>
      <c r="L43" s="57">
        <v>100</v>
      </c>
      <c r="M43" s="57"/>
      <c r="R43" s="49"/>
    </row>
    <row r="44" spans="2:18" ht="15" hidden="1" customHeight="1">
      <c r="B44" s="49" t="s">
        <v>88</v>
      </c>
      <c r="C44" s="56">
        <f>C8/100</f>
        <v>1.24</v>
      </c>
      <c r="D44" s="56">
        <f>E8/100</f>
        <v>0.25</v>
      </c>
      <c r="E44" s="56">
        <f>MAX(C44:D44,0)</f>
        <v>1.24</v>
      </c>
      <c r="G44" s="1" t="str">
        <f>B44</f>
        <v>per 100 referrals</v>
      </c>
      <c r="L44" s="57">
        <v>100</v>
      </c>
      <c r="M44" s="57"/>
      <c r="R44" s="49"/>
    </row>
    <row r="45" spans="2:18" ht="15" hidden="1" customHeight="1">
      <c r="B45" s="49" t="s">
        <v>89</v>
      </c>
      <c r="C45" s="49">
        <f>C11/100</f>
        <v>1.1399999999999999</v>
      </c>
      <c r="D45" s="49">
        <f>E11/100</f>
        <v>0.25</v>
      </c>
      <c r="E45" s="56">
        <f>MAX(C45:D45,0)</f>
        <v>1.1399999999999999</v>
      </c>
      <c r="G45" s="1" t="str">
        <f>B45</f>
        <v>per 100 youth petitioned</v>
      </c>
      <c r="L45" s="57">
        <v>100</v>
      </c>
      <c r="M45" s="57"/>
      <c r="R45" s="49"/>
    </row>
    <row r="46" spans="2:18" ht="15" hidden="1" customHeight="1">
      <c r="B46" s="49" t="s">
        <v>90</v>
      </c>
      <c r="C46" s="49">
        <f>C12/100</f>
        <v>1.0900000000000001</v>
      </c>
      <c r="D46" s="49">
        <f>E12/100</f>
        <v>0.22</v>
      </c>
      <c r="E46" s="56">
        <f>MAX(C46:D46)</f>
        <v>1.0900000000000001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10.914</v>
      </c>
      <c r="D48" s="56">
        <f>D42</f>
        <v>2.5870000000000002</v>
      </c>
      <c r="E48" s="56">
        <f>MAX(C48:D48)</f>
        <v>10.914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0.12</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1.24</v>
      </c>
      <c r="D50" s="49">
        <f t="shared" si="9"/>
        <v>0.25</v>
      </c>
      <c r="E50" s="49">
        <f>MAX(C50:D50)</f>
        <v>1.24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1.1399999999999999</v>
      </c>
      <c r="D51" s="49">
        <f>IF(($E45&gt;0),D45,D44)</f>
        <v>0.25</v>
      </c>
      <c r="E51" s="49">
        <f>MAX(C51:D51)</f>
        <v>1.1399999999999999</v>
      </c>
      <c r="G51" s="1" t="str">
        <f>G45</f>
        <v>per 100 youth petitioned</v>
      </c>
      <c r="L51" s="58">
        <f>IF(($E45&gt;0),L45,L44)</f>
        <v>100</v>
      </c>
      <c r="M51" s="58"/>
    </row>
    <row r="52" spans="2:18" ht="15" hidden="1" customHeight="1">
      <c r="B52" s="49" t="str">
        <f>IF(($E46&gt;0),B46,B45)</f>
        <v>per 100 youth found delinquent</v>
      </c>
      <c r="C52" s="49">
        <f>IF(($E46&gt;0),C46,C45)</f>
        <v>1.0900000000000001</v>
      </c>
      <c r="D52" s="49">
        <f>IF(($E46&gt;0),D46,D45)</f>
        <v>0.22</v>
      </c>
      <c r="E52" s="56">
        <f>MAX(C52:D52)</f>
        <v>1.0900000000000001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10.914</v>
      </c>
      <c r="D54" s="56">
        <f>D48</f>
        <v>2.5870000000000002</v>
      </c>
      <c r="E54" s="56">
        <f>MAX(C54:D54)</f>
        <v>10.914</v>
      </c>
      <c r="G54" s="1" t="str">
        <f>G48</f>
        <v>per 1000 youth</v>
      </c>
      <c r="L54" s="58">
        <f>L48</f>
        <v>1000</v>
      </c>
      <c r="M54" s="58"/>
    </row>
    <row r="55" spans="2:18" ht="15" hidden="1" customHeight="1">
      <c r="B55" s="49" t="str">
        <f t="shared" ref="B55:D56" si="10">IF(($E49&gt;0),B49,B48)</f>
        <v>per 100 arrests</v>
      </c>
      <c r="C55" s="49">
        <f t="shared" si="10"/>
        <v>0.73</v>
      </c>
      <c r="D55" s="49">
        <f t="shared" si="10"/>
        <v>0.12</v>
      </c>
      <c r="E55" s="49">
        <f>MAX(C55:D55)</f>
        <v>0.73</v>
      </c>
      <c r="G55" s="1" t="str">
        <f>G49</f>
        <v>per 100 arrests</v>
      </c>
      <c r="L55" s="58">
        <f>IF(($E49&gt;0),L49,L48)</f>
        <v>100</v>
      </c>
      <c r="M55" s="58"/>
    </row>
    <row r="56" spans="2:18" ht="15" hidden="1" customHeight="1">
      <c r="B56" s="49" t="str">
        <f t="shared" si="10"/>
        <v>per 100 referrals</v>
      </c>
      <c r="C56" s="49">
        <f t="shared" si="10"/>
        <v>1.24</v>
      </c>
      <c r="D56" s="49">
        <f t="shared" si="10"/>
        <v>0.25</v>
      </c>
      <c r="E56" s="49">
        <f>MAX(C56:D56)</f>
        <v>1.24</v>
      </c>
      <c r="G56" s="1" t="str">
        <f>G50</f>
        <v>per 100 referrals</v>
      </c>
      <c r="L56" s="58">
        <f>IF(($E50&gt;0),L50,L49)</f>
        <v>100</v>
      </c>
      <c r="M56" s="58"/>
    </row>
    <row r="57" spans="2:18" ht="15" hidden="1" customHeight="1">
      <c r="B57" s="49" t="str">
        <f>IF(($E51&gt;0),B51,B49)</f>
        <v>per 100 youth petitioned</v>
      </c>
      <c r="C57" s="49">
        <f>IF(($E51&gt;0),C51,C50)</f>
        <v>1.1399999999999999</v>
      </c>
      <c r="D57" s="49">
        <f>IF(($E51&gt;0),D51,D50)</f>
        <v>0.25</v>
      </c>
      <c r="E57" s="49">
        <f>MAX(C57:D57)</f>
        <v>1.1399999999999999</v>
      </c>
      <c r="G57" s="1" t="str">
        <f>G51</f>
        <v>per 100 youth petitioned</v>
      </c>
      <c r="L57" s="58">
        <f>IF(($E51&gt;0),L51,L50)</f>
        <v>100</v>
      </c>
      <c r="M57" s="58"/>
    </row>
    <row r="58" spans="2:18" ht="15" hidden="1" customHeight="1">
      <c r="B58" s="49" t="str">
        <f>IF(($E52&gt;0),B52,B51)</f>
        <v>per 100 youth found delinquent</v>
      </c>
      <c r="C58" s="49">
        <f>IF(($E52&gt;0),C52,C51)</f>
        <v>1.0900000000000001</v>
      </c>
      <c r="D58" s="49">
        <f>IF(($E52&gt;0),D52,D51)</f>
        <v>0.22</v>
      </c>
      <c r="E58" s="56">
        <f>MAX(C58:D58)</f>
        <v>1.0900000000000001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10.914</v>
      </c>
      <c r="D60" s="56">
        <f>D54</f>
        <v>2.5870000000000002</v>
      </c>
      <c r="E60" s="56">
        <f>MAX(C60:D60)</f>
        <v>10.914</v>
      </c>
      <c r="G60" s="1" t="str">
        <f>G54</f>
        <v>per 1000 youth</v>
      </c>
      <c r="L60" s="58">
        <f>L54</f>
        <v>1000</v>
      </c>
      <c r="M60" s="58"/>
    </row>
    <row r="61" spans="2:18" ht="15" hidden="1" customHeight="1">
      <c r="B61" s="49" t="str">
        <f t="shared" ref="B61:D62" si="11">IF(($E55&gt;0),B55,B54)</f>
        <v>per 100 arrests</v>
      </c>
      <c r="C61" s="49">
        <f t="shared" si="11"/>
        <v>0.73</v>
      </c>
      <c r="D61" s="49">
        <f t="shared" si="11"/>
        <v>0.12</v>
      </c>
      <c r="E61" s="49">
        <f>MAX(C61:D61)</f>
        <v>0.73</v>
      </c>
      <c r="G61" s="1" t="str">
        <f>G55</f>
        <v>per 100 arrests</v>
      </c>
      <c r="L61" s="58">
        <f>IF(($E55&gt;0),L55,L54)</f>
        <v>100</v>
      </c>
      <c r="M61" s="58"/>
    </row>
    <row r="62" spans="2:18" ht="15" hidden="1" customHeight="1">
      <c r="B62" s="49" t="str">
        <f t="shared" si="11"/>
        <v>per 100 referrals</v>
      </c>
      <c r="C62" s="49">
        <f t="shared" si="11"/>
        <v>1.24</v>
      </c>
      <c r="D62" s="49">
        <f t="shared" si="11"/>
        <v>0.25</v>
      </c>
      <c r="E62" s="49">
        <f>MAX(C62:D62)</f>
        <v>1.24</v>
      </c>
      <c r="G62" s="1" t="str">
        <f>G56</f>
        <v>per 100 referrals</v>
      </c>
      <c r="L62" s="58">
        <f>IF(($E56&gt;0),L56,L55)</f>
        <v>100</v>
      </c>
      <c r="M62" s="58"/>
    </row>
    <row r="63" spans="2:18" ht="15" hidden="1" customHeight="1">
      <c r="B63" s="49" t="str">
        <f>IF(($E57&gt;0),B57,B55)</f>
        <v>per 100 youth petitioned</v>
      </c>
      <c r="C63" s="49">
        <f>IF(($E57&gt;0),C57,C56)</f>
        <v>1.1399999999999999</v>
      </c>
      <c r="D63" s="49">
        <f>IF(($E57&gt;0),D57,D56)</f>
        <v>0.25</v>
      </c>
      <c r="E63" s="49">
        <f>MAX(C63:D63)</f>
        <v>1.1399999999999999</v>
      </c>
      <c r="G63" s="1" t="str">
        <f>G57</f>
        <v>per 100 youth petitioned</v>
      </c>
      <c r="L63" s="58">
        <f>IF(($E57&gt;0),L57,L56)</f>
        <v>100</v>
      </c>
      <c r="M63" s="58"/>
    </row>
    <row r="64" spans="2:18" ht="15" hidden="1" customHeight="1">
      <c r="B64" s="49" t="str">
        <f>IF(($E58&gt;0),B58,B57)</f>
        <v>per 100 youth found delinquent</v>
      </c>
      <c r="C64" s="49">
        <f>IF(($E58&gt;0),C58,C57)</f>
        <v>1.0900000000000001</v>
      </c>
      <c r="D64" s="49">
        <f>IF(($E58&gt;0),D58,D57)</f>
        <v>0.22</v>
      </c>
      <c r="E64" s="56">
        <f>MAX(C64:D64)</f>
        <v>1.0900000000000001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10.914</v>
      </c>
      <c r="D66" s="56">
        <f>D60</f>
        <v>2.5870000000000002</v>
      </c>
      <c r="E66" s="56">
        <f>MAX(C66:D66)</f>
        <v>10.914</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0.12</v>
      </c>
      <c r="E67" s="49">
        <f>MAX(C67:D67)</f>
        <v>0.73</v>
      </c>
      <c r="G67" s="1" t="str">
        <f>G61</f>
        <v>per 100 arrests</v>
      </c>
      <c r="L67" s="58">
        <f>IF(($E61&gt;0),L61,L60)</f>
        <v>100</v>
      </c>
      <c r="M67" s="58">
        <f>IF((B67=G67),1,2)</f>
        <v>1</v>
      </c>
    </row>
    <row r="68" spans="2:13" ht="15" hidden="1" customHeight="1">
      <c r="B68" s="49" t="str">
        <f t="shared" si="12"/>
        <v>per 100 referrals</v>
      </c>
      <c r="C68" s="49">
        <f t="shared" si="12"/>
        <v>1.24</v>
      </c>
      <c r="D68" s="49">
        <f t="shared" si="12"/>
        <v>0.25</v>
      </c>
      <c r="E68" s="49">
        <f>MAX(C68:D68)</f>
        <v>1.24</v>
      </c>
      <c r="G68" s="1" t="str">
        <f>G62</f>
        <v>per 100 referrals</v>
      </c>
      <c r="L68" s="58">
        <f>IF(($E62&gt;0),L62,L61)</f>
        <v>100</v>
      </c>
      <c r="M68" s="58">
        <f>IF((B68=G68),1,2)</f>
        <v>1</v>
      </c>
    </row>
    <row r="69" spans="2:13" ht="15" hidden="1" customHeight="1">
      <c r="B69" s="49" t="str">
        <f>IF(($E63&gt;0),B63,B61)</f>
        <v>per 100 youth petitioned</v>
      </c>
      <c r="C69" s="49">
        <f>IF(($E63&gt;0),C63,C62)</f>
        <v>1.1399999999999999</v>
      </c>
      <c r="D69" s="49">
        <f>IF(($E63&gt;0),D63,D62)</f>
        <v>0.25</v>
      </c>
      <c r="E69" s="49">
        <f>MAX(C69:D69)</f>
        <v>1.1399999999999999</v>
      </c>
      <c r="G69" s="1" t="str">
        <f>G63</f>
        <v>per 100 youth petitioned</v>
      </c>
      <c r="L69" s="58">
        <f>IF(($E63&gt;0),L63,L62)</f>
        <v>100</v>
      </c>
      <c r="M69" s="58">
        <f>IF((B69=G69),1,2)</f>
        <v>1</v>
      </c>
    </row>
    <row r="70" spans="2:13" ht="15" hidden="1" customHeight="1">
      <c r="B70" s="49" t="str">
        <f>IF(($E64&gt;0),B64,B63)</f>
        <v>per 100 youth found delinquent</v>
      </c>
      <c r="C70" s="49">
        <f>IF(($E64&gt;0),C64,C63)</f>
        <v>1.0900000000000001</v>
      </c>
      <c r="D70" s="49">
        <f>IF(($E64&gt;0),D64,D63)</f>
        <v>0.22</v>
      </c>
      <c r="E70" s="56">
        <f>MAX(C70:D70)</f>
        <v>1.0900000000000001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10914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6.6886567711196632</v>
      </c>
      <c r="E7" s="33">
        <f>'Data Entry'!G7</f>
        <v>1</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1</v>
      </c>
      <c r="O7" s="42">
        <f>E6-E7</f>
        <v>-1</v>
      </c>
      <c r="P7" s="42">
        <f t="shared" ref="P7:P15" si="4">C7</f>
        <v>73</v>
      </c>
      <c r="Q7" s="42">
        <f>C6-C7</f>
        <v>10841</v>
      </c>
      <c r="R7" s="42">
        <f t="shared" ref="R7:R15" si="5">SUM(N7:Q7)</f>
        <v>10914</v>
      </c>
      <c r="S7" s="30">
        <f t="shared" ref="S7:S15" si="6">R7*((((N7*Q7)-(O7*P7))^2))</f>
        <v>1300025431944</v>
      </c>
      <c r="T7" s="30">
        <f t="shared" ref="T7:T15" si="7">(N7+O7)*(P7+Q7)*(N7+P7)*(O7+Q7)</f>
        <v>0</v>
      </c>
      <c r="U7" s="31" t="e">
        <f t="shared" ref="U7:U15" si="8">IF((S7&gt;0),S7/T7,"- -")</f>
        <v>#DIV/0!</v>
      </c>
    </row>
    <row r="8" spans="2:21" ht="18" customHeight="1">
      <c r="B8" s="32" t="str">
        <f>'Data Entry'!A8</f>
        <v>3. Refer to Juvenile Court</v>
      </c>
      <c r="C8" s="33">
        <f>'Data Entry'!C8</f>
        <v>124</v>
      </c>
      <c r="D8" s="34">
        <f>IF((AND(C67&gt;0,C8&gt;0)),(C8/C67),0)</f>
        <v>169.86301369863014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1.05</v>
      </c>
      <c r="P8" s="42">
        <f t="shared" si="4"/>
        <v>124</v>
      </c>
      <c r="Q8" s="42">
        <f>(C$67*L67)-C8</f>
        <v>-51</v>
      </c>
      <c r="R8" s="42">
        <f t="shared" si="5"/>
        <v>74.05</v>
      </c>
      <c r="S8" s="30">
        <f t="shared" si="6"/>
        <v>1255298.5620000004</v>
      </c>
      <c r="T8" s="30">
        <f t="shared" si="7"/>
        <v>-474754.77</v>
      </c>
      <c r="U8" s="31">
        <f t="shared" si="8"/>
        <v>-2.6440988934139624</v>
      </c>
    </row>
    <row r="9" spans="2:21" ht="18" customHeight="1">
      <c r="B9" s="32" t="str">
        <f>'Data Entry'!A9</f>
        <v xml:space="preserve">4. Cases Diverted </v>
      </c>
      <c r="C9" s="33">
        <f>'Data Entry'!C9</f>
        <v>5</v>
      </c>
      <c r="D9" s="34">
        <f>IF((AND(C68&gt;0,C9&gt;0)),((C9/C68)),0)</f>
        <v>4.032258064516129</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119</v>
      </c>
      <c r="R9" s="42">
        <f t="shared" si="5"/>
        <v>124</v>
      </c>
      <c r="S9" s="30">
        <f t="shared" si="6"/>
        <v>0</v>
      </c>
      <c r="T9" s="30">
        <f t="shared" si="7"/>
        <v>0</v>
      </c>
      <c r="U9" s="31" t="str">
        <f t="shared" si="8"/>
        <v>- -</v>
      </c>
    </row>
    <row r="10" spans="2:21" ht="18" customHeight="1">
      <c r="B10" s="32" t="str">
        <f>'Data Entry'!A10</f>
        <v>5. Cases Involving Secure Detention</v>
      </c>
      <c r="C10" s="33">
        <f>'Data Entry'!C10</f>
        <v>80</v>
      </c>
      <c r="D10" s="34">
        <f>IF(((AND(C68&gt;0,C10&gt;0))),(C10/(C68)),0)</f>
        <v>64.516129032258064</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80</v>
      </c>
      <c r="Q10" s="42">
        <f>(C$68*L68)-C10</f>
        <v>44</v>
      </c>
      <c r="R10" s="42">
        <f t="shared" si="5"/>
        <v>124</v>
      </c>
      <c r="S10" s="30">
        <f t="shared" si="6"/>
        <v>0</v>
      </c>
      <c r="T10" s="30">
        <f t="shared" si="7"/>
        <v>0</v>
      </c>
      <c r="U10" s="31" t="str">
        <f t="shared" si="8"/>
        <v>- -</v>
      </c>
    </row>
    <row r="11" spans="2:21" ht="18" customHeight="1">
      <c r="B11" s="32" t="str">
        <f>'Data Entry'!A11</f>
        <v>6. Cases Petitioned (Charge Filed)</v>
      </c>
      <c r="C11" s="33">
        <f>'Data Entry'!C11</f>
        <v>114</v>
      </c>
      <c r="D11" s="34">
        <f>IF(((AND(C68&gt;0,C11&gt;0))),(C11/(C68)),0)</f>
        <v>91.935483870967744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114</v>
      </c>
      <c r="Q11" s="42">
        <f>(C$68*L68)-C11</f>
        <v>10</v>
      </c>
      <c r="R11" s="42">
        <f t="shared" si="5"/>
        <v>124</v>
      </c>
      <c r="S11" s="30">
        <f t="shared" si="6"/>
        <v>0</v>
      </c>
      <c r="T11" s="30">
        <f t="shared" si="7"/>
        <v>0</v>
      </c>
      <c r="U11" s="31" t="str">
        <f t="shared" si="8"/>
        <v>- -</v>
      </c>
    </row>
    <row r="12" spans="2:21" ht="18" customHeight="1">
      <c r="B12" s="32" t="str">
        <f>'Data Entry'!A12</f>
        <v>7. Cases Resulting in Delinquent Findings</v>
      </c>
      <c r="C12" s="33">
        <f>'Data Entry'!C12</f>
        <v>109</v>
      </c>
      <c r="D12" s="34">
        <f>IF(((AND(C69&gt;0,C12&gt;0))),(C12/(C69)),0)</f>
        <v>95.614035087719301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109</v>
      </c>
      <c r="Q12" s="42">
        <f>(C69*L69)-C12</f>
        <v>4.9999999999999858</v>
      </c>
      <c r="R12" s="42">
        <f t="shared" si="5"/>
        <v>113.99999999999999</v>
      </c>
      <c r="S12" s="30">
        <f t="shared" si="6"/>
        <v>0</v>
      </c>
      <c r="T12" s="30">
        <f t="shared" si="7"/>
        <v>0</v>
      </c>
      <c r="U12" s="31" t="str">
        <f t="shared" si="8"/>
        <v>- -</v>
      </c>
    </row>
    <row r="13" spans="2:21" ht="18" customHeight="1">
      <c r="B13" s="32" t="str">
        <f>'Data Entry'!A13</f>
        <v>8. Cases Resulting in Probation Placement</v>
      </c>
      <c r="C13" s="33">
        <f>'Data Entry'!C13</f>
        <v>106</v>
      </c>
      <c r="D13" s="34">
        <f>IF(((AND(C70&gt;0,C13&gt;0))),(C13/(C70)),0)</f>
        <v>97.247706422018339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106</v>
      </c>
      <c r="Q13" s="42">
        <f>(C70*L70)-C13</f>
        <v>3.0000000000000142</v>
      </c>
      <c r="R13" s="42">
        <f t="shared" si="5"/>
        <v>109.00000000000001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109.00000000000001</v>
      </c>
      <c r="R14" s="42">
        <f t="shared" si="5"/>
        <v>109.00000000000001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113.99999999999999</v>
      </c>
      <c r="R15" s="42">
        <f t="shared" si="5"/>
        <v>113.99999999999999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10.914</v>
      </c>
      <c r="D42" s="56">
        <f>E6/1000</f>
        <v>0</v>
      </c>
      <c r="E42" s="56">
        <f>MAX(C42:D42)</f>
        <v>10.914</v>
      </c>
      <c r="G42" s="1" t="str">
        <f>B42</f>
        <v>per 1000 youth</v>
      </c>
      <c r="L42" s="57">
        <v>1000</v>
      </c>
      <c r="M42" s="57"/>
      <c r="R42" s="49"/>
    </row>
    <row r="43" spans="2:18" ht="15" hidden="1" customHeight="1">
      <c r="B43" s="49" t="s">
        <v>87</v>
      </c>
      <c r="C43" s="56">
        <f>C7/100</f>
        <v>0.73</v>
      </c>
      <c r="D43" s="56">
        <f>E7/100</f>
        <v>0.01</v>
      </c>
      <c r="E43" s="56">
        <f>MAX(C43:D43,0)</f>
        <v>0.73</v>
      </c>
      <c r="G43" s="1" t="str">
        <f>B43</f>
        <v>per 100 arrests</v>
      </c>
      <c r="L43" s="57">
        <v>100</v>
      </c>
      <c r="M43" s="57"/>
      <c r="R43" s="49"/>
    </row>
    <row r="44" spans="2:18" ht="15" hidden="1" customHeight="1">
      <c r="B44" s="49" t="s">
        <v>88</v>
      </c>
      <c r="C44" s="56">
        <f>C8/100</f>
        <v>1.24</v>
      </c>
      <c r="D44" s="56">
        <f>E8/100</f>
        <v>0</v>
      </c>
      <c r="E44" s="56">
        <f>MAX(C44:D44,0)</f>
        <v>1.24</v>
      </c>
      <c r="G44" s="1" t="str">
        <f>B44</f>
        <v>per 100 referrals</v>
      </c>
      <c r="L44" s="57">
        <v>100</v>
      </c>
      <c r="M44" s="57"/>
      <c r="R44" s="49"/>
    </row>
    <row r="45" spans="2:18" ht="15" hidden="1" customHeight="1">
      <c r="B45" s="49" t="s">
        <v>89</v>
      </c>
      <c r="C45" s="49">
        <f>C11/100</f>
        <v>1.1399999999999999</v>
      </c>
      <c r="D45" s="49">
        <f>E11/100</f>
        <v>0</v>
      </c>
      <c r="E45" s="56">
        <f>MAX(C45:D45,0)</f>
        <v>1.1399999999999999</v>
      </c>
      <c r="G45" s="1" t="str">
        <f>B45</f>
        <v>per 100 youth petitioned</v>
      </c>
      <c r="L45" s="57">
        <v>100</v>
      </c>
      <c r="M45" s="57"/>
      <c r="R45" s="49"/>
    </row>
    <row r="46" spans="2:18" ht="15" hidden="1" customHeight="1">
      <c r="B46" s="49" t="s">
        <v>90</v>
      </c>
      <c r="C46" s="49">
        <f>C12/100</f>
        <v>1.0900000000000001</v>
      </c>
      <c r="D46" s="49">
        <f>E12/100</f>
        <v>0</v>
      </c>
      <c r="E46" s="56">
        <f>MAX(C46:D46)</f>
        <v>1.0900000000000001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10.914</v>
      </c>
      <c r="D48" s="56">
        <f>D42</f>
        <v>0</v>
      </c>
      <c r="E48" s="56">
        <f>MAX(C48:D48)</f>
        <v>10.914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0.01</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1.24</v>
      </c>
      <c r="D50" s="49">
        <f t="shared" si="9"/>
        <v>0</v>
      </c>
      <c r="E50" s="49">
        <f>MAX(C50:D50)</f>
        <v>1.24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1.1399999999999999</v>
      </c>
      <c r="D51" s="49">
        <f>IF(($E45&gt;0),D45,D44)</f>
        <v>0</v>
      </c>
      <c r="E51" s="49">
        <f>MAX(C51:D51)</f>
        <v>1.1399999999999999</v>
      </c>
      <c r="G51" s="1" t="str">
        <f>G45</f>
        <v>per 100 youth petitioned</v>
      </c>
      <c r="L51" s="58">
        <f>IF(($E45&gt;0),L45,L44)</f>
        <v>100</v>
      </c>
      <c r="M51" s="58"/>
    </row>
    <row r="52" spans="2:18" ht="15" hidden="1" customHeight="1">
      <c r="B52" s="49" t="str">
        <f>IF(($E46&gt;0),B46,B45)</f>
        <v>per 100 youth found delinquent</v>
      </c>
      <c r="C52" s="49">
        <f>IF(($E46&gt;0),C46,C45)</f>
        <v>1.0900000000000001</v>
      </c>
      <c r="D52" s="49">
        <f>IF(($E46&gt;0),D46,D45)</f>
        <v>0</v>
      </c>
      <c r="E52" s="56">
        <f>MAX(C52:D52)</f>
        <v>1.0900000000000001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10.914</v>
      </c>
      <c r="D54" s="56">
        <f>D48</f>
        <v>0</v>
      </c>
      <c r="E54" s="56">
        <f>MAX(C54:D54)</f>
        <v>10.914</v>
      </c>
      <c r="G54" s="1" t="str">
        <f>G48</f>
        <v>per 1000 youth</v>
      </c>
      <c r="L54" s="58">
        <f>L48</f>
        <v>1000</v>
      </c>
      <c r="M54" s="58"/>
    </row>
    <row r="55" spans="2:18" ht="15" hidden="1" customHeight="1">
      <c r="B55" s="49" t="str">
        <f t="shared" ref="B55:D56" si="10">IF(($E49&gt;0),B49,B48)</f>
        <v>per 100 arrests</v>
      </c>
      <c r="C55" s="49">
        <f t="shared" si="10"/>
        <v>0.73</v>
      </c>
      <c r="D55" s="49">
        <f t="shared" si="10"/>
        <v>0.01</v>
      </c>
      <c r="E55" s="49">
        <f>MAX(C55:D55)</f>
        <v>0.73</v>
      </c>
      <c r="G55" s="1" t="str">
        <f>G49</f>
        <v>per 100 arrests</v>
      </c>
      <c r="L55" s="58">
        <f>IF(($E49&gt;0),L49,L48)</f>
        <v>100</v>
      </c>
      <c r="M55" s="58"/>
    </row>
    <row r="56" spans="2:18" ht="15" hidden="1" customHeight="1">
      <c r="B56" s="49" t="str">
        <f t="shared" si="10"/>
        <v>per 100 referrals</v>
      </c>
      <c r="C56" s="49">
        <f t="shared" si="10"/>
        <v>1.24</v>
      </c>
      <c r="D56" s="49">
        <f t="shared" si="10"/>
        <v>0</v>
      </c>
      <c r="E56" s="49">
        <f>MAX(C56:D56)</f>
        <v>1.24</v>
      </c>
      <c r="G56" s="1" t="str">
        <f>G50</f>
        <v>per 100 referrals</v>
      </c>
      <c r="L56" s="58">
        <f>IF(($E50&gt;0),L50,L49)</f>
        <v>100</v>
      </c>
      <c r="M56" s="58"/>
    </row>
    <row r="57" spans="2:18" ht="15" hidden="1" customHeight="1">
      <c r="B57" s="49" t="str">
        <f>IF(($E51&gt;0),B51,B49)</f>
        <v>per 100 youth petitioned</v>
      </c>
      <c r="C57" s="49">
        <f>IF(($E51&gt;0),C51,C50)</f>
        <v>1.1399999999999999</v>
      </c>
      <c r="D57" s="49">
        <f>IF(($E51&gt;0),D51,D50)</f>
        <v>0</v>
      </c>
      <c r="E57" s="49">
        <f>MAX(C57:D57)</f>
        <v>1.1399999999999999</v>
      </c>
      <c r="G57" s="1" t="str">
        <f>G51</f>
        <v>per 100 youth petitioned</v>
      </c>
      <c r="L57" s="58">
        <f>IF(($E51&gt;0),L51,L50)</f>
        <v>100</v>
      </c>
      <c r="M57" s="58"/>
    </row>
    <row r="58" spans="2:18" ht="15" hidden="1" customHeight="1">
      <c r="B58" s="49" t="str">
        <f>IF(($E52&gt;0),B52,B51)</f>
        <v>per 100 youth found delinquent</v>
      </c>
      <c r="C58" s="49">
        <f>IF(($E52&gt;0),C52,C51)</f>
        <v>1.0900000000000001</v>
      </c>
      <c r="D58" s="49">
        <f>IF(($E52&gt;0),D52,D51)</f>
        <v>0</v>
      </c>
      <c r="E58" s="56">
        <f>MAX(C58:D58)</f>
        <v>1.0900000000000001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10.914</v>
      </c>
      <c r="D60" s="56">
        <f>D54</f>
        <v>0</v>
      </c>
      <c r="E60" s="56">
        <f>MAX(C60:D60)</f>
        <v>10.914</v>
      </c>
      <c r="G60" s="1" t="str">
        <f>G54</f>
        <v>per 1000 youth</v>
      </c>
      <c r="L60" s="58">
        <f>L54</f>
        <v>1000</v>
      </c>
      <c r="M60" s="58"/>
    </row>
    <row r="61" spans="2:18" ht="15" hidden="1" customHeight="1">
      <c r="B61" s="49" t="str">
        <f t="shared" ref="B61:D62" si="11">IF(($E55&gt;0),B55,B54)</f>
        <v>per 100 arrests</v>
      </c>
      <c r="C61" s="49">
        <f t="shared" si="11"/>
        <v>0.73</v>
      </c>
      <c r="D61" s="49">
        <f t="shared" si="11"/>
        <v>0.01</v>
      </c>
      <c r="E61" s="49">
        <f>MAX(C61:D61)</f>
        <v>0.73</v>
      </c>
      <c r="G61" s="1" t="str">
        <f>G55</f>
        <v>per 100 arrests</v>
      </c>
      <c r="L61" s="58">
        <f>IF(($E55&gt;0),L55,L54)</f>
        <v>100</v>
      </c>
      <c r="M61" s="58"/>
    </row>
    <row r="62" spans="2:18" ht="15" hidden="1" customHeight="1">
      <c r="B62" s="49" t="str">
        <f t="shared" si="11"/>
        <v>per 100 referrals</v>
      </c>
      <c r="C62" s="49">
        <f t="shared" si="11"/>
        <v>1.24</v>
      </c>
      <c r="D62" s="49">
        <f t="shared" si="11"/>
        <v>0</v>
      </c>
      <c r="E62" s="49">
        <f>MAX(C62:D62)</f>
        <v>1.24</v>
      </c>
      <c r="G62" s="1" t="str">
        <f>G56</f>
        <v>per 100 referrals</v>
      </c>
      <c r="L62" s="58">
        <f>IF(($E56&gt;0),L56,L55)</f>
        <v>100</v>
      </c>
      <c r="M62" s="58"/>
    </row>
    <row r="63" spans="2:18" ht="15" hidden="1" customHeight="1">
      <c r="B63" s="49" t="str">
        <f>IF(($E57&gt;0),B57,B55)</f>
        <v>per 100 youth petitioned</v>
      </c>
      <c r="C63" s="49">
        <f>IF(($E57&gt;0),C57,C56)</f>
        <v>1.1399999999999999</v>
      </c>
      <c r="D63" s="49">
        <f>IF(($E57&gt;0),D57,D56)</f>
        <v>0</v>
      </c>
      <c r="E63" s="49">
        <f>MAX(C63:D63)</f>
        <v>1.1399999999999999</v>
      </c>
      <c r="G63" s="1" t="str">
        <f>G57</f>
        <v>per 100 youth petitioned</v>
      </c>
      <c r="L63" s="58">
        <f>IF(($E57&gt;0),L57,L56)</f>
        <v>100</v>
      </c>
      <c r="M63" s="58"/>
    </row>
    <row r="64" spans="2:18" ht="15" hidden="1" customHeight="1">
      <c r="B64" s="49" t="str">
        <f>IF(($E58&gt;0),B58,B57)</f>
        <v>per 100 youth found delinquent</v>
      </c>
      <c r="C64" s="49">
        <f>IF(($E58&gt;0),C58,C57)</f>
        <v>1.0900000000000001</v>
      </c>
      <c r="D64" s="49">
        <f>IF(($E58&gt;0),D58,D57)</f>
        <v>0</v>
      </c>
      <c r="E64" s="56">
        <f>MAX(C64:D64)</f>
        <v>1.0900000000000001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10.914</v>
      </c>
      <c r="D66" s="56">
        <f>D60</f>
        <v>0</v>
      </c>
      <c r="E66" s="56">
        <f>MAX(C66:D66)</f>
        <v>10.914</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0.01</v>
      </c>
      <c r="E67" s="49">
        <f>MAX(C67:D67)</f>
        <v>0.73</v>
      </c>
      <c r="G67" s="1" t="str">
        <f>G61</f>
        <v>per 100 arrests</v>
      </c>
      <c r="L67" s="58">
        <f>IF(($E61&gt;0),L61,L60)</f>
        <v>100</v>
      </c>
      <c r="M67" s="58">
        <f>IF((B67=G67),1,2)</f>
        <v>1</v>
      </c>
    </row>
    <row r="68" spans="2:13" ht="15" hidden="1" customHeight="1">
      <c r="B68" s="49" t="str">
        <f t="shared" si="12"/>
        <v>per 100 referrals</v>
      </c>
      <c r="C68" s="49">
        <f t="shared" si="12"/>
        <v>1.24</v>
      </c>
      <c r="D68" s="49">
        <f t="shared" si="12"/>
        <v>0</v>
      </c>
      <c r="E68" s="49">
        <f>MAX(C68:D68)</f>
        <v>1.24</v>
      </c>
      <c r="G68" s="1" t="str">
        <f>G62</f>
        <v>per 100 referrals</v>
      </c>
      <c r="L68" s="58">
        <f>IF(($E62&gt;0),L62,L61)</f>
        <v>100</v>
      </c>
      <c r="M68" s="58">
        <f>IF((B68=G68),1,2)</f>
        <v>1</v>
      </c>
    </row>
    <row r="69" spans="2:13" ht="15" hidden="1" customHeight="1">
      <c r="B69" s="49" t="str">
        <f>IF(($E63&gt;0),B63,B61)</f>
        <v>per 100 youth petitioned</v>
      </c>
      <c r="C69" s="49">
        <f>IF(($E63&gt;0),C63,C62)</f>
        <v>1.1399999999999999</v>
      </c>
      <c r="D69" s="49">
        <f>IF(($E63&gt;0),D63,D62)</f>
        <v>0</v>
      </c>
      <c r="E69" s="49">
        <f>MAX(C69:D69)</f>
        <v>1.1399999999999999</v>
      </c>
      <c r="G69" s="1" t="str">
        <f>G63</f>
        <v>per 100 youth petitioned</v>
      </c>
      <c r="L69" s="58">
        <f>IF(($E63&gt;0),L63,L62)</f>
        <v>100</v>
      </c>
      <c r="M69" s="58">
        <f>IF((B69=G69),1,2)</f>
        <v>1</v>
      </c>
    </row>
    <row r="70" spans="2:13" ht="15" hidden="1" customHeight="1">
      <c r="B70" s="49" t="str">
        <f>IF(($E64&gt;0),B64,B63)</f>
        <v>per 100 youth found delinquent</v>
      </c>
      <c r="C70" s="49">
        <f>IF(($E64&gt;0),C64,C63)</f>
        <v>1.0900000000000001</v>
      </c>
      <c r="D70" s="49">
        <f>IF(($E64&gt;0),D64,D63)</f>
        <v>0</v>
      </c>
      <c r="E70" s="56">
        <f>MAX(C70:D70)</f>
        <v>1.0900000000000001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Saginaw</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10914</v>
      </c>
      <c r="D6" s="34"/>
      <c r="E6" s="33">
        <f>'Data Entry'!H6</f>
        <v>88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73</v>
      </c>
      <c r="D7" s="34">
        <f>IF((AND(C66&gt;0,C7&gt;0)),(C7/C66),0)</f>
        <v>6.6886567711196632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88</v>
      </c>
      <c r="P7" s="42">
        <f t="shared" ref="P7:P15" si="4">C7</f>
        <v>73</v>
      </c>
      <c r="Q7" s="42">
        <f>C6-C7</f>
        <v>10841</v>
      </c>
      <c r="R7" s="42">
        <f t="shared" ref="R7:R15" si="5">SUM(N7:Q7)</f>
        <v>11002</v>
      </c>
      <c r="S7" s="30">
        <f t="shared" ref="S7:S15" si="6">R7*((((N7*Q7)-(O7*P7))^2))</f>
        <v>454028071552</v>
      </c>
      <c r="T7" s="30">
        <f t="shared" ref="T7:T15" si="7">(N7+O7)*(P7+Q7)*(N7+P7)*(O7+Q7)</f>
        <v>766248976944</v>
      </c>
      <c r="U7" s="31">
        <f t="shared" ref="U7:U15" si="8">IF((S7&gt;0),S7/T7,"- -")</f>
        <v>0.59253334779353561</v>
      </c>
    </row>
    <row r="8" spans="2:21" ht="18" customHeight="1">
      <c r="B8" s="32" t="str">
        <f>'Data Entry'!A8</f>
        <v>3. Refer to Juvenile Court</v>
      </c>
      <c r="C8" s="33">
        <f>'Data Entry'!C8</f>
        <v>124</v>
      </c>
      <c r="D8" s="34">
        <f>IF((AND(C67&gt;0,C8&gt;0)),(C8/C67),0)</f>
        <v>169.86301369863014</v>
      </c>
      <c r="E8" s="33">
        <f>'Data Entry'!H8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124</v>
      </c>
      <c r="Q8" s="42">
        <f>(C$67*L67)-C8</f>
        <v>-51</v>
      </c>
      <c r="R8" s="42">
        <f t="shared" si="5"/>
        <v>73.05</v>
      </c>
      <c r="S8" s="30">
        <f t="shared" si="6"/>
        <v>1427692.1219999995</v>
      </c>
      <c r="T8" s="30">
        <f t="shared" si="7"/>
        <v>-24351.70500000002</v>
      </c>
      <c r="U8" s="31">
        <f t="shared" si="8"/>
        <v>-58.628014835100799</v>
      </c>
    </row>
    <row r="9" spans="2:21" ht="18" customHeight="1">
      <c r="B9" s="32" t="str">
        <f>'Data Entry'!A9</f>
        <v xml:space="preserve">4. Cases Diverted </v>
      </c>
      <c r="C9" s="33">
        <f>'Data Entry'!C9</f>
        <v>5</v>
      </c>
      <c r="D9" s="34">
        <f>IF((AND(C68&gt;0,C9&gt;0)),((C9/C68)),0)</f>
        <v>4.032258064516129</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5</v>
      </c>
      <c r="Q9" s="42">
        <f>(C$68*L68)-C9</f>
        <v>119</v>
      </c>
      <c r="R9" s="42">
        <f t="shared" si="5"/>
        <v>126</v>
      </c>
      <c r="S9" s="30">
        <f t="shared" si="6"/>
        <v>12600</v>
      </c>
      <c r="T9" s="30">
        <f t="shared" si="7"/>
        <v>150040</v>
      </c>
      <c r="U9" s="31">
        <f t="shared" si="8"/>
        <v>8.3977605971740865E-2</v>
      </c>
    </row>
    <row r="10" spans="2:21" ht="18" customHeight="1">
      <c r="B10" s="32" t="str">
        <f>'Data Entry'!A10</f>
        <v>5. Cases Involving Secure Detention</v>
      </c>
      <c r="C10" s="33">
        <f>'Data Entry'!C10</f>
        <v>80</v>
      </c>
      <c r="D10" s="34">
        <f>IF(((AND(C68&gt;0,C10&gt;0))),(C10/(C68)),0)</f>
        <v>64.516129032258064</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80</v>
      </c>
      <c r="Q10" s="42">
        <f>(C$68*L68)-C10</f>
        <v>44</v>
      </c>
      <c r="R10" s="42">
        <f t="shared" si="5"/>
        <v>126</v>
      </c>
      <c r="S10" s="30">
        <f t="shared" si="6"/>
        <v>3225600</v>
      </c>
      <c r="T10" s="30">
        <f t="shared" si="7"/>
        <v>912640</v>
      </c>
      <c r="U10" s="31">
        <f t="shared" si="8"/>
        <v>3.5343618513323984</v>
      </c>
    </row>
    <row r="11" spans="2:21" ht="18" customHeight="1">
      <c r="B11" s="32" t="str">
        <f>'Data Entry'!A11</f>
        <v>6. Cases Petitioned (Charge Filed)</v>
      </c>
      <c r="C11" s="33">
        <f>'Data Entry'!C11</f>
        <v>114</v>
      </c>
      <c r="D11" s="34">
        <f>IF(((AND(C68&gt;0,C11&gt;0))),(C11/(C68)),0)</f>
        <v>91.935483870967744</v>
      </c>
      <c r="E11" s="33">
        <f>'Data Entry'!H11</f>
        <v>2</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0</v>
      </c>
      <c r="P11" s="42">
        <f t="shared" si="4"/>
        <v>114</v>
      </c>
      <c r="Q11" s="42">
        <f>(C$68*L68)-C11</f>
        <v>10</v>
      </c>
      <c r="R11" s="42">
        <f t="shared" si="5"/>
        <v>126</v>
      </c>
      <c r="S11" s="30">
        <f t="shared" si="6"/>
        <v>50400</v>
      </c>
      <c r="T11" s="30">
        <f t="shared" si="7"/>
        <v>287680</v>
      </c>
      <c r="U11" s="31">
        <f t="shared" si="8"/>
        <v>0.17519466073414905</v>
      </c>
    </row>
    <row r="12" spans="2:21" ht="18" customHeight="1">
      <c r="B12" s="32" t="str">
        <f>'Data Entry'!A12</f>
        <v>7. Cases Resulting in Delinquent Findings</v>
      </c>
      <c r="C12" s="33">
        <f>'Data Entry'!C12</f>
        <v>109</v>
      </c>
      <c r="D12" s="34">
        <f>IF(((AND(C69&gt;0,C12&gt;0))),(C12/(C69)),0)</f>
        <v>95.614035087719301</v>
      </c>
      <c r="E12" s="33">
        <f>'Data Entry'!H12</f>
        <v>1</v>
      </c>
      <c r="F12" s="34">
        <f>IF(((AND($D$69&gt;0,$E$12&gt;0))),(E12/(D69)),0)</f>
        <v>50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1</v>
      </c>
      <c r="O12" s="42">
        <f>(D69*L69)-E12</f>
        <v>1</v>
      </c>
      <c r="P12" s="42">
        <f t="shared" si="4"/>
        <v>109</v>
      </c>
      <c r="Q12" s="42">
        <f>(C69*L69)-C12</f>
        <v>4.9999999999999858</v>
      </c>
      <c r="R12" s="42">
        <f t="shared" si="5"/>
        <v>115.99999999999999</v>
      </c>
      <c r="S12" s="30">
        <f t="shared" si="6"/>
        <v>1254656.0000000002</v>
      </c>
      <c r="T12" s="30">
        <f t="shared" si="7"/>
        <v>150479.99999999962</v>
      </c>
      <c r="U12" s="31">
        <f t="shared" si="8"/>
        <v>8.3376927166401078</v>
      </c>
    </row>
    <row r="13" spans="2:21" ht="18" customHeight="1">
      <c r="B13" s="32" t="str">
        <f>'Data Entry'!A13</f>
        <v>8. Cases Resulting in Probation Placement</v>
      </c>
      <c r="C13" s="33">
        <f>'Data Entry'!C13</f>
        <v>106</v>
      </c>
      <c r="D13" s="34">
        <f>IF(((AND(C70&gt;0,C13&gt;0))),(C13/(C70)),0)</f>
        <v>97.247706422018339</v>
      </c>
      <c r="E13" s="33">
        <f>'Data Entry'!H13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106</v>
      </c>
      <c r="Q13" s="42">
        <f>(C70*L70)-C13</f>
        <v>3.0000000000000142</v>
      </c>
      <c r="R13" s="42">
        <f t="shared" si="5"/>
        <v>110.00000000000001</v>
      </c>
      <c r="S13" s="30">
        <f t="shared" si="6"/>
        <v>990.00000000000955</v>
      </c>
      <c r="T13" s="30">
        <f t="shared" si="7"/>
        <v>34989.000000000175</v>
      </c>
      <c r="U13" s="31">
        <f t="shared" si="8"/>
        <v>2.8294606876447016E-2</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109.00000000000001</v>
      </c>
      <c r="R14" s="42">
        <f t="shared" si="5"/>
        <v>110.00000000000001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113.99999999999999</v>
      </c>
      <c r="R15" s="42">
        <f t="shared" si="5"/>
        <v>115.99999999999999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10.914</v>
      </c>
      <c r="D42" s="56">
        <f>E6/1000</f>
        <v>8.7999999999999995E-2</v>
      </c>
      <c r="E42" s="56">
        <f>MAX(C42:D42)</f>
        <v>10.914</v>
      </c>
      <c r="G42" s="1" t="str">
        <f>B42</f>
        <v>per 1000 youth</v>
      </c>
      <c r="L42" s="57">
        <v>1000</v>
      </c>
      <c r="M42" s="57"/>
      <c r="R42" s="49"/>
    </row>
    <row r="43" spans="2:18" ht="15" hidden="1" customHeight="1">
      <c r="B43" s="49" t="s">
        <v>87</v>
      </c>
      <c r="C43" s="56">
        <f>C7/100</f>
        <v>0.73</v>
      </c>
      <c r="D43" s="56">
        <f>E7/100</f>
        <v>0</v>
      </c>
      <c r="E43" s="56">
        <f>MAX(C43:D43,0)</f>
        <v>0.73</v>
      </c>
      <c r="G43" s="1" t="str">
        <f>B43</f>
        <v>per 100 arrests</v>
      </c>
      <c r="L43" s="57">
        <v>100</v>
      </c>
      <c r="M43" s="57"/>
      <c r="R43" s="49"/>
    </row>
    <row r="44" spans="2:18" ht="15" hidden="1" customHeight="1">
      <c r="B44" s="49" t="s">
        <v>88</v>
      </c>
      <c r="C44" s="56">
        <f>C8/100</f>
        <v>1.24</v>
      </c>
      <c r="D44" s="56">
        <f>E8/100</f>
        <v>0.02</v>
      </c>
      <c r="E44" s="56">
        <f>MAX(C44:D44,0)</f>
        <v>1.24</v>
      </c>
      <c r="G44" s="1" t="str">
        <f>B44</f>
        <v>per 100 referrals</v>
      </c>
      <c r="L44" s="57">
        <v>100</v>
      </c>
      <c r="M44" s="57"/>
      <c r="R44" s="49"/>
    </row>
    <row r="45" spans="2:18" ht="15" hidden="1" customHeight="1">
      <c r="B45" s="49" t="s">
        <v>89</v>
      </c>
      <c r="C45" s="49">
        <f>C11/100</f>
        <v>1.1399999999999999</v>
      </c>
      <c r="D45" s="49">
        <f>E11/100</f>
        <v>0.02</v>
      </c>
      <c r="E45" s="56">
        <f>MAX(C45:D45,0)</f>
        <v>1.1399999999999999</v>
      </c>
      <c r="G45" s="1" t="str">
        <f>B45</f>
        <v>per 100 youth petitioned</v>
      </c>
      <c r="L45" s="57">
        <v>100</v>
      </c>
      <c r="M45" s="57"/>
      <c r="R45" s="49"/>
    </row>
    <row r="46" spans="2:18" ht="15" hidden="1" customHeight="1">
      <c r="B46" s="49" t="s">
        <v>90</v>
      </c>
      <c r="C46" s="49">
        <f>C12/100</f>
        <v>1.0900000000000001</v>
      </c>
      <c r="D46" s="49">
        <f>E12/100</f>
        <v>0.01</v>
      </c>
      <c r="E46" s="56">
        <f>MAX(C46:D46)</f>
        <v>1.0900000000000001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10.914</v>
      </c>
      <c r="D48" s="56">
        <f>D42</f>
        <v>8.7999999999999995E-2</v>
      </c>
      <c r="E48" s="56">
        <f>MAX(C48:D48)</f>
        <v>10.914</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0.73</v>
      </c>
      <c r="D49" s="49">
        <f t="shared" si="9"/>
        <v>0</v>
      </c>
      <c r="E49" s="49">
        <f>MAX(C49:D49)</f>
        <v>0.73</v>
      </c>
      <c r="G49" s="1" t="str">
        <f>G43</f>
        <v>per 100 arrests</v>
      </c>
      <c r="L49" s="58">
        <f>IF(($E43&gt;0),L43,L42)</f>
        <v>100</v>
      </c>
      <c r="M49" s="58"/>
      <c r="N49" s="21"/>
      <c r="O49" s="21"/>
      <c r="P49" s="21"/>
      <c r="Q49" s="21"/>
      <c r="R49" s="21"/>
    </row>
    <row r="50" spans="2:18" ht="15" hidden="1" customHeight="1">
      <c r="B50" s="49" t="str">
        <f t="shared" si="9"/>
        <v>per 100 referrals</v>
      </c>
      <c r="C50" s="49">
        <f t="shared" si="9"/>
        <v>1.24</v>
      </c>
      <c r="D50" s="49">
        <f t="shared" si="9"/>
        <v>0.02</v>
      </c>
      <c r="E50" s="49">
        <f>MAX(C50:D50)</f>
        <v>1.24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1.1399999999999999</v>
      </c>
      <c r="D51" s="49">
        <f>IF(($E45&gt;0),D45,D44)</f>
        <v>0.02</v>
      </c>
      <c r="E51" s="49">
        <f>MAX(C51:D51)</f>
        <v>1.1399999999999999</v>
      </c>
      <c r="G51" s="1" t="str">
        <f>G45</f>
        <v>per 100 youth petitioned</v>
      </c>
      <c r="L51" s="58">
        <f>IF(($E45&gt;0),L45,L44)</f>
        <v>100</v>
      </c>
      <c r="M51" s="58"/>
    </row>
    <row r="52" spans="2:18" ht="15" hidden="1" customHeight="1">
      <c r="B52" s="49" t="str">
        <f>IF(($E46&gt;0),B46,B45)</f>
        <v>per 100 youth found delinquent</v>
      </c>
      <c r="C52" s="49">
        <f>IF(($E46&gt;0),C46,C45)</f>
        <v>1.0900000000000001</v>
      </c>
      <c r="D52" s="49">
        <f>IF(($E46&gt;0),D46,D45)</f>
        <v>0.01</v>
      </c>
      <c r="E52" s="56">
        <f>MAX(C52:D52)</f>
        <v>1.0900000000000001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10.914</v>
      </c>
      <c r="D54" s="56">
        <f>D48</f>
        <v>8.7999999999999995E-2</v>
      </c>
      <c r="E54" s="56">
        <f>MAX(C54:D54)</f>
        <v>10.914</v>
      </c>
      <c r="G54" s="1" t="str">
        <f>G48</f>
        <v>per 1000 youth</v>
      </c>
      <c r="L54" s="58">
        <f>L48</f>
        <v>1000</v>
      </c>
      <c r="M54" s="58"/>
    </row>
    <row r="55" spans="2:18" ht="15" hidden="1" customHeight="1">
      <c r="B55" s="49" t="str">
        <f t="shared" ref="B55:D56" si="10">IF(($E49&gt;0),B49,B48)</f>
        <v>per 100 arrests</v>
      </c>
      <c r="C55" s="49">
        <f t="shared" si="10"/>
        <v>0.73</v>
      </c>
      <c r="D55" s="49">
        <f t="shared" si="10"/>
        <v>0</v>
      </c>
      <c r="E55" s="49">
        <f>MAX(C55:D55)</f>
        <v>0.73</v>
      </c>
      <c r="G55" s="1" t="str">
        <f>G49</f>
        <v>per 100 arrests</v>
      </c>
      <c r="L55" s="58">
        <f>IF(($E49&gt;0),L49,L48)</f>
        <v>100</v>
      </c>
      <c r="M55" s="58"/>
    </row>
    <row r="56" spans="2:18" ht="15" hidden="1" customHeight="1">
      <c r="B56" s="49" t="str">
        <f t="shared" si="10"/>
        <v>per 100 referrals</v>
      </c>
      <c r="C56" s="49">
        <f t="shared" si="10"/>
        <v>1.24</v>
      </c>
      <c r="D56" s="49">
        <f t="shared" si="10"/>
        <v>0.02</v>
      </c>
      <c r="E56" s="49">
        <f>MAX(C56:D56)</f>
        <v>1.24</v>
      </c>
      <c r="G56" s="1" t="str">
        <f>G50</f>
        <v>per 100 referrals</v>
      </c>
      <c r="L56" s="58">
        <f>IF(($E50&gt;0),L50,L49)</f>
        <v>100</v>
      </c>
      <c r="M56" s="58"/>
    </row>
    <row r="57" spans="2:18" ht="15" hidden="1" customHeight="1">
      <c r="B57" s="49" t="str">
        <f>IF(($E51&gt;0),B51,B49)</f>
        <v>per 100 youth petitioned</v>
      </c>
      <c r="C57" s="49">
        <f>IF(($E51&gt;0),C51,C50)</f>
        <v>1.1399999999999999</v>
      </c>
      <c r="D57" s="49">
        <f>IF(($E51&gt;0),D51,D50)</f>
        <v>0.02</v>
      </c>
      <c r="E57" s="49">
        <f>MAX(C57:D57)</f>
        <v>1.1399999999999999</v>
      </c>
      <c r="G57" s="1" t="str">
        <f>G51</f>
        <v>per 100 youth petitioned</v>
      </c>
      <c r="L57" s="58">
        <f>IF(($E51&gt;0),L51,L50)</f>
        <v>100</v>
      </c>
      <c r="M57" s="58"/>
    </row>
    <row r="58" spans="2:18" ht="15" hidden="1" customHeight="1">
      <c r="B58" s="49" t="str">
        <f>IF(($E52&gt;0),B52,B51)</f>
        <v>per 100 youth found delinquent</v>
      </c>
      <c r="C58" s="49">
        <f>IF(($E52&gt;0),C52,C51)</f>
        <v>1.0900000000000001</v>
      </c>
      <c r="D58" s="49">
        <f>IF(($E52&gt;0),D52,D51)</f>
        <v>0.01</v>
      </c>
      <c r="E58" s="56">
        <f>MAX(C58:D58)</f>
        <v>1.0900000000000001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10.914</v>
      </c>
      <c r="D60" s="56">
        <f>D54</f>
        <v>8.7999999999999995E-2</v>
      </c>
      <c r="E60" s="56">
        <f>MAX(C60:D60)</f>
        <v>10.914</v>
      </c>
      <c r="G60" s="1" t="str">
        <f>G54</f>
        <v>per 1000 youth</v>
      </c>
      <c r="L60" s="58">
        <f>L54</f>
        <v>1000</v>
      </c>
      <c r="M60" s="58"/>
    </row>
    <row r="61" spans="2:18" ht="15" hidden="1" customHeight="1">
      <c r="B61" s="49" t="str">
        <f t="shared" ref="B61:D62" si="11">IF(($E55&gt;0),B55,B54)</f>
        <v>per 100 arrests</v>
      </c>
      <c r="C61" s="49">
        <f t="shared" si="11"/>
        <v>0.73</v>
      </c>
      <c r="D61" s="49">
        <f t="shared" si="11"/>
        <v>0</v>
      </c>
      <c r="E61" s="49">
        <f>MAX(C61:D61)</f>
        <v>0.73</v>
      </c>
      <c r="G61" s="1" t="str">
        <f>G55</f>
        <v>per 100 arrests</v>
      </c>
      <c r="L61" s="58">
        <f>IF(($E55&gt;0),L55,L54)</f>
        <v>100</v>
      </c>
      <c r="M61" s="58"/>
    </row>
    <row r="62" spans="2:18" ht="15" hidden="1" customHeight="1">
      <c r="B62" s="49" t="str">
        <f t="shared" si="11"/>
        <v>per 100 referrals</v>
      </c>
      <c r="C62" s="49">
        <f t="shared" si="11"/>
        <v>1.24</v>
      </c>
      <c r="D62" s="49">
        <f t="shared" si="11"/>
        <v>0.02</v>
      </c>
      <c r="E62" s="49">
        <f>MAX(C62:D62)</f>
        <v>1.24</v>
      </c>
      <c r="G62" s="1" t="str">
        <f>G56</f>
        <v>per 100 referrals</v>
      </c>
      <c r="L62" s="58">
        <f>IF(($E56&gt;0),L56,L55)</f>
        <v>100</v>
      </c>
      <c r="M62" s="58"/>
    </row>
    <row r="63" spans="2:18" ht="15" hidden="1" customHeight="1">
      <c r="B63" s="49" t="str">
        <f>IF(($E57&gt;0),B57,B55)</f>
        <v>per 100 youth petitioned</v>
      </c>
      <c r="C63" s="49">
        <f>IF(($E57&gt;0),C57,C56)</f>
        <v>1.1399999999999999</v>
      </c>
      <c r="D63" s="49">
        <f>IF(($E57&gt;0),D57,D56)</f>
        <v>0.02</v>
      </c>
      <c r="E63" s="49">
        <f>MAX(C63:D63)</f>
        <v>1.1399999999999999</v>
      </c>
      <c r="G63" s="1" t="str">
        <f>G57</f>
        <v>per 100 youth petitioned</v>
      </c>
      <c r="L63" s="58">
        <f>IF(($E57&gt;0),L57,L56)</f>
        <v>100</v>
      </c>
      <c r="M63" s="58"/>
    </row>
    <row r="64" spans="2:18" ht="15" hidden="1" customHeight="1">
      <c r="B64" s="49" t="str">
        <f>IF(($E58&gt;0),B58,B57)</f>
        <v>per 100 youth found delinquent</v>
      </c>
      <c r="C64" s="49">
        <f>IF(($E58&gt;0),C58,C57)</f>
        <v>1.0900000000000001</v>
      </c>
      <c r="D64" s="49">
        <f>IF(($E58&gt;0),D58,D57)</f>
        <v>0.01</v>
      </c>
      <c r="E64" s="56">
        <f>MAX(C64:D64)</f>
        <v>1.0900000000000001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10.914</v>
      </c>
      <c r="D66" s="56">
        <f>D60</f>
        <v>8.7999999999999995E-2</v>
      </c>
      <c r="E66" s="56">
        <f>MAX(C66:D66)</f>
        <v>10.914</v>
      </c>
      <c r="G66" s="1" t="str">
        <f>G60</f>
        <v>per 1000 youth</v>
      </c>
      <c r="L66" s="58">
        <f>L60</f>
        <v>1000</v>
      </c>
      <c r="M66" s="58">
        <f>IF((B66=G66),1,2)</f>
        <v>1</v>
      </c>
    </row>
    <row r="67" spans="2:13" ht="15" hidden="1" customHeight="1">
      <c r="B67" s="49" t="str">
        <f t="shared" ref="B67:D68" si="12">IF(($E61&gt;0),B61,B60)</f>
        <v>per 100 arrests</v>
      </c>
      <c r="C67" s="49">
        <f t="shared" si="12"/>
        <v>0.73</v>
      </c>
      <c r="D67" s="49">
        <f t="shared" si="12"/>
        <v>0</v>
      </c>
      <c r="E67" s="49">
        <f>MAX(C67:D67)</f>
        <v>0.73</v>
      </c>
      <c r="G67" s="1" t="str">
        <f>G61</f>
        <v>per 100 arrests</v>
      </c>
      <c r="L67" s="58">
        <f>IF(($E61&gt;0),L61,L60)</f>
        <v>100</v>
      </c>
      <c r="M67" s="58">
        <f>IF((B67=G67),1,2)</f>
        <v>1</v>
      </c>
    </row>
    <row r="68" spans="2:13" ht="15" hidden="1" customHeight="1">
      <c r="B68" s="49" t="str">
        <f t="shared" si="12"/>
        <v>per 100 referrals</v>
      </c>
      <c r="C68" s="49">
        <f t="shared" si="12"/>
        <v>1.24</v>
      </c>
      <c r="D68" s="49">
        <f t="shared" si="12"/>
        <v>0.02</v>
      </c>
      <c r="E68" s="49">
        <f>MAX(C68:D68)</f>
        <v>1.24</v>
      </c>
      <c r="G68" s="1" t="str">
        <f>G62</f>
        <v>per 100 referrals</v>
      </c>
      <c r="L68" s="58">
        <f>IF(($E62&gt;0),L62,L61)</f>
        <v>100</v>
      </c>
      <c r="M68" s="58">
        <f>IF((B68=G68),1,2)</f>
        <v>1</v>
      </c>
    </row>
    <row r="69" spans="2:13" ht="15" hidden="1" customHeight="1">
      <c r="B69" s="49" t="str">
        <f>IF(($E63&gt;0),B63,B61)</f>
        <v>per 100 youth petitioned</v>
      </c>
      <c r="C69" s="49">
        <f>IF(($E63&gt;0),C63,C62)</f>
        <v>1.1399999999999999</v>
      </c>
      <c r="D69" s="49">
        <f>IF(($E63&gt;0),D63,D62)</f>
        <v>0.02</v>
      </c>
      <c r="E69" s="49">
        <f>MAX(C69:D69)</f>
        <v>1.1399999999999999</v>
      </c>
      <c r="G69" s="1" t="str">
        <f>G63</f>
        <v>per 100 youth petitioned</v>
      </c>
      <c r="L69" s="58">
        <f>IF(($E63&gt;0),L63,L62)</f>
        <v>100</v>
      </c>
      <c r="M69" s="58">
        <f>IF((B69=G69),1,2)</f>
        <v>1</v>
      </c>
    </row>
    <row r="70" spans="2:13" ht="15" hidden="1" customHeight="1">
      <c r="B70" s="49" t="str">
        <f>IF(($E64&gt;0),B64,B63)</f>
        <v>per 100 youth found delinquent</v>
      </c>
      <c r="C70" s="49">
        <f>IF(($E64&gt;0),C64,C63)</f>
        <v>1.0900000000000001</v>
      </c>
      <c r="D70" s="49">
        <f>IF(($E64&gt;0),D64,D63)</f>
        <v>0.01</v>
      </c>
      <c r="E70" s="56">
        <f>MAX(C70:D70)</f>
        <v>1.0900000000000001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U47JMPN4QEAR-1806752177-35392</_dlc_DocId>
    <_dlc_DocIdUrl xmlns="ac3811b5-0f3e-49e2-ba69-f2ffa0c782af">
      <Url>https://michiganphi.sharepoint.com/sites/CMDMC/_layouts/15/DocIdRedir.aspx?ID=U47JMPN4QEAR-1806752177-35392</Url>
      <Description>U47JMPN4QEAR-1806752177-35392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75DEAB-F499-4C84-A756-3A890C55D7CE}"/>
</file>

<file path=customXml/itemProps2.xml><?xml version="1.0" encoding="utf-8"?>
<ds:datastoreItem xmlns:ds="http://schemas.openxmlformats.org/officeDocument/2006/customXml" ds:itemID="{C293C133-3E29-43D2-9C55-E7AB9C3BB978}">
  <ds:schemaRefs>
    <ds:schemaRef ds:uri="http://schemas.microsoft.com/sharepoint/v3/contenttype/forms"/>
  </ds:schemaRefs>
</ds:datastoreItem>
</file>

<file path=customXml/itemProps3.xml><?xml version="1.0" encoding="utf-8"?>
<ds:datastoreItem xmlns:ds="http://schemas.openxmlformats.org/officeDocument/2006/customXml" ds:itemID="{B1352221-E73F-427C-A86A-441C4E97A0C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77372B99-4F82-4480-A439-0BEDB47570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737bde42-aa53-4e6b-901f-764135fac4f7</vt:lpwstr>
  </property>
</Properties>
</file>