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3" documentId="8_{69BD53F0-4B44-45E1-96D9-C4C98222C240}" xr6:coauthVersionLast="47" xr6:coauthVersionMax="47" xr10:uidLastSave="{6CE7B187-DB84-4DB0-8E85-6AD884578120}"/>
  <bookViews>
    <workbookView xWindow="-120" yWindow="-120" windowWidth="29040" windowHeight="158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51" i="5" s="1"/>
  <c r="G57" i="5" s="1"/>
  <c r="G63" i="5" s="1"/>
  <c r="G69" i="5" s="1"/>
  <c r="G46" i="5"/>
  <c r="G52" i="5" s="1"/>
  <c r="G58" i="5" s="1"/>
  <c r="G64" i="5" s="1"/>
  <c r="G70" i="5" s="1"/>
  <c r="G48" i="5"/>
  <c r="G54" i="5"/>
  <c r="G60" i="5"/>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M66" i="7"/>
  <c r="F27" i="7"/>
  <c r="F27" i="6"/>
  <c r="M66" i="6"/>
  <c r="F27" i="2"/>
  <c r="M66" i="2"/>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N9" i="3"/>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L52" i="3" s="1"/>
  <c r="E43" i="7"/>
  <c r="L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64" i="5"/>
  <c r="L64" i="5"/>
  <c r="E58" i="8"/>
  <c r="L64" i="8" s="1"/>
  <c r="D64" i="5"/>
  <c r="L64" i="3"/>
  <c r="B56" i="8"/>
  <c r="L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D64" i="8"/>
  <c r="C64" i="8"/>
  <c r="E57" i="8"/>
  <c r="L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C63" i="8"/>
  <c r="D63" i="8"/>
  <c r="B63" i="8"/>
  <c r="L69" i="7"/>
  <c r="C69" i="7"/>
  <c r="D12" i="7" s="1"/>
  <c r="C70" i="6"/>
  <c r="D14" i="6" s="1"/>
  <c r="L70" i="6"/>
  <c r="D70" i="6"/>
  <c r="F14" i="6" s="1"/>
  <c r="C70" i="3"/>
  <c r="D14" i="3" s="1"/>
  <c r="E63" i="3"/>
  <c r="C69" i="3" s="1"/>
  <c r="D15" i="3" s="1"/>
  <c r="L70" i="3"/>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Q13" i="8" s="1"/>
  <c r="F13" i="6"/>
  <c r="D70" i="8"/>
  <c r="F13" i="8" s="1"/>
  <c r="B70" i="8"/>
  <c r="M70" i="8" s="1"/>
  <c r="E63" i="8"/>
  <c r="D69" i="8" s="1"/>
  <c r="F15" i="8" s="1"/>
  <c r="F14" i="3"/>
  <c r="D15" i="7"/>
  <c r="Q12" i="7"/>
  <c r="Q13" i="6"/>
  <c r="Q15" i="7"/>
  <c r="E70" i="3"/>
  <c r="Q14" i="6"/>
  <c r="D13" i="6"/>
  <c r="E70" i="6"/>
  <c r="O12" i="7"/>
  <c r="O13" i="6"/>
  <c r="O14" i="6"/>
  <c r="B69" i="6"/>
  <c r="M69" i="6" s="1"/>
  <c r="C69" i="6"/>
  <c r="D12" i="6" s="1"/>
  <c r="D12" i="3"/>
  <c r="E69" i="7"/>
  <c r="O15" i="7"/>
  <c r="Q14" i="3"/>
  <c r="O13" i="3"/>
  <c r="Q13" i="3"/>
  <c r="D13" i="3"/>
  <c r="F12" i="7"/>
  <c r="L69" i="3"/>
  <c r="Q12" i="3" s="1"/>
  <c r="D69" i="3"/>
  <c r="E69" i="3" s="1"/>
  <c r="B69" i="3"/>
  <c r="M69" i="3" s="1"/>
  <c r="F34" i="3"/>
  <c r="F33" i="3"/>
  <c r="O14" i="3"/>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B69" i="8"/>
  <c r="M69" i="8" s="1"/>
  <c r="E67" i="6"/>
  <c r="R13" i="4"/>
  <c r="S13" i="4" s="1"/>
  <c r="U13" i="4" s="1"/>
  <c r="J13" i="4" s="1"/>
  <c r="K9" i="4"/>
  <c r="R9" i="4"/>
  <c r="S9" i="4"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3" i="8" l="1"/>
  <c r="T13" i="8" s="1"/>
  <c r="D13" i="8"/>
  <c r="R13" i="8"/>
  <c r="S13" i="8" s="1"/>
  <c r="F12" i="8"/>
  <c r="D14" i="8"/>
  <c r="Q14" i="8"/>
  <c r="F14" i="8"/>
  <c r="E70" i="8"/>
  <c r="O14" i="8"/>
  <c r="F33" i="8"/>
  <c r="F34" i="8"/>
  <c r="C69" i="8"/>
  <c r="Q15" i="8" s="1"/>
  <c r="R15" i="8" s="1"/>
  <c r="S15" i="8" s="1"/>
  <c r="L69" i="8"/>
  <c r="O15" i="8" s="1"/>
  <c r="T13" i="6"/>
  <c r="T15" i="7"/>
  <c r="T12" i="7"/>
  <c r="K13" i="6"/>
  <c r="K12" i="7"/>
  <c r="D15" i="6"/>
  <c r="Q12" i="6"/>
  <c r="Q15" i="6"/>
  <c r="K14" i="6"/>
  <c r="R12" i="7"/>
  <c r="S12" i="7" s="1"/>
  <c r="R13" i="6"/>
  <c r="S13" i="6" s="1"/>
  <c r="U13" i="6" s="1"/>
  <c r="J13" i="6" s="1"/>
  <c r="M13" i="6" s="1"/>
  <c r="G13" i="6" s="1"/>
  <c r="M14" i="13" s="1"/>
  <c r="Q15" i="3"/>
  <c r="R14" i="6"/>
  <c r="S14" i="6" s="1"/>
  <c r="U14" i="6" s="1"/>
  <c r="J14" i="6" s="1"/>
  <c r="M14" i="6" s="1"/>
  <c r="G14" i="6" s="1"/>
  <c r="M15" i="13" s="1"/>
  <c r="F15" i="3"/>
  <c r="F12" i="3"/>
  <c r="T14" i="6"/>
  <c r="K14" i="3"/>
  <c r="O15" i="3"/>
  <c r="F32" i="6"/>
  <c r="F35" i="6"/>
  <c r="R14" i="3"/>
  <c r="S14" i="3" s="1"/>
  <c r="U14" i="3" s="1"/>
  <c r="J14" i="3" s="1"/>
  <c r="M14" i="3" s="1"/>
  <c r="G14" i="3" s="1"/>
  <c r="I15" i="16" s="1"/>
  <c r="T14" i="3"/>
  <c r="U14" i="4"/>
  <c r="J14" i="4" s="1"/>
  <c r="L14" i="4" s="1"/>
  <c r="O15" i="16" s="1"/>
  <c r="U9" i="4"/>
  <c r="J9" i="4" s="1"/>
  <c r="M9" i="4" s="1"/>
  <c r="G9" i="4" s="1"/>
  <c r="G10" i="16" s="1"/>
  <c r="U10" i="4"/>
  <c r="J10" i="4" s="1"/>
  <c r="M10" i="4" s="1"/>
  <c r="G10" i="4" s="1"/>
  <c r="G11" i="16" s="1"/>
  <c r="K13" i="3"/>
  <c r="R15" i="7"/>
  <c r="S15" i="7" s="1"/>
  <c r="U15" i="7" s="1"/>
  <c r="J15" i="7" s="1"/>
  <c r="K15" i="7"/>
  <c r="R13" i="3"/>
  <c r="S13" i="3" s="1"/>
  <c r="U13" i="3" s="1"/>
  <c r="J13" i="3" s="1"/>
  <c r="M13" i="3" s="1"/>
  <c r="G13" i="3" s="1"/>
  <c r="F35" i="3"/>
  <c r="T13" i="3"/>
  <c r="O12" i="3"/>
  <c r="R12" i="3" s="1"/>
  <c r="S12" i="3" s="1"/>
  <c r="U12" i="3" s="1"/>
  <c r="J12" i="3" s="1"/>
  <c r="F32" i="3"/>
  <c r="O12" i="6"/>
  <c r="E69" i="6"/>
  <c r="O15" i="6"/>
  <c r="F15" i="6"/>
  <c r="L13" i="4"/>
  <c r="O14" i="16" s="1"/>
  <c r="L11" i="4"/>
  <c r="O12" i="16" s="1"/>
  <c r="K8" i="7"/>
  <c r="O13" i="2"/>
  <c r="O12" i="8"/>
  <c r="F35" i="8"/>
  <c r="T8" i="7"/>
  <c r="U8" i="7" s="1"/>
  <c r="J8" i="7" s="1"/>
  <c r="M8" i="7" s="1"/>
  <c r="T13" i="7"/>
  <c r="F32" i="8"/>
  <c r="Q10" i="7"/>
  <c r="F13" i="2"/>
  <c r="Q11" i="7"/>
  <c r="R8" i="6"/>
  <c r="S8" i="6" s="1"/>
  <c r="F14" i="2"/>
  <c r="E69" i="8"/>
  <c r="F10" i="7"/>
  <c r="L10" i="3"/>
  <c r="P11" i="16" s="1"/>
  <c r="F30" i="7"/>
  <c r="D12" i="8"/>
  <c r="M68" i="7"/>
  <c r="F29" i="7"/>
  <c r="F15" i="5"/>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K14" i="8"/>
  <c r="R14" i="8"/>
  <c r="S14" i="8" s="1"/>
  <c r="T14" i="8"/>
  <c r="D15" i="8"/>
  <c r="Q12" i="8"/>
  <c r="T12" i="8" s="1"/>
  <c r="U13" i="8"/>
  <c r="J13" i="8" s="1"/>
  <c r="M13" i="8" s="1"/>
  <c r="G13" i="8" s="1"/>
  <c r="I13" i="9" s="1"/>
  <c r="R15" i="3"/>
  <c r="S15" i="3" s="1"/>
  <c r="U15" i="3" s="1"/>
  <c r="J15" i="3" s="1"/>
  <c r="M15" i="3" s="1"/>
  <c r="G15" i="3" s="1"/>
  <c r="I16" i="16" s="1"/>
  <c r="T15" i="6"/>
  <c r="K12" i="6"/>
  <c r="K15" i="3"/>
  <c r="L12" i="7"/>
  <c r="S13" i="16" s="1"/>
  <c r="N30" i="4"/>
  <c r="L13" i="6"/>
  <c r="R14" i="16" s="1"/>
  <c r="M14" i="4"/>
  <c r="G14" i="4" s="1"/>
  <c r="G15" i="16" s="1"/>
  <c r="G13" i="9"/>
  <c r="T15" i="3"/>
  <c r="L10" i="4"/>
  <c r="O11" i="16" s="1"/>
  <c r="I15" i="13"/>
  <c r="E14" i="9"/>
  <c r="N30" i="3"/>
  <c r="L14" i="3"/>
  <c r="P15" i="16" s="1"/>
  <c r="K15" i="6"/>
  <c r="R15" i="6"/>
  <c r="S15" i="6" s="1"/>
  <c r="U15" i="6" s="1"/>
  <c r="J15" i="6" s="1"/>
  <c r="M15" i="6" s="1"/>
  <c r="G15" i="6" s="1"/>
  <c r="L13" i="3"/>
  <c r="P14" i="16" s="1"/>
  <c r="M12" i="7"/>
  <c r="G11" i="13"/>
  <c r="D9" i="9"/>
  <c r="L9" i="4"/>
  <c r="O10" i="16" s="1"/>
  <c r="U13" i="7"/>
  <c r="J13" i="7" s="1"/>
  <c r="M13" i="7" s="1"/>
  <c r="G10" i="13"/>
  <c r="L15" i="7"/>
  <c r="S16" i="16" s="1"/>
  <c r="T12" i="3"/>
  <c r="D10" i="9"/>
  <c r="U14" i="8"/>
  <c r="J14" i="8" s="1"/>
  <c r="N30" i="8" s="1"/>
  <c r="M15" i="7"/>
  <c r="K12" i="3"/>
  <c r="L12" i="3" s="1"/>
  <c r="P13" i="16" s="1"/>
  <c r="R12" i="6"/>
  <c r="S12" i="6" s="1"/>
  <c r="T12" i="6"/>
  <c r="M13" i="9"/>
  <c r="U14" i="13"/>
  <c r="U12" i="13"/>
  <c r="M11" i="9"/>
  <c r="T13" i="2"/>
  <c r="U8" i="6"/>
  <c r="J8" i="6" s="1"/>
  <c r="M8" i="6" s="1"/>
  <c r="G8" i="6" s="1"/>
  <c r="M9" i="13" s="1"/>
  <c r="R13" i="2"/>
  <c r="S13" i="2" s="1"/>
  <c r="T15" i="8"/>
  <c r="U15" i="8" s="1"/>
  <c r="J15" i="8" s="1"/>
  <c r="V11" i="13"/>
  <c r="G14" i="9"/>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N11" i="9"/>
  <c r="T15" i="5"/>
  <c r="W14" i="13"/>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E15" i="9" l="1"/>
  <c r="L15" i="3"/>
  <c r="P16" i="16" s="1"/>
  <c r="I16" i="13"/>
  <c r="K12" i="8"/>
  <c r="R12" i="8"/>
  <c r="S12" i="8" s="1"/>
  <c r="L13" i="8"/>
  <c r="T14" i="16" s="1"/>
  <c r="M10" i="9"/>
  <c r="N13" i="9"/>
  <c r="P13" i="9"/>
  <c r="X14" i="13"/>
  <c r="Y13" i="13"/>
  <c r="U11" i="13"/>
  <c r="L13" i="7"/>
  <c r="S14" i="16" s="1"/>
  <c r="Q12" i="9"/>
  <c r="N14" i="9"/>
  <c r="V15" i="13"/>
  <c r="G15" i="13"/>
  <c r="D14" i="9"/>
  <c r="U11" i="7"/>
  <c r="J11" i="7" s="1"/>
  <c r="M11" i="7" s="1"/>
  <c r="L15" i="6"/>
  <c r="R16" i="16" s="1"/>
  <c r="Y16" i="13"/>
  <c r="V14" i="13"/>
  <c r="U10" i="13"/>
  <c r="M9" i="9"/>
  <c r="Q15" i="9"/>
  <c r="U10" i="7"/>
  <c r="J10" i="7" s="1"/>
  <c r="M10" i="7" s="1"/>
  <c r="R13" i="9"/>
  <c r="U12" i="6"/>
  <c r="J12" i="6" s="1"/>
  <c r="K14" i="16"/>
  <c r="Q14" i="13"/>
  <c r="M14" i="8"/>
  <c r="G14" i="8" s="1"/>
  <c r="K15" i="16" s="1"/>
  <c r="L14" i="8"/>
  <c r="T15" i="16" s="1"/>
  <c r="U14" i="2"/>
  <c r="J14" i="2" s="1"/>
  <c r="M14" i="2" s="1"/>
  <c r="G14" i="2" s="1"/>
  <c r="E15" i="16" s="1"/>
  <c r="U13" i="2"/>
  <c r="J13" i="2" s="1"/>
  <c r="M13" i="2" s="1"/>
  <c r="G13" i="2" s="1"/>
  <c r="E14" i="16" s="1"/>
  <c r="U12" i="8"/>
  <c r="J12" i="8" s="1"/>
  <c r="L12" i="8" s="1"/>
  <c r="T13"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6" i="13" l="1"/>
  <c r="Z14" i="13"/>
  <c r="Q13" i="9"/>
  <c r="Y14" i="13"/>
  <c r="L11" i="7"/>
  <c r="S12" i="16" s="1"/>
  <c r="P15" i="9"/>
  <c r="L14" i="2"/>
  <c r="N15" i="16" s="1"/>
  <c r="L10" i="7"/>
  <c r="S11" i="16" s="1"/>
  <c r="N30" i="2"/>
  <c r="E15" i="13"/>
  <c r="L13" i="2"/>
  <c r="N14" i="16" s="1"/>
  <c r="E14" i="13"/>
  <c r="L12" i="6"/>
  <c r="M12" i="6"/>
  <c r="G12" i="6" s="1"/>
  <c r="Z15" i="13"/>
  <c r="R14" i="9"/>
  <c r="Q15" i="13"/>
  <c r="M12" i="8"/>
  <c r="G12" i="8" s="1"/>
  <c r="K13" i="16" s="1"/>
  <c r="I14" i="9"/>
  <c r="C14" i="9"/>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D15" i="9"/>
  <c r="G16" i="13"/>
  <c r="R12" i="9"/>
  <c r="Z13" i="13"/>
  <c r="M10" i="8"/>
  <c r="G10" i="8" s="1"/>
  <c r="K11" i="16" s="1"/>
  <c r="L10" i="8"/>
  <c r="T11" i="16" s="1"/>
  <c r="L11" i="8"/>
  <c r="T12" i="16" s="1"/>
  <c r="M11" i="8"/>
  <c r="G11" i="8" s="1"/>
  <c r="K12" i="16" s="1"/>
  <c r="T15" i="13" l="1"/>
  <c r="Y12" i="13"/>
  <c r="L14" i="9"/>
  <c r="Q10" i="9"/>
  <c r="Y11" i="13"/>
  <c r="T14" i="13"/>
  <c r="L13" i="9"/>
  <c r="R13" i="16"/>
  <c r="X13" i="13"/>
  <c r="P12" i="9"/>
  <c r="M13" i="13"/>
  <c r="G12"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<sst xmlns="http://schemas.openxmlformats.org/spreadsheetml/2006/main" count="654" uniqueCount="141">
  <si>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</si>
  <si>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</si>
  <si>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</si>
  <si>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</si>
  <si>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</si>
  <si>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</si>
  <si>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</si>
  <si>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</si>
  <si>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</si>
  <si>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</si>
  <si>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</si>
  <si>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</si>
  <si>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</si>
  <si>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</si>
  <si>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</si>
  <si>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</si>
  <si>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</si>
  <si>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</si>
  <si>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</si>
  <si>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</si>
  <si>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</si>
  <si>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</si>
  <si>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</si>
  <si>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</si>
  <si>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</si>
  <si>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</si>
  <si>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</si>
  <si>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</si>
  <si>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</si>
  <si>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</si>
  <si>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</si>
  <si>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</si>
  <si>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</si>
  <si>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</si>
  <si>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</si>
  <si>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</si>
  <si>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</si>
  <si>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</si>
  <si>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</si>
  <si>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</si>
  <si>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</si>
  <si>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</si>
  <si>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</si>
  <si>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</si>
  <si>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</si>
  <si>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</si>
  <si>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</si>
  <si>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</si>
  <si>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</si>
  <si>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</si>
  <si>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</si>
  <si>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</si>
  <si>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</si>
  <si>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</si>
  <si>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</si>
  <si>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</si>
  <si>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</si>
  <si>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</si>
  <si>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</si>
  <si>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</si>
  <si>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</si>
  <si>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</si>
  <si>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</si>
  <si>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</si>
  <si>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</si>
  <si>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</si>
  <si>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</si>
  <si>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</si>
  <si>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</si>
  <si>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</si>
  <si>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</si>
  <si>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</si>
  <si>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</si>
  <si>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</si>
  <si>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</si>
  <si>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</si>
  <si>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</si>
  <si>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</si>
  <si>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</si>
  <si>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</si>
  <si>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</si>
  <si>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</si>
  <si>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</si>
  <si>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</si>
  <si>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</si>
  <si>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</si>
  <si>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</si>
  <si>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</si>
  <si>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</si>
  <si>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</si>
  <si>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</si>
  <si>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</si>
  <si>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</si>
  <si>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</si>
  <si>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</si>
  <si>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</si>
  <si>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</si>
  <si>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</si>
  <si>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</si>
  <si>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</si>
  <si>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</si>
  <si>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</si>
  <si>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</si>
  <si>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</si>
  <si>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</si>
  <si>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</si>
  <si>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</si>
  <si>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</si>
  <si>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</si>
  <si>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</si>
  <si>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</si>
  <si>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</si>
  <si>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</si>
  <si>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</si>
  <si>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</si>
  <si>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</si>
  <si>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</si>
  <si>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</si>
  <si>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</si>
  <si>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</si>
  <si>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</si>
  <si>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</si>
  <si>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</si>
  <si>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</si>
  <si>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</si>
  <si>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</si>
  <si>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</si>
  <si>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</si>
  <si>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Saginaw</t>
  </si>
  <si>
    <t>Item 3.Referral: Saginaw County Juvenile Court</t>
  </si>
  <si>
    <t>Item 4.Diversion: Saginaw County Juvenile Court</t>
  </si>
  <si>
    <t>Item 5.Detention: Saginaw County Juvenile Court</t>
  </si>
  <si>
    <t>Item 6.Petitioned: Saginaw County Juvenile Court</t>
  </si>
  <si>
    <t>Item 7.Delinquent: Saginaw County Juvenile Court</t>
  </si>
  <si>
    <t>Item 8.Probation: Saginaw County Juvenile Court</t>
  </si>
  <si>
    <t>Item 9.Confinement: Saginaw County Juvenile Court</t>
  </si>
  <si>
    <t>Item 10.Transferred: Saginaw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</si>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</sst>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Saginaw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N=405</c:v>
                </c:pt>
                <c:pt idx="3">
                  <c:v>Petitions, total N=452</c:v>
                </c:pt>
                <c:pt idx="4">
                  <c:v>Detentions, total N=324</c:v>
                </c:pt>
                <c:pt idx="5">
                  <c:v>Referrals, total N=497</c:v>
                </c:pt>
                <c:pt idx="6">
                  <c:v>Arrests, total N=261</c:v>
                </c:pt>
                <c:pt idx="7">
                  <c:v>Population, total N=18512</c:v>
                </c:pt>
              </c:strCache>
            </c:strRef>
          </c:cat>
          <c:val>
            <c:numRef>
              <c:f>'Stacked 100%'!$B$7:$B$14</c:f>
              <c:numCache>
                <c:formatCode>0%</c:formatCode>
                <c:ptCount val="8"/>
                <c:pt idx="0">
                  <c:v>0</c:v>
                </c:pt>
                <c:pt idx="1">
                  <c:v>0</c:v>
                </c:pt>
                <c:pt idx="2">
                  <c:v>0.49876543209876545</c:v>
                </c:pt>
                <c:pt idx="3">
                  <c:v>0.51769911504424782</c:v>
                </c:pt>
                <c:pt idx="4">
                  <c:v>0.5771604938271605</c:v>
                </c:pt>
                <c:pt idx="5">
                  <c:v>0.51106639839034207</c:v>
                </c:pt>
                <c:pt idx="6">
                  <c:v>0.63218390804597702</c:v>
                </c:pt>
                <c:pt idx="7">
                  <c:v>0.24270743301642178</c:v>
                </c:pt>
              </c:numCache>
            </c:numRef>
          </c:val>
          <c:extLst>
            <c:ext xmlns:c16="http://schemas.microsoft.com/office/drawing/2014/chart" uri="{C3380CC4-5D6E-409C-BE32-E72D297353CC}">
              <c16:uniqueId val="{00000000-F21A-4E58-B105-9235015DD4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N=405</c:v>
                </c:pt>
                <c:pt idx="3">
                  <c:v>Petitions, total N=452</c:v>
                </c:pt>
                <c:pt idx="4">
                  <c:v>Detentions, total N=324</c:v>
                </c:pt>
                <c:pt idx="5">
                  <c:v>Referrals, total N=497</c:v>
                </c:pt>
                <c:pt idx="6">
                  <c:v>Arrests, total N=261</c:v>
                </c:pt>
                <c:pt idx="7">
                  <c:v>Population, total N=18512</c:v>
                </c:pt>
              </c:strCache>
            </c:strRef>
          </c:cat>
          <c:val>
            <c:numRef>
              <c:f>'Stacked 100%'!$C$7:$C$14</c:f>
              <c:numCache>
                <c:formatCode>0%</c:formatCode>
                <c:ptCount val="8"/>
                <c:pt idx="0">
                  <c:v>1</c:v>
                </c:pt>
                <c:pt idx="1">
                  <c:v>0</c:v>
                </c:pt>
                <c:pt idx="2">
                  <c:v>5.4320987654320987E-2</c:v>
                </c:pt>
                <c:pt idx="3">
                  <c:v>5.3097345132743362E-2</c:v>
                </c:pt>
                <c:pt idx="4">
                  <c:v>4.6296296296296294E-2</c:v>
                </c:pt>
                <c:pt idx="5">
                  <c:v>6.0362173038229376E-2</c:v>
                </c:pt>
                <c:pt idx="6">
                  <c:v>6.1302681992337162E-2</c:v>
                </c:pt>
                <c:pt idx="7">
                  <c:v>0.13753241140881589</c:v>
                </c:pt>
              </c:numCache>
            </c:numRef>
          </c:val>
          <c:extLst>
            <c:ext xmlns:c16="http://schemas.microsoft.com/office/drawing/2014/chart" uri="{C3380CC4-5D6E-409C-BE32-E72D297353CC}">
              <c16:uniqueId val="{00000001-F21A-4E58-B105-9235015DD4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N=0</c:v>
                </c:pt>
                <c:pt idx="2">
                  <c:v>Delinquent Findings, total N=405</c:v>
                </c:pt>
                <c:pt idx="3">
                  <c:v>Petitions, total N=452</c:v>
                </c:pt>
                <c:pt idx="4">
                  <c:v>Detentions, total N=324</c:v>
                </c:pt>
                <c:pt idx="5">
                  <c:v>Referrals, total N=497</c:v>
                </c:pt>
                <c:pt idx="6">
                  <c:v>Arrests, total N=261</c:v>
                </c:pt>
                <c:pt idx="7">
                  <c:v>Population, total N=18512</c:v>
                </c:pt>
              </c:strCache>
            </c:strRef>
          </c:cat>
          <c:val>
            <c:numRef>
              <c:f>'Stacked 100%'!$H$7:$H$14</c:f>
              <c:numCache>
                <c:formatCode>0%</c:formatCode>
                <c:ptCount val="8"/>
                <c:pt idx="0">
                  <c:v>0</c:v>
                </c:pt>
                <c:pt idx="1">
                  <c:v>0</c:v>
                </c:pt>
                <c:pt idx="2">
                  <c:v>2.1947873799725651E-4</c:v>
                </c:pt>
                <c:pt idx="3">
                  <c:v>1.762080037591041E-4</c:v>
                </c:pt>
                <c:pt idx="4">
                  <c:v>2.7625361987501906E-4</c:v>
                </c:pt>
                <c:pt idx="5">
                  <c:v>1.9837333862328903E-4</c:v>
                </c:pt>
                <c:pt idx="6">
                  <c:v>2.93595220269814E-5</c:v>
                </c:pt>
                <c:pt idx="7">
                  <c:v>1.1701396333168739E-6</c:v>
                </c:pt>
              </c:numCache>
            </c:numRef>
          </c:val>
          <c:extLst>
            <c:ext xmlns:c16="http://schemas.microsoft.com/office/drawing/2014/chart" uri="{C3380CC4-5D6E-409C-BE32-E72D297353CC}">
              <c16:uniqueId val="{00000002-F21A-4E58-B105-9235015DD4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N=405</c:v>
                </c:pt>
                <c:pt idx="3">
                  <c:v>Petitions, total N=452</c:v>
                </c:pt>
                <c:pt idx="4">
                  <c:v>Detentions, total N=324</c:v>
                </c:pt>
                <c:pt idx="5">
                  <c:v>Referrals, total N=497</c:v>
                </c:pt>
                <c:pt idx="6">
                  <c:v>Arrests, total N=261</c:v>
                </c:pt>
                <c:pt idx="7">
                  <c:v>Population, total N=18512</c:v>
                </c:pt>
              </c:strCache>
            </c:strRef>
          </c:cat>
          <c:val>
            <c:numRef>
              <c:f>'Stacked 100%'!$I$7:$I$14</c:f>
              <c:numCache>
                <c:formatCode>0%</c:formatCode>
                <c:ptCount val="8"/>
                <c:pt idx="0">
                  <c:v>0</c:v>
                </c:pt>
                <c:pt idx="1">
                  <c:v>0</c:v>
                </c:pt>
                <c:pt idx="2">
                  <c:v>0.35802469135802467</c:v>
                </c:pt>
                <c:pt idx="3">
                  <c:v>0.34955752212389379</c:v>
                </c:pt>
                <c:pt idx="4">
                  <c:v>0.28703703703703703</c:v>
                </c:pt>
                <c:pt idx="5">
                  <c:v>0.32997987927565392</c:v>
                </c:pt>
                <c:pt idx="6">
                  <c:v>0.28735632183908044</c:v>
                </c:pt>
                <c:pt idx="7">
                  <c:v>0.59809853068280039</c:v>
                </c:pt>
              </c:numCache>
            </c:numRef>
          </c:val>
          <c:extLst>
            <c:ext xmlns:c16="http://schemas.microsoft.com/office/drawing/2014/chart" uri="{C3380CC4-5D6E-409C-BE32-E72D297353CC}">
              <c16:uniqueId val="{00000003-F21A-4E58-B105-9235015DD4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N=0</c:v>
                </c:pt>
                <c:pt idx="2">
                  <c:v>Delinquent Findings, total N=405</c:v>
                </c:pt>
                <c:pt idx="3">
                  <c:v>Petitions, total N=452</c:v>
                </c:pt>
                <c:pt idx="4">
                  <c:v>Detentions, total N=324</c:v>
                </c:pt>
                <c:pt idx="5">
                  <c:v>Referrals, total N=497</c:v>
                </c:pt>
                <c:pt idx="6">
                  <c:v>Arrests, total N=261</c:v>
                </c:pt>
                <c:pt idx="7">
                  <c:v>Population, total N=18512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21A-4E58-B105-9235015DD4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5" sqref="F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18512</v>
      </c>
      <c r="C6" s="11">
        <v>11072</v>
      </c>
      <c r="D6" s="11">
        <v>4493</v>
      </c>
      <c r="E6" s="11">
        <v>2546</v>
      </c>
      <c r="F6" s="11">
        <v>303</v>
      </c>
      <c r="G6" s="11"/>
      <c r="H6" s="11">
        <v>98</v>
      </c>
      <c r="I6" s="11"/>
      <c r="J6" s="91">
        <f>SUM(D6:I6)</f>
        <v>7440</v>
      </c>
      <c r="K6" s="92"/>
    </row>
    <row r="7" spans="1:11" ht="15.75" customHeight="1" thickBot="1">
      <c r="A7" s="10" t="s">
        <v>8</v>
      </c>
      <c r="B7" s="11">
        <f t="shared" ref="B7:B15" si="0">SUM(C7:I7)+K7</f>
        <v>261</v>
      </c>
      <c r="C7" s="11">
        <v>75</v>
      </c>
      <c r="D7" s="11">
        <v>165</v>
      </c>
      <c r="E7" s="11">
        <v>16</v>
      </c>
      <c r="F7" s="11"/>
      <c r="G7" s="11"/>
      <c r="H7" s="11">
        <v>2</v>
      </c>
      <c r="I7" s="11"/>
      <c r="J7" s="91">
        <f t="shared" ref="J7:J15" si="1">SUM(D7:I7)</f>
        <v>183</v>
      </c>
      <c r="K7" s="92">
        <v>3</v>
      </c>
    </row>
    <row r="8" spans="1:11" ht="15.75" customHeight="1" thickBot="1">
      <c r="A8" s="10" t="s">
        <v>9</v>
      </c>
      <c r="B8" s="11">
        <f t="shared" si="0"/>
        <v>497</v>
      </c>
      <c r="C8" s="11">
        <v>164</v>
      </c>
      <c r="D8" s="11">
        <v>254</v>
      </c>
      <c r="E8" s="11">
        <v>30</v>
      </c>
      <c r="F8" s="11"/>
      <c r="G8" s="11"/>
      <c r="H8" s="11">
        <v>2</v>
      </c>
      <c r="I8" s="11">
        <v>47</v>
      </c>
      <c r="J8" s="91">
        <f t="shared" si="1"/>
        <v>333</v>
      </c>
      <c r="K8" s="92"/>
    </row>
    <row r="9" spans="1:11" ht="15.75" customHeight="1" thickBot="1">
      <c r="A9" s="10" t="s">
        <v>10</v>
      </c>
      <c r="B9" s="11">
        <f t="shared" si="0"/>
        <v>7</v>
      </c>
      <c r="C9" s="11">
        <v>6</v>
      </c>
      <c r="D9" s="11"/>
      <c r="E9" s="11">
        <v>1</v>
      </c>
      <c r="F9" s="11"/>
      <c r="G9" s="11"/>
      <c r="H9" s="11"/>
      <c r="I9" s="11"/>
      <c r="J9" s="91">
        <f t="shared" si="1"/>
        <v>1</v>
      </c>
      <c r="K9" s="92"/>
    </row>
    <row r="10" spans="1:11" ht="15.75" customHeight="1" thickBot="1">
      <c r="A10" s="10" t="s">
        <v>11</v>
      </c>
      <c r="B10" s="11">
        <f t="shared" si="0"/>
        <v>324</v>
      </c>
      <c r="C10" s="11">
        <v>93</v>
      </c>
      <c r="D10" s="11">
        <v>187</v>
      </c>
      <c r="E10" s="11">
        <v>15</v>
      </c>
      <c r="F10" s="11"/>
      <c r="G10" s="11"/>
      <c r="H10" s="11">
        <v>3</v>
      </c>
      <c r="I10" s="11">
        <v>26</v>
      </c>
      <c r="J10" s="91">
        <f t="shared" si="1"/>
        <v>231</v>
      </c>
      <c r="K10" s="92"/>
    </row>
    <row r="11" spans="1:11" ht="15.75" customHeight="1" thickBot="1">
      <c r="A11" s="10" t="s">
        <v>12</v>
      </c>
      <c r="B11" s="11">
        <f t="shared" si="0"/>
        <v>452</v>
      </c>
      <c r="C11" s="11">
        <v>158</v>
      </c>
      <c r="D11" s="11">
        <v>234</v>
      </c>
      <c r="E11" s="11">
        <v>24</v>
      </c>
      <c r="F11" s="11"/>
      <c r="G11" s="11"/>
      <c r="H11" s="11">
        <v>2</v>
      </c>
      <c r="I11" s="11">
        <v>34</v>
      </c>
      <c r="J11" s="91">
        <f t="shared" si="1"/>
        <v>294</v>
      </c>
      <c r="K11" s="92"/>
    </row>
    <row r="12" spans="1:11" ht="15.75" customHeight="1" thickBot="1">
      <c r="A12" s="10" t="s">
        <v>13</v>
      </c>
      <c r="B12" s="11">
        <f t="shared" si="0"/>
        <v>405</v>
      </c>
      <c r="C12" s="11">
        <v>145</v>
      </c>
      <c r="D12" s="11">
        <v>202</v>
      </c>
      <c r="E12" s="11">
        <v>22</v>
      </c>
      <c r="F12" s="11"/>
      <c r="G12" s="11"/>
      <c r="H12" s="11">
        <v>2</v>
      </c>
      <c r="I12" s="11">
        <v>34</v>
      </c>
      <c r="J12" s="91">
        <f t="shared" si="1"/>
        <v>260</v>
      </c>
      <c r="K12" s="92"/>
    </row>
    <row r="13" spans="1:11" ht="15.75" customHeight="1" thickBot="1">
      <c r="A13" s="10" t="s">
        <v>125</v>
      </c>
      <c r="B13" s="11">
        <f t="shared" si="0"/>
        <v>382</v>
      </c>
      <c r="C13" s="11">
        <v>141</v>
      </c>
      <c r="D13" s="11">
        <v>191</v>
      </c>
      <c r="E13" s="11">
        <v>18</v>
      </c>
      <c r="F13" s="11"/>
      <c r="G13" s="11"/>
      <c r="H13" s="11">
        <v>1</v>
      </c>
      <c r="I13" s="11">
        <v>31</v>
      </c>
      <c r="J13" s="91">
        <f t="shared" si="1"/>
        <v>241</v>
      </c>
      <c r="K13" s="92"/>
    </row>
    <row r="14" spans="1:11" ht="26.25" customHeight="1" thickBot="1">
      <c r="A14" s="10" t="s">
        <v>115</v>
      </c>
      <c r="B14" s="11">
        <f t="shared" si="0"/>
        <v>0</v>
      </c>
      <c r="C14" s="11"/>
      <c r="D14" s="11"/>
      <c r="E14" s="11"/>
      <c r="F14" s="11"/>
      <c r="G14" s="11"/>
      <c r="H14" s="11"/>
      <c r="I14" s="11"/>
      <c r="J14" s="91">
        <f t="shared" si="1"/>
        <v>0</v>
      </c>
      <c r="K14" s="92"/>
    </row>
    <row r="15" spans="1:11" ht="15.75" customHeight="1" thickBot="1">
      <c r="A15" s="10" t="s">
        <v>16</v>
      </c>
      <c r="B15" s="11">
        <f t="shared" si="0"/>
        <v>1</v>
      </c>
      <c r="C15" s="11"/>
      <c r="D15" s="11"/>
      <c r="E15" s="11">
        <v>1</v>
      </c>
      <c r="F15" s="11"/>
      <c r="G15" s="11"/>
      <c r="H15" s="11"/>
      <c r="I15" s="11"/>
      <c r="J15" s="91">
        <f t="shared" si="1"/>
        <v>1</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10997</v>
      </c>
      <c r="R7" s="42">
        <f t="shared" ref="R7:R15" si="5">SUM(N7:Q7)</f>
        <v>11072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164</v>
      </c>
      <c r="D8" s="34">
        <f>IF((AND(C67&gt;0,C8&gt;0)),(C8/C67),0)</f>
        <v>218.66666666666666</v>
      </c>
      <c r="E8" s="33">
        <f>'Data Entry'!I8</f>
        <v>47</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47</v>
      </c>
      <c r="O8" s="42">
        <f>((D67*L67)-E8)+0.05</f>
        <v>-46.95</v>
      </c>
      <c r="P8" s="42">
        <f t="shared" si="4"/>
        <v>164</v>
      </c>
      <c r="Q8" s="42">
        <f>(C$67*L67)-C8</f>
        <v>-89</v>
      </c>
      <c r="R8" s="42">
        <f t="shared" si="5"/>
        <v>75.050000000000011</v>
      </c>
      <c r="S8" s="30">
        <f t="shared" si="6"/>
        <v>928209562.11200035</v>
      </c>
      <c r="T8" s="30">
        <f t="shared" si="7"/>
        <v>-107570.43749999387</v>
      </c>
      <c r="U8" s="31">
        <f t="shared" si="8"/>
        <v>-8628.8536486806915</v>
      </c>
    </row>
    <row r="9" spans="2:21" ht="18" customHeight="1">
      <c r="B9" s="32" t="str">
        <f>'Data Entry'!A9</f>
        <v xml:space="preserve">4. Cases Diverted </v>
      </c>
      <c r="C9" s="33">
        <f>'Data Entry'!C9</f>
        <v>6</v>
      </c>
      <c r="D9" s="34">
        <f>IF((AND(C68&gt;0,C9&gt;0)),((C9/C68)),0)</f>
        <v>3.6585365853658538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47</v>
      </c>
      <c r="P9" s="42">
        <f t="shared" si="4"/>
        <v>6</v>
      </c>
      <c r="Q9" s="42">
        <f>(C$68*L68)-C9</f>
        <v>158</v>
      </c>
      <c r="R9" s="42">
        <f t="shared" si="5"/>
        <v>211</v>
      </c>
      <c r="S9" s="30">
        <f t="shared" si="6"/>
        <v>16779564</v>
      </c>
      <c r="T9" s="30">
        <f t="shared" si="7"/>
        <v>9480840</v>
      </c>
      <c r="U9" s="31">
        <f t="shared" si="8"/>
        <v>1.7698393813206426</v>
      </c>
    </row>
    <row r="10" spans="2:21" ht="18" customHeight="1">
      <c r="B10" s="32" t="str">
        <f>'Data Entry'!A10</f>
        <v>5. Cases Involving Secure Detention</v>
      </c>
      <c r="C10" s="33">
        <f>'Data Entry'!C10</f>
        <v>93</v>
      </c>
      <c r="D10" s="34">
        <f>IF(((AND(C68&gt;0,C10&gt;0))),(C10/(C68)),0)</f>
        <v>56.707317073170735</v>
      </c>
      <c r="E10" s="33">
        <f>'Data Entry'!I10</f>
        <v>26</v>
      </c>
      <c r="F10" s="34">
        <f>IF(((AND($E$10&gt;0,$D$68&gt;0))),($E$10/($D$68)),0)</f>
        <v>55.319148936170215</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26</v>
      </c>
      <c r="O10" s="42">
        <f>(D$68*L68)-E10</f>
        <v>21</v>
      </c>
      <c r="P10" s="42">
        <f t="shared" si="4"/>
        <v>93</v>
      </c>
      <c r="Q10" s="42">
        <f>(C$68*L68)-C10</f>
        <v>71</v>
      </c>
      <c r="R10" s="42">
        <f t="shared" si="5"/>
        <v>211</v>
      </c>
      <c r="S10" s="30">
        <f t="shared" si="6"/>
        <v>2415739</v>
      </c>
      <c r="T10" s="30">
        <f t="shared" si="7"/>
        <v>84387184</v>
      </c>
      <c r="U10" s="31">
        <f t="shared" si="8"/>
        <v>2.862684693922243E-2</v>
      </c>
    </row>
    <row r="11" spans="2:21" ht="18" customHeight="1">
      <c r="B11" s="32" t="str">
        <f>'Data Entry'!A11</f>
        <v>6. Cases Petitioned (Charge Filed)</v>
      </c>
      <c r="C11" s="33">
        <f>'Data Entry'!C11</f>
        <v>158</v>
      </c>
      <c r="D11" s="34">
        <f>IF(((AND(C68&gt;0,C11&gt;0))),(C11/(C68)),0)</f>
        <v>96.341463414634148</v>
      </c>
      <c r="E11" s="33">
        <f>'Data Entry'!I11</f>
        <v>34</v>
      </c>
      <c r="F11" s="34">
        <f>IF(((AND($E$11&gt;0,$D$68&gt;0))),($E$11/($D$68)),0)</f>
        <v>72.340425531914903</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34</v>
      </c>
      <c r="O11" s="42">
        <f>(D$68*L68)-E11</f>
        <v>13</v>
      </c>
      <c r="P11" s="42">
        <f t="shared" si="4"/>
        <v>158</v>
      </c>
      <c r="Q11" s="42">
        <f>(C$68*L68)-C11</f>
        <v>6</v>
      </c>
      <c r="R11" s="42">
        <f t="shared" si="5"/>
        <v>211</v>
      </c>
      <c r="S11" s="30">
        <f t="shared" si="6"/>
        <v>722147500</v>
      </c>
      <c r="T11" s="30">
        <f t="shared" si="7"/>
        <v>28118784</v>
      </c>
      <c r="U11" s="31">
        <f t="shared" si="8"/>
        <v>25.682031626972204</v>
      </c>
    </row>
    <row r="12" spans="2:21" ht="18" customHeight="1">
      <c r="B12" s="32" t="str">
        <f>'Data Entry'!A12</f>
        <v>7. Cases Resulting in Delinquent Findings</v>
      </c>
      <c r="C12" s="33">
        <f>'Data Entry'!C12</f>
        <v>145</v>
      </c>
      <c r="D12" s="34">
        <f>IF(((AND(C69&gt;0,C12&gt;0))),(C12/(C69)),0)</f>
        <v>91.77215189873418</v>
      </c>
      <c r="E12" s="33">
        <f>'Data Entry'!I12</f>
        <v>34</v>
      </c>
      <c r="F12" s="34">
        <f>IF(((AND($D$69&gt;0,$E$12&gt;0))),(E12/(D69)),0)</f>
        <v>99.999999999999986</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34</v>
      </c>
      <c r="O12" s="42">
        <f>(D69*L69)-E12</f>
        <v>0</v>
      </c>
      <c r="P12" s="42">
        <f t="shared" si="4"/>
        <v>145</v>
      </c>
      <c r="Q12" s="42">
        <f>(C69*L69)-C12</f>
        <v>13</v>
      </c>
      <c r="R12" s="42">
        <f t="shared" si="5"/>
        <v>192</v>
      </c>
      <c r="S12" s="30">
        <f t="shared" si="6"/>
        <v>37509888</v>
      </c>
      <c r="T12" s="30">
        <f t="shared" si="7"/>
        <v>12500644</v>
      </c>
      <c r="U12" s="31">
        <f t="shared" si="8"/>
        <v>3.0006364472102396</v>
      </c>
    </row>
    <row r="13" spans="2:21" ht="18" customHeight="1">
      <c r="B13" s="32" t="str">
        <f>'Data Entry'!A13</f>
        <v>8. Cases Resulting in Probation Placement</v>
      </c>
      <c r="C13" s="33">
        <f>'Data Entry'!C13</f>
        <v>141</v>
      </c>
      <c r="D13" s="34">
        <f>IF(((AND(C70&gt;0,C13&gt;0))),(C13/(C70)),0)</f>
        <v>97.241379310344826</v>
      </c>
      <c r="E13" s="33">
        <f>'Data Entry'!I13</f>
        <v>31</v>
      </c>
      <c r="F13" s="34">
        <f>IF(((AND($D$70&gt;0,$E$13&gt;0))),($E$13/($D$70)),0)</f>
        <v>91.17647058823529</v>
      </c>
      <c r="G13" s="39" t="str">
        <f t="shared" si="0"/>
        <v>*</v>
      </c>
      <c r="H13" s="40"/>
      <c r="I13" s="41"/>
      <c r="J13" s="40">
        <f>IF((ABS($U13)&gt;Defaults!D$7),1,2)</f>
        <v>2</v>
      </c>
      <c r="K13" s="39">
        <f>IF((AND(N13&gt;Defaults!B$12,(N13+O13)&gt;Defaults!B$13, P13 &gt; Defaults!B$12, (P13+Q13) &gt; Defaults!B$13)),1,20)</f>
        <v>1</v>
      </c>
      <c r="L13" s="1">
        <f t="shared" si="1"/>
        <v>101</v>
      </c>
      <c r="M13" s="1" t="b">
        <f t="shared" si="2"/>
        <v>1</v>
      </c>
      <c r="N13" s="42">
        <f t="shared" si="3"/>
        <v>31</v>
      </c>
      <c r="O13" s="42">
        <f>(D70*L70)-E13</f>
        <v>3</v>
      </c>
      <c r="P13" s="42">
        <f t="shared" si="4"/>
        <v>141</v>
      </c>
      <c r="Q13" s="42">
        <f>(C70*L70)-C13</f>
        <v>4</v>
      </c>
      <c r="R13" s="42">
        <f t="shared" si="5"/>
        <v>179</v>
      </c>
      <c r="S13" s="30">
        <f t="shared" si="6"/>
        <v>16002779</v>
      </c>
      <c r="T13" s="30">
        <f t="shared" si="7"/>
        <v>5935720</v>
      </c>
      <c r="U13" s="31">
        <f t="shared" si="8"/>
        <v>2.6960131205649862</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34</v>
      </c>
      <c r="P14" s="42">
        <f t="shared" si="4"/>
        <v>0</v>
      </c>
      <c r="Q14" s="42">
        <f>(C70*L70)-C14</f>
        <v>145</v>
      </c>
      <c r="R14" s="42">
        <f t="shared" si="5"/>
        <v>179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34</v>
      </c>
      <c r="P15" s="42">
        <f t="shared" si="4"/>
        <v>0</v>
      </c>
      <c r="Q15" s="42">
        <f>(C69*L69)-C15</f>
        <v>158</v>
      </c>
      <c r="R15" s="42">
        <f t="shared" si="5"/>
        <v>192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0</v>
      </c>
      <c r="E42" s="56">
        <f>MAX(C42:D42)</f>
        <v>11.071999999999999</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1.64</v>
      </c>
      <c r="D44" s="56">
        <f>E8/100</f>
        <v>0.47</v>
      </c>
      <c r="E44" s="56">
        <f>MAX(C44:D44,0)</f>
        <v>1.64</v>
      </c>
      <c r="G44" s="1" t="str">
        <f>B44</f>
        <v>per 100 referrals</v>
      </c>
      <c r="L44" s="57">
        <v>100</v>
      </c>
      <c r="M44" s="57"/>
      <c r="R44" s="49"/>
    </row>
    <row r="45" spans="2:18" ht="15" hidden="1" customHeight="1">
      <c r="B45" s="49" t="s">
        <v>89</v>
      </c>
      <c r="C45" s="49">
        <f>C11/100</f>
        <v>1.58</v>
      </c>
      <c r="D45" s="49">
        <f>E11/100</f>
        <v>0.34</v>
      </c>
      <c r="E45" s="56">
        <f>MAX(C45:D45,0)</f>
        <v>1.58</v>
      </c>
      <c r="G45" s="1" t="str">
        <f>B45</f>
        <v>per 100 youth petitioned</v>
      </c>
      <c r="L45" s="57">
        <v>100</v>
      </c>
      <c r="M45" s="57"/>
      <c r="R45" s="49"/>
    </row>
    <row r="46" spans="2:18" ht="15" hidden="1" customHeight="1">
      <c r="B46" s="49" t="s">
        <v>90</v>
      </c>
      <c r="C46" s="49">
        <f>C12/100</f>
        <v>1.45</v>
      </c>
      <c r="D46" s="49">
        <f>E12/100</f>
        <v>0.34</v>
      </c>
      <c r="E46" s="56">
        <f>MAX(C46:D46)</f>
        <v>1.45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0</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0.47</v>
      </c>
      <c r="E50" s="49">
        <f>MAX(C50:D50)</f>
        <v>1.64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0.34</v>
      </c>
      <c r="E51" s="49">
        <f>MAX(C51:D51)</f>
        <v>1.58</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0.34</v>
      </c>
      <c r="E52" s="56">
        <f>MAX(C52:D52)</f>
        <v>1.45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0</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1.64</v>
      </c>
      <c r="D56" s="49">
        <f t="shared" si="10"/>
        <v>0.47</v>
      </c>
      <c r="E56" s="49">
        <f>MAX(C56:D56)</f>
        <v>1.64</v>
      </c>
      <c r="G56" s="1" t="str">
        <f>G50</f>
        <v>per 100 referrals</v>
      </c>
      <c r="L56" s="58">
        <f>IF(($E50&gt;0),L50,L49)</f>
        <v>100</v>
      </c>
      <c r="M56" s="58"/>
    </row>
    <row r="57" spans="2:18" ht="15" hidden="1" customHeight="1">
      <c r="B57" s="49" t="str">
        <f>IF(($E51&gt;0),B51,B49)</f>
        <v>per 100 youth petitioned</v>
      </c>
      <c r="C57" s="49">
        <f>IF(($E51&gt;0),C51,C50)</f>
        <v>1.58</v>
      </c>
      <c r="D57" s="49">
        <f>IF(($E51&gt;0),D51,D50)</f>
        <v>0.34</v>
      </c>
      <c r="E57" s="49">
        <f>MAX(C57:D57)</f>
        <v>1.58</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0.34</v>
      </c>
      <c r="E58" s="56">
        <f>MAX(C58:D58)</f>
        <v>1.45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0</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1.64</v>
      </c>
      <c r="D62" s="49">
        <f t="shared" si="11"/>
        <v>0.47</v>
      </c>
      <c r="E62" s="49">
        <f>MAX(C62:D62)</f>
        <v>1.64</v>
      </c>
      <c r="G62" s="1" t="str">
        <f>G56</f>
        <v>per 100 referrals</v>
      </c>
      <c r="L62" s="58">
        <f>IF(($E56&gt;0),L56,L55)</f>
        <v>100</v>
      </c>
      <c r="M62" s="58"/>
    </row>
    <row r="63" spans="2:18" ht="15" hidden="1" customHeight="1">
      <c r="B63" s="49" t="str">
        <f>IF(($E57&gt;0),B57,B55)</f>
        <v>per 100 youth petitioned</v>
      </c>
      <c r="C63" s="49">
        <f>IF(($E57&gt;0),C57,C56)</f>
        <v>1.58</v>
      </c>
      <c r="D63" s="49">
        <f>IF(($E57&gt;0),D57,D56)</f>
        <v>0.34</v>
      </c>
      <c r="E63" s="49">
        <f>MAX(C63:D63)</f>
        <v>1.58</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0.34</v>
      </c>
      <c r="E64" s="56">
        <f>MAX(C64:D64)</f>
        <v>1.45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0</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1.64</v>
      </c>
      <c r="D68" s="49">
        <f t="shared" si="12"/>
        <v>0.47</v>
      </c>
      <c r="E68" s="49">
        <f>MAX(C68:D68)</f>
        <v>1.64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0.34</v>
      </c>
      <c r="E69" s="49">
        <f>MAX(C69:D69)</f>
        <v>1.58</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0.34</v>
      </c>
      <c r="E70" s="56">
        <f>MAX(C70:D70)</f>
        <v>1.45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Entry'!J6</f>
        <v>7440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Entry'!J7</f>
        <v>183</v>
      </c>
      <c r="F7" s="34">
        <f>IF((AND($E$7&gt;0,$D$66&gt;0)),($E$7/$D$66),0)</f>
        <v>24.596774193548384</v>
      </c>
      <c r="G7" s="39">
        <f t="shared" ref="G7:G15" si="0">IF(L$6=100,"*",IF(M7=FALSE,"--",IF(K7=20,"**",($F7/$D7))))</f>
        <v>3.6311397849462357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183</v>
      </c>
      <c r="O7" s="42">
        <f>E6-E7</f>
        <v>7257</v>
      </c>
      <c r="P7" s="42">
        <f t="shared" ref="P7:P15" si="4">C7</f>
        <v>75</v>
      </c>
      <c r="Q7" s="42">
        <f>C6-C7</f>
        <v>10997</v>
      </c>
      <c r="R7" s="42">
        <f t="shared" ref="R7:R15" si="5">SUM(N7:Q7)</f>
        <v>18512</v>
      </c>
      <c r="S7" s="30">
        <f t="shared" ref="S7:S15" si="6">R7*((((N7*Q7)-(O7*P7))^2))</f>
        <v>3.9903370678259712E+16</v>
      </c>
      <c r="T7" s="30">
        <f t="shared" ref="T7:T15" si="7">(N7+O7)*(P7+Q7)*(N7+P7)*(O7+Q7)</f>
        <v>387950900981760</v>
      </c>
      <c r="U7" s="31">
        <f t="shared" ref="U7:U15" si="8">IF((S7&gt;0),S7/T7,"- -")</f>
        <v>102.85675475241599</v>
      </c>
    </row>
    <row r="8" spans="2:21" ht="18" customHeight="1">
      <c r="B8" s="32" t="str">
        <f>'Data Entry'!A8</f>
        <v>3. Refer to Juvenile Court</v>
      </c>
      <c r="C8" s="33">
        <f>'Data Entry'!C8</f>
        <v>164</v>
      </c>
      <c r="D8" s="34">
        <f>IF((AND(C67&gt;0,C8&gt;0)),(C8/C67),0)</f>
        <v>218.66666666666666</v>
      </c>
      <c r="E8" s="33">
        <f>'Data Entry'!J8</f>
        <v>333</v>
      </c>
      <c r="F8" s="34">
        <f>IF((AND($E$8&gt;0,$D$67&gt;0)),($E8/$D67),0)</f>
        <v>181.96721311475409</v>
      </c>
      <c r="G8" s="39">
        <f t="shared" si="0"/>
        <v>0.83216713314674129</v>
      </c>
      <c r="H8" s="40"/>
      <c r="I8" s="41"/>
      <c r="J8" s="40">
        <f>IF((ABS($U8)&gt;Defaults!D$7),1,2)</f>
        <v>1</v>
      </c>
      <c r="K8" s="39">
        <f>IF((AND(N8&gt;Defaults!B$12,(N8+O8)&gt;Defaults!B$13, P8 &gt; Defaults!B$12, (P8+Q8) &gt; Defaults!B$13)),1,20)</f>
        <v>1</v>
      </c>
      <c r="L8" s="1">
        <f t="shared" si="1"/>
        <v>1</v>
      </c>
      <c r="M8" s="1" t="b">
        <f t="shared" si="2"/>
        <v>1</v>
      </c>
      <c r="N8" s="42">
        <f t="shared" si="3"/>
        <v>333</v>
      </c>
      <c r="O8" s="42">
        <f>((D67*L67)-E8)+0.05</f>
        <v>-149.94999999999999</v>
      </c>
      <c r="P8" s="42">
        <f t="shared" si="4"/>
        <v>164</v>
      </c>
      <c r="Q8" s="42">
        <f>(C$67*L67)-C8</f>
        <v>-89</v>
      </c>
      <c r="R8" s="42">
        <f t="shared" si="5"/>
        <v>258.05</v>
      </c>
      <c r="S8" s="30">
        <f t="shared" si="6"/>
        <v>6568415806.472002</v>
      </c>
      <c r="T8" s="30">
        <f t="shared" si="7"/>
        <v>-1630400951.8125</v>
      </c>
      <c r="U8" s="31">
        <f t="shared" si="8"/>
        <v>-4.0287119552831232</v>
      </c>
    </row>
    <row r="9" spans="2:21" ht="18" customHeight="1">
      <c r="B9" s="32" t="str">
        <f>'Data Entry'!A9</f>
        <v xml:space="preserve">4. Cases Diverted </v>
      </c>
      <c r="C9" s="33">
        <f>'Data Entry'!C9</f>
        <v>6</v>
      </c>
      <c r="D9" s="34">
        <f>IF((AND(C68&gt;0,C9&gt;0)),((C9/C68)),0)</f>
        <v>3.6585365853658538</v>
      </c>
      <c r="E9" s="33">
        <f>'Data Entry'!J9</f>
        <v>1</v>
      </c>
      <c r="F9" s="34">
        <f>IF((AND($E$9&gt;0,$D$68&gt;0)),(($E$9/$D$68)),0)</f>
        <v>0.3003003003003003</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332</v>
      </c>
      <c r="P9" s="42">
        <f t="shared" si="4"/>
        <v>6</v>
      </c>
      <c r="Q9" s="42">
        <f>(C$68*L68)-C9</f>
        <v>158</v>
      </c>
      <c r="R9" s="42">
        <f t="shared" si="5"/>
        <v>497</v>
      </c>
      <c r="S9" s="30">
        <f t="shared" si="6"/>
        <v>1671687332</v>
      </c>
      <c r="T9" s="30">
        <f t="shared" si="7"/>
        <v>187319160</v>
      </c>
      <c r="U9" s="31">
        <f t="shared" si="8"/>
        <v>8.9242730535413468</v>
      </c>
    </row>
    <row r="10" spans="2:21" ht="18" customHeight="1">
      <c r="B10" s="32" t="str">
        <f>'Data Entry'!A10</f>
        <v>5. Cases Involving Secure Detention</v>
      </c>
      <c r="C10" s="33">
        <f>'Data Entry'!C10</f>
        <v>93</v>
      </c>
      <c r="D10" s="34">
        <f>IF(((AND(C68&gt;0,C10&gt;0))),(C10/(C68)),0)</f>
        <v>56.707317073170735</v>
      </c>
      <c r="E10" s="33">
        <f>'Data Entry'!J10</f>
        <v>231</v>
      </c>
      <c r="F10" s="34">
        <f>IF(((AND($E$10&gt;0,$D$68&gt;0))),($E$10/($D$68)),0)</f>
        <v>69.369369369369366</v>
      </c>
      <c r="G10" s="39">
        <f t="shared" si="0"/>
        <v>1.2232878039329651</v>
      </c>
      <c r="H10" s="40"/>
      <c r="I10" s="41"/>
      <c r="J10" s="40">
        <f>IF((ABS($U10)&gt;Defaults!D$7),1,2)</f>
        <v>1</v>
      </c>
      <c r="K10" s="39">
        <f>IF((AND(N10&gt;Defaults!B$12,(N10+O10)&gt;Defaults!B$13, P10 &gt; Defaults!B$12, (P10+Q10) &gt; Defaults!B$13)),1,20)</f>
        <v>1</v>
      </c>
      <c r="L10" s="1">
        <f t="shared" si="1"/>
        <v>1</v>
      </c>
      <c r="M10" s="1" t="b">
        <f t="shared" si="2"/>
        <v>1</v>
      </c>
      <c r="N10" s="42">
        <f t="shared" si="3"/>
        <v>231</v>
      </c>
      <c r="O10" s="42">
        <f>(D$68*L68)-E10</f>
        <v>102</v>
      </c>
      <c r="P10" s="42">
        <f t="shared" si="4"/>
        <v>93</v>
      </c>
      <c r="Q10" s="42">
        <f>(C$68*L68)-C10</f>
        <v>71</v>
      </c>
      <c r="R10" s="42">
        <f t="shared" si="5"/>
        <v>497</v>
      </c>
      <c r="S10" s="30">
        <f t="shared" si="6"/>
        <v>23765160825</v>
      </c>
      <c r="T10" s="30">
        <f t="shared" si="7"/>
        <v>3061111824</v>
      </c>
      <c r="U10" s="31">
        <f t="shared" si="8"/>
        <v>7.7635716012313836</v>
      </c>
    </row>
    <row r="11" spans="2:21" ht="18" customHeight="1">
      <c r="B11" s="32" t="str">
        <f>'Data Entry'!A11</f>
        <v>6. Cases Petitioned (Charge Filed)</v>
      </c>
      <c r="C11" s="33">
        <f>'Data Entry'!C11</f>
        <v>158</v>
      </c>
      <c r="D11" s="34">
        <f>IF(((AND(C68&gt;0,C11&gt;0))),(C11/(C68)),0)</f>
        <v>96.341463414634148</v>
      </c>
      <c r="E11" s="33">
        <f>'Data Entry'!J11</f>
        <v>294</v>
      </c>
      <c r="F11" s="34">
        <f>IF(((AND($E$11&gt;0,$D$68&gt;0))),($E$11/($D$68)),0)</f>
        <v>88.288288288288285</v>
      </c>
      <c r="G11" s="39">
        <f t="shared" si="0"/>
        <v>0.91641008096704291</v>
      </c>
      <c r="H11" s="40"/>
      <c r="I11" s="41"/>
      <c r="J11" s="40">
        <f>IF((ABS($U11)&gt;Defaults!D$7),1,2)</f>
        <v>1</v>
      </c>
      <c r="K11" s="39">
        <f>IF((AND(N11&gt;Defaults!B$12,(N11+O11)&gt;Defaults!B$13, P11 &gt; Defaults!B$12, (P11+Q11) &gt; Defaults!B$13)),1,20)</f>
        <v>1</v>
      </c>
      <c r="L11" s="1">
        <f t="shared" si="1"/>
        <v>1</v>
      </c>
      <c r="M11" s="1" t="b">
        <f t="shared" si="2"/>
        <v>1</v>
      </c>
      <c r="N11" s="42">
        <f t="shared" si="3"/>
        <v>294</v>
      </c>
      <c r="O11" s="42">
        <f>(D$68*L68)-E11</f>
        <v>39</v>
      </c>
      <c r="P11" s="42">
        <f t="shared" si="4"/>
        <v>158</v>
      </c>
      <c r="Q11" s="42">
        <f>(C$68*L68)-C11</f>
        <v>6</v>
      </c>
      <c r="R11" s="42">
        <f t="shared" si="5"/>
        <v>497</v>
      </c>
      <c r="S11" s="30">
        <f t="shared" si="6"/>
        <v>9613174788</v>
      </c>
      <c r="T11" s="30">
        <f t="shared" si="7"/>
        <v>1110808080</v>
      </c>
      <c r="U11" s="31">
        <f t="shared" si="8"/>
        <v>8.6542175566457882</v>
      </c>
    </row>
    <row r="12" spans="2:21" ht="18" customHeight="1">
      <c r="B12" s="32" t="str">
        <f>'Data Entry'!A12</f>
        <v>7. Cases Resulting in Delinquent Findings</v>
      </c>
      <c r="C12" s="33">
        <f>'Data Entry'!C12</f>
        <v>145</v>
      </c>
      <c r="D12" s="34">
        <f>IF(((AND(C69&gt;0,C12&gt;0))),(C12/(C69)),0)</f>
        <v>91.77215189873418</v>
      </c>
      <c r="E12" s="33">
        <f>'Data Entry'!J12</f>
        <v>260</v>
      </c>
      <c r="F12" s="34">
        <f>IF(((AND($D$69&gt;0,$E$12&gt;0))),(E12/(D69)),0)</f>
        <v>88.435374149659864</v>
      </c>
      <c r="G12" s="39">
        <f t="shared" si="0"/>
        <v>0.96364062866525924</v>
      </c>
      <c r="H12" s="40"/>
      <c r="I12" s="41"/>
      <c r="J12" s="40">
        <f>IF((ABS($U12)&gt;Defaults!D$7),1,2)</f>
        <v>2</v>
      </c>
      <c r="K12" s="39">
        <f>IF((AND(N12&gt;Defaults!B$12,(N12+O12)&gt;Defaults!B$13, P12 &gt; Defaults!B$12, (P12+Q12) &gt; Defaults!B$13)),1,20)</f>
        <v>1</v>
      </c>
      <c r="L12" s="1">
        <f t="shared" si="1"/>
        <v>2</v>
      </c>
      <c r="M12" s="1" t="b">
        <f t="shared" si="2"/>
        <v>1</v>
      </c>
      <c r="N12" s="42">
        <f t="shared" si="3"/>
        <v>260</v>
      </c>
      <c r="O12" s="42">
        <f>(D69*L69)-E12</f>
        <v>34</v>
      </c>
      <c r="P12" s="42">
        <f t="shared" si="4"/>
        <v>145</v>
      </c>
      <c r="Q12" s="42">
        <f>(C69*L69)-C12</f>
        <v>13</v>
      </c>
      <c r="R12" s="42">
        <f t="shared" si="5"/>
        <v>452</v>
      </c>
      <c r="S12" s="30">
        <f t="shared" si="6"/>
        <v>1085930000</v>
      </c>
      <c r="T12" s="30">
        <f t="shared" si="7"/>
        <v>884213820</v>
      </c>
      <c r="U12" s="31">
        <f t="shared" si="8"/>
        <v>1.2281305442613417</v>
      </c>
    </row>
    <row r="13" spans="2:21" ht="18" customHeight="1">
      <c r="B13" s="32" t="str">
        <f>'Data Entry'!A13</f>
        <v>8. Cases Resulting in Probation Placement</v>
      </c>
      <c r="C13" s="33">
        <f>'Data Entry'!C13</f>
        <v>141</v>
      </c>
      <c r="D13" s="34">
        <f>IF(((AND(C70&gt;0,C13&gt;0))),(C13/(C70)),0)</f>
        <v>97.241379310344826</v>
      </c>
      <c r="E13" s="33">
        <f>'Data Entry'!J13</f>
        <v>241</v>
      </c>
      <c r="F13" s="34">
        <f>IF(((AND($D$70&gt;0,$E$13&gt;0))),($E$13/($D$70)),0)</f>
        <v>92.692307692307693</v>
      </c>
      <c r="G13" s="39">
        <f t="shared" si="0"/>
        <v>0.95321876704855435</v>
      </c>
      <c r="H13" s="40"/>
      <c r="I13" s="41"/>
      <c r="J13" s="40">
        <f>IF((ABS($U13)&gt;Defaults!D$7),1,2)</f>
        <v>2</v>
      </c>
      <c r="K13" s="39">
        <f>IF((AND(N13&gt;Defaults!B$12,(N13+O13)&gt;Defaults!B$13, P13 &gt; Defaults!B$12, (P13+Q13) &gt; Defaults!B$13)),1,20)</f>
        <v>1</v>
      </c>
      <c r="L13" s="1">
        <f t="shared" si="1"/>
        <v>2</v>
      </c>
      <c r="M13" s="1" t="b">
        <f t="shared" si="2"/>
        <v>1</v>
      </c>
      <c r="N13" s="42">
        <f t="shared" si="3"/>
        <v>241</v>
      </c>
      <c r="O13" s="42">
        <f>(D70*L70)-E13</f>
        <v>19</v>
      </c>
      <c r="P13" s="42">
        <f t="shared" si="4"/>
        <v>141</v>
      </c>
      <c r="Q13" s="42">
        <f>(C70*L70)-C13</f>
        <v>4</v>
      </c>
      <c r="R13" s="42">
        <f t="shared" si="5"/>
        <v>405</v>
      </c>
      <c r="S13" s="30">
        <f t="shared" si="6"/>
        <v>1191196125</v>
      </c>
      <c r="T13" s="30">
        <f t="shared" si="7"/>
        <v>331232200</v>
      </c>
      <c r="U13" s="31">
        <f t="shared" si="8"/>
        <v>3.5962570215093823</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260</v>
      </c>
      <c r="P14" s="42">
        <f t="shared" si="4"/>
        <v>0</v>
      </c>
      <c r="Q14" s="42">
        <f>(C70*L70)-C14</f>
        <v>145</v>
      </c>
      <c r="R14" s="42">
        <f t="shared" si="5"/>
        <v>405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1</v>
      </c>
      <c r="F15" s="34">
        <f>IF(((AND($D$69&gt;0,$E$15&gt;0))),(($E$15/($D$69))),0)</f>
        <v>0.3401360544217687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1</v>
      </c>
      <c r="O15" s="42">
        <f>(D69*L69)-E15</f>
        <v>293</v>
      </c>
      <c r="P15" s="42">
        <f t="shared" si="4"/>
        <v>0</v>
      </c>
      <c r="Q15" s="42">
        <f>(C69*L69)-C15</f>
        <v>158</v>
      </c>
      <c r="R15" s="42">
        <f t="shared" si="5"/>
        <v>452</v>
      </c>
      <c r="S15" s="30">
        <f t="shared" si="6"/>
        <v>11283728</v>
      </c>
      <c r="T15" s="30">
        <f t="shared" si="7"/>
        <v>20949852</v>
      </c>
      <c r="U15" s="31">
        <f t="shared" si="8"/>
        <v>0.53860657344977902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7.44</v>
      </c>
      <c r="E42" s="56">
        <f>MAX(C42:D42)</f>
        <v>11.071999999999999</v>
      </c>
      <c r="G42" s="1" t="str">
        <f>B42</f>
        <v>per 1000 youth</v>
      </c>
      <c r="L42" s="57">
        <v>1000</v>
      </c>
      <c r="M42" s="57"/>
      <c r="R42" s="49"/>
    </row>
    <row r="43" spans="2:18" ht="15" hidden="1" customHeight="1">
      <c r="B43" s="49" t="s">
        <v>87</v>
      </c>
      <c r="C43" s="56">
        <f>C7/100</f>
        <v>0.75</v>
      </c>
      <c r="D43" s="56">
        <f>E7/100</f>
        <v>1.83</v>
      </c>
      <c r="E43" s="56">
        <f>MAX(C43:D43,0)</f>
        <v>1.83</v>
      </c>
      <c r="G43" s="1" t="str">
        <f>B43</f>
        <v>per 100 arrests</v>
      </c>
      <c r="L43" s="57">
        <v>100</v>
      </c>
      <c r="M43" s="57"/>
      <c r="R43" s="49"/>
    </row>
    <row r="44" spans="2:18" ht="15" hidden="1" customHeight="1">
      <c r="B44" s="49" t="s">
        <v>88</v>
      </c>
      <c r="C44" s="56">
        <f>C8/100</f>
        <v>1.64</v>
      </c>
      <c r="D44" s="56">
        <f>E8/100</f>
        <v>3.33</v>
      </c>
      <c r="E44" s="56">
        <f>MAX(C44:D44,0)</f>
        <v>3.33</v>
      </c>
      <c r="G44" s="1" t="str">
        <f>B44</f>
        <v>per 100 referrals</v>
      </c>
      <c r="L44" s="57">
        <v>100</v>
      </c>
      <c r="M44" s="57"/>
      <c r="R44" s="49"/>
    </row>
    <row r="45" spans="2:18" ht="15" hidden="1" customHeight="1">
      <c r="B45" s="49" t="s">
        <v>89</v>
      </c>
      <c r="C45" s="49">
        <f>C11/100</f>
        <v>1.58</v>
      </c>
      <c r="D45" s="49">
        <f>E11/100</f>
        <v>2.94</v>
      </c>
      <c r="E45" s="56">
        <f>MAX(C45:D45,0)</f>
        <v>2.94</v>
      </c>
      <c r="G45" s="1" t="str">
        <f>B45</f>
        <v>per 100 youth petitioned</v>
      </c>
      <c r="L45" s="57">
        <v>100</v>
      </c>
      <c r="M45" s="57"/>
      <c r="R45" s="49"/>
    </row>
    <row r="46" spans="2:18" ht="15" hidden="1" customHeight="1">
      <c r="B46" s="49" t="s">
        <v>90</v>
      </c>
      <c r="C46" s="49">
        <f>C12/100</f>
        <v>1.45</v>
      </c>
      <c r="D46" s="49">
        <f>E12/100</f>
        <v>2.6</v>
      </c>
      <c r="E46" s="56">
        <f>MAX(C46:D46)</f>
        <v>2.6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7.44</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1.83</v>
      </c>
      <c r="E49" s="49">
        <f>MAX(C49:D49)</f>
        <v>1.83</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3.33</v>
      </c>
      <c r="E50" s="49">
        <f>MAX(C50:D50)</f>
        <v>3.33</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2.94</v>
      </c>
      <c r="E51" s="49">
        <f>MAX(C51:D51)</f>
        <v>2.94</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2.6</v>
      </c>
      <c r="E52" s="56">
        <f>MAX(C52:D52)</f>
        <v>2.6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7.44</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1.83</v>
      </c>
      <c r="E55" s="49">
        <f>MAX(C55:D55)</f>
        <v>1.83</v>
      </c>
      <c r="G55" s="1" t="str">
        <f>G49</f>
        <v>per 100 arrests</v>
      </c>
      <c r="L55" s="58">
        <f>IF(($E49&gt;0),L49,L48)</f>
        <v>100</v>
      </c>
      <c r="M55" s="58"/>
    </row>
    <row r="56" spans="2:18" ht="15" hidden="1" customHeight="1">
      <c r="B56" s="49" t="str">
        <f t="shared" si="10"/>
        <v>per 100 referrals</v>
      </c>
      <c r="C56" s="49">
        <f t="shared" si="10"/>
        <v>1.64</v>
      </c>
      <c r="D56" s="49">
        <f t="shared" si="10"/>
        <v>3.33</v>
      </c>
      <c r="E56" s="49">
        <f>MAX(C56:D56)</f>
        <v>3.33</v>
      </c>
      <c r="G56" s="1" t="str">
        <f>G50</f>
        <v>per 100 referrals</v>
      </c>
      <c r="L56" s="58">
        <f>IF(($E50&gt;0),L50,L49)</f>
        <v>100</v>
      </c>
      <c r="M56" s="58"/>
    </row>
    <row r="57" spans="2:18" ht="15" hidden="1" customHeight="1">
      <c r="B57" s="49" t="str">
        <f>IF(($E51&gt;0),B51,B49)</f>
        <v>per 100 youth petitioned</v>
      </c>
      <c r="C57" s="49">
        <f>IF(($E51&gt;0),C51,C50)</f>
        <v>1.58</v>
      </c>
      <c r="D57" s="49">
        <f>IF(($E51&gt;0),D51,D50)</f>
        <v>2.94</v>
      </c>
      <c r="E57" s="49">
        <f>MAX(C57:D57)</f>
        <v>2.94</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2.6</v>
      </c>
      <c r="E58" s="56">
        <f>MAX(C58:D58)</f>
        <v>2.6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7.44</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1.83</v>
      </c>
      <c r="E61" s="49">
        <f>MAX(C61:D61)</f>
        <v>1.83</v>
      </c>
      <c r="G61" s="1" t="str">
        <f>G55</f>
        <v>per 100 arrests</v>
      </c>
      <c r="L61" s="58">
        <f>IF(($E55&gt;0),L55,L54)</f>
        <v>100</v>
      </c>
      <c r="M61" s="58"/>
    </row>
    <row r="62" spans="2:18" ht="15" hidden="1" customHeight="1">
      <c r="B62" s="49" t="str">
        <f t="shared" si="11"/>
        <v>per 100 referrals</v>
      </c>
      <c r="C62" s="49">
        <f t="shared" si="11"/>
        <v>1.64</v>
      </c>
      <c r="D62" s="49">
        <f t="shared" si="11"/>
        <v>3.33</v>
      </c>
      <c r="E62" s="49">
        <f>MAX(C62:D62)</f>
        <v>3.33</v>
      </c>
      <c r="G62" s="1" t="str">
        <f>G56</f>
        <v>per 100 referrals</v>
      </c>
      <c r="L62" s="58">
        <f>IF(($E56&gt;0),L56,L55)</f>
        <v>100</v>
      </c>
      <c r="M62" s="58"/>
    </row>
    <row r="63" spans="2:18" ht="15" hidden="1" customHeight="1">
      <c r="B63" s="49" t="str">
        <f>IF(($E57&gt;0),B57,B55)</f>
        <v>per 100 youth petitioned</v>
      </c>
      <c r="C63" s="49">
        <f>IF(($E57&gt;0),C57,C56)</f>
        <v>1.58</v>
      </c>
      <c r="D63" s="49">
        <f>IF(($E57&gt;0),D57,D56)</f>
        <v>2.94</v>
      </c>
      <c r="E63" s="49">
        <f>MAX(C63:D63)</f>
        <v>2.94</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2.6</v>
      </c>
      <c r="E64" s="56">
        <f>MAX(C64:D64)</f>
        <v>2.6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7.44</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1.83</v>
      </c>
      <c r="E67" s="49">
        <f>MAX(C67:D67)</f>
        <v>1.83</v>
      </c>
      <c r="G67" s="1" t="str">
        <f>G61</f>
        <v>per 100 arrests</v>
      </c>
      <c r="L67" s="58">
        <f>IF(($E61&gt;0),L61,L60)</f>
        <v>100</v>
      </c>
      <c r="M67" s="58">
        <f>IF((B67=G67),1,2)</f>
        <v>1</v>
      </c>
    </row>
    <row r="68" spans="2:13" ht="15" hidden="1" customHeight="1">
      <c r="B68" s="49" t="str">
        <f t="shared" si="12"/>
        <v>per 100 referrals</v>
      </c>
      <c r="C68" s="49">
        <f t="shared" si="12"/>
        <v>1.64</v>
      </c>
      <c r="D68" s="49">
        <f t="shared" si="12"/>
        <v>3.33</v>
      </c>
      <c r="E68" s="49">
        <f>MAX(C68:D68)</f>
        <v>3.33</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2.94</v>
      </c>
      <c r="E69" s="49">
        <f>MAX(C69:D69)</f>
        <v>2.94</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2.6</v>
      </c>
      <c r="E70" s="56">
        <f>MAX(C70:D70)</f>
        <v>2.6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Saginaw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5.4214110839083007</v>
      </c>
      <c r="D7" s="72">
        <f>Hispanic!G7</f>
        <v>0.92774024613773243</v>
      </c>
      <c r="E7" s="72" t="str">
        <f>Asian!G7</f>
        <v>**</v>
      </c>
      <c r="F7" s="72" t="str">
        <f>Hawaiian!G7</f>
        <v>*</v>
      </c>
      <c r="G7" s="72" t="str">
        <f>'Am Indian'!G7</f>
        <v>*</v>
      </c>
      <c r="H7" s="72" t="str">
        <f>'Other - Mixed'!G7</f>
        <v>*</v>
      </c>
      <c r="I7" s="73">
        <f>'All Minorities'!G7</f>
        <v>3.6311397849462357</v>
      </c>
      <c r="L7" s="1">
        <f>'Black or African-American'!L7</f>
        <v>1</v>
      </c>
      <c r="M7" s="1">
        <f>Hispanic!L7</f>
        <v>2</v>
      </c>
      <c r="N7" s="1">
        <f>Asian!L7</f>
        <v>40</v>
      </c>
      <c r="O7" s="1" t="e">
        <f>Hawaiian!L7</f>
        <v>#VALUE!</v>
      </c>
      <c r="P7" s="1">
        <f>'Am Indian'!L7</f>
        <v>139</v>
      </c>
      <c r="Q7" s="1" t="e">
        <f>'Other - Mixed'!L7</f>
        <v>#VALUE!</v>
      </c>
      <c r="R7" s="1">
        <f>'All Minorities'!L7</f>
        <v>1</v>
      </c>
    </row>
    <row r="8" spans="2:18" ht="15" customHeight="1">
      <c r="B8" s="71" t="s">
        <v>9</v>
      </c>
      <c r="C8" s="72">
        <f>'Black or African-American'!$G8</f>
        <v>0.7039911308203991</v>
      </c>
      <c r="D8" s="72" t="str">
        <f>Hispanic!G8</f>
        <v>**</v>
      </c>
      <c r="E8" s="72" t="str">
        <f>Asian!G8</f>
        <v>**</v>
      </c>
      <c r="F8" s="72" t="str">
        <f>Hawaiian!G8</f>
        <v>*</v>
      </c>
      <c r="G8" s="72" t="str">
        <f>'Am Indian'!G8</f>
        <v>*</v>
      </c>
      <c r="H8" s="72" t="str">
        <f>'Other - Mixed'!G8</f>
        <v>*</v>
      </c>
      <c r="I8" s="73">
        <f>'All Minorities'!G8</f>
        <v>0.83216713314674129</v>
      </c>
      <c r="L8" s="1">
        <f>'Black or African-American'!L8</f>
        <v>1</v>
      </c>
      <c r="M8" s="1">
        <f>Hispanic!L8</f>
        <v>40</v>
      </c>
      <c r="N8" s="1">
        <f>Asian!L8</f>
        <v>40</v>
      </c>
      <c r="O8" s="1">
        <f>Hawaiian!L8</f>
        <v>139</v>
      </c>
      <c r="P8" s="1">
        <f>'Am Indian'!L8</f>
        <v>139</v>
      </c>
      <c r="Q8" s="1">
        <f>'Other - Mixed'!L8</f>
        <v>119</v>
      </c>
      <c r="R8" s="1">
        <f>'All Minorities'!L8</f>
        <v>1</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f>Hispanic!L9</f>
        <v>40</v>
      </c>
      <c r="N9" s="1" t="e">
        <f>Asian!L9</f>
        <v>#VALUE!</v>
      </c>
      <c r="O9" s="1" t="e">
        <f>Hawaiian!L9</f>
        <v>#VALUE!</v>
      </c>
      <c r="P9" s="1">
        <f>'Am Indian'!L9</f>
        <v>139</v>
      </c>
      <c r="Q9" s="1">
        <f>'Other - Mixed'!L9</f>
        <v>139</v>
      </c>
      <c r="R9" s="1">
        <f>'All Minorities'!L9</f>
        <v>20</v>
      </c>
    </row>
    <row r="10" spans="2:18" ht="15" customHeight="1">
      <c r="B10" s="71" t="s">
        <v>11</v>
      </c>
      <c r="C10" s="72">
        <f>'Black or African-American'!$G10</f>
        <v>1.2982812632291931</v>
      </c>
      <c r="D10" s="72" t="str">
        <f>Hispanic!G10</f>
        <v>**</v>
      </c>
      <c r="E10" s="72" t="str">
        <f>Asian!G10</f>
        <v>--</v>
      </c>
      <c r="F10" s="72" t="str">
        <f>Hawaiian!G10</f>
        <v>*</v>
      </c>
      <c r="G10" s="72" t="str">
        <f>'Am Indian'!G10</f>
        <v>*</v>
      </c>
      <c r="H10" s="72" t="str">
        <f>'Other - Mixed'!G10</f>
        <v>*</v>
      </c>
      <c r="I10" s="73">
        <f>'All Minorities'!G10</f>
        <v>1.2232878039329651</v>
      </c>
      <c r="L10" s="1">
        <f>'Black or African-American'!L10</f>
        <v>1</v>
      </c>
      <c r="M10" s="1">
        <f>Hispanic!L10</f>
        <v>40</v>
      </c>
      <c r="N10" s="1" t="e">
        <f>Asian!L10</f>
        <v>#VALUE!</v>
      </c>
      <c r="O10" s="1" t="e">
        <f>Hawaiian!L10</f>
        <v>#VALUE!</v>
      </c>
      <c r="P10" s="1">
        <f>'Am Indian'!L10</f>
        <v>119</v>
      </c>
      <c r="Q10" s="1">
        <f>'Other - Mixed'!L10</f>
        <v>101</v>
      </c>
      <c r="R10" s="1">
        <f>'All Minorities'!L10</f>
        <v>1</v>
      </c>
    </row>
    <row r="11" spans="2:18" ht="15" customHeight="1">
      <c r="B11" s="71" t="s">
        <v>95</v>
      </c>
      <c r="C11" s="72">
        <f>'Black or African-American'!$G11</f>
        <v>0.95624439350144519</v>
      </c>
      <c r="D11" s="72" t="str">
        <f>Hispanic!G11</f>
        <v>**</v>
      </c>
      <c r="E11" s="72" t="str">
        <f>Asian!G11</f>
        <v>--</v>
      </c>
      <c r="F11" s="72" t="str">
        <f>Hawaiian!G11</f>
        <v>*</v>
      </c>
      <c r="G11" s="72" t="str">
        <f>'Am Indian'!G11</f>
        <v>*</v>
      </c>
      <c r="H11" s="72" t="str">
        <f>'Other - Mixed'!G11</f>
        <v>*</v>
      </c>
      <c r="I11" s="73">
        <f>'All Minorities'!G11</f>
        <v>0.91641008096704291</v>
      </c>
      <c r="L11" s="1">
        <f>'Black or African-American'!L11</f>
        <v>2</v>
      </c>
      <c r="M11" s="1">
        <f>Hispanic!L11</f>
        <v>20</v>
      </c>
      <c r="N11" s="1" t="e">
        <f>Asian!L11</f>
        <v>#VALUE!</v>
      </c>
      <c r="O11" s="1" t="e">
        <f>Hawaiian!L11</f>
        <v>#VALUE!</v>
      </c>
      <c r="P11" s="1">
        <f>'Am Indian'!L11</f>
        <v>139</v>
      </c>
      <c r="Q11" s="1">
        <f>'Other - Mixed'!L11</f>
        <v>100</v>
      </c>
      <c r="R11" s="1">
        <f>'All Minorities'!L11</f>
        <v>1</v>
      </c>
    </row>
    <row r="12" spans="2:18" ht="15" customHeight="1">
      <c r="B12" s="71" t="s">
        <v>13</v>
      </c>
      <c r="C12" s="72">
        <f>'Black or African-American'!$G12</f>
        <v>0.94064249926318899</v>
      </c>
      <c r="D12" s="72" t="str">
        <f>Hispanic!G12</f>
        <v>**</v>
      </c>
      <c r="E12" s="72" t="str">
        <f>Asian!G12</f>
        <v>--</v>
      </c>
      <c r="F12" s="72" t="str">
        <f>Hawaiian!G12</f>
        <v>*</v>
      </c>
      <c r="G12" s="72" t="str">
        <f>'Am Indian'!G12</f>
        <v>*</v>
      </c>
      <c r="H12" s="72" t="str">
        <f>'Other - Mixed'!G12</f>
        <v>*</v>
      </c>
      <c r="I12" s="73">
        <f>'All Minorities'!G12</f>
        <v>0.96364062866525924</v>
      </c>
      <c r="L12" s="1">
        <f>'Black or African-American'!L12</f>
        <v>2</v>
      </c>
      <c r="M12" s="1">
        <f>Hispanic!L12</f>
        <v>40</v>
      </c>
      <c r="N12" s="1" t="e">
        <f>Asian!L12</f>
        <v>#VALUE!</v>
      </c>
      <c r="O12" s="1" t="e">
        <f>Hawaiian!L12</f>
        <v>#VALUE!</v>
      </c>
      <c r="P12" s="1">
        <f>'Am Indian'!L12</f>
        <v>139</v>
      </c>
      <c r="Q12" s="1">
        <f>'Other - Mixed'!L12</f>
        <v>101</v>
      </c>
      <c r="R12" s="1">
        <f>'All Minorities'!L12</f>
        <v>2</v>
      </c>
    </row>
    <row r="13" spans="2:18" ht="15" customHeight="1">
      <c r="B13" s="71" t="s">
        <v>14</v>
      </c>
      <c r="C13" s="72">
        <f>'Black or African-American'!$G13</f>
        <v>0.9723685134470893</v>
      </c>
      <c r="D13" s="72" t="str">
        <f>Hispanic!G13</f>
        <v>**</v>
      </c>
      <c r="E13" s="72" t="str">
        <f>Asian!G13</f>
        <v>--</v>
      </c>
      <c r="F13" s="72" t="str">
        <f>Hawaiian!G13</f>
        <v>*</v>
      </c>
      <c r="G13" s="72" t="str">
        <f>'Am Indian'!G13</f>
        <v>*</v>
      </c>
      <c r="H13" s="72" t="str">
        <f>'Other - Mixed'!G13</f>
        <v>*</v>
      </c>
      <c r="I13" s="73">
        <f>'All Minorities'!G13</f>
        <v>0.95321876704855435</v>
      </c>
      <c r="L13" s="1">
        <f>'Black or African-American'!L13</f>
        <v>2</v>
      </c>
      <c r="M13" s="1">
        <f>Hispanic!L13</f>
        <v>20</v>
      </c>
      <c r="N13" s="1" t="e">
        <f>Asian!L13</f>
        <v>#VALUE!</v>
      </c>
      <c r="O13" s="1" t="e">
        <f>Hawaiian!L13</f>
        <v>#VALUE!</v>
      </c>
      <c r="P13" s="1">
        <f>'Am Indian'!L13</f>
        <v>119</v>
      </c>
      <c r="Q13" s="1">
        <f>'Other - Mixed'!L13</f>
        <v>101</v>
      </c>
      <c r="R13" s="1">
        <f>'All Minorities'!L13</f>
        <v>2</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f>Hispanic!L15</f>
        <v>20</v>
      </c>
      <c r="N15" s="1" t="e">
        <f>Asian!L15</f>
        <v>#VALUE!</v>
      </c>
      <c r="O15" s="1" t="e">
        <f>Hawaiian!L15</f>
        <v>#VALUE!</v>
      </c>
      <c r="P15" s="1" t="e">
        <f>'Am Indian'!L15</f>
        <v>#VALUE!</v>
      </c>
      <c r="Q15" s="1" t="e">
        <f>'Other - Mixed'!L15</f>
        <v>#VALUE!</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18512</v>
      </c>
      <c r="D3" s="57">
        <f>'Data Entry'!C6</f>
        <v>11072</v>
      </c>
      <c r="E3" s="57">
        <f>'Data Entry'!D6</f>
        <v>4493</v>
      </c>
      <c r="F3" s="57">
        <f>'Data Entry'!E6</f>
        <v>2546</v>
      </c>
      <c r="G3" s="57">
        <f>'Data Entry'!F6</f>
        <v>303</v>
      </c>
      <c r="H3" s="57">
        <f>'Data Entry'!G6</f>
        <v>0</v>
      </c>
      <c r="I3" s="57">
        <f>'Data Entry'!H6</f>
        <v>98</v>
      </c>
      <c r="J3" s="57">
        <f>'Data Entry'!I6</f>
        <v>0</v>
      </c>
      <c r="K3" s="57">
        <f>'Data Entry'!J6</f>
        <v>7440</v>
      </c>
    </row>
    <row r="4" spans="2:11" ht="15" customHeight="1">
      <c r="B4" s="16" t="s">
        <v>8</v>
      </c>
      <c r="C4" s="1">
        <f>IF((C$3&gt;0),(1000*('Data Entry'!B7/'Data Entry'!B$6)), 0)</f>
        <v>14.098962834917891</v>
      </c>
      <c r="D4" s="1">
        <f>IF((D$3&gt;0),(1000*('Data Entry'!C7/'Data Entry'!C$6)), 0)</f>
        <v>6.773843930635838</v>
      </c>
      <c r="E4" s="1">
        <f>IF((E$3&gt;0),(1000*('Data Entry'!D7/'Data Entry'!D$6)), 0)</f>
        <v>36.723792566214108</v>
      </c>
      <c r="F4" s="1">
        <f>IF((F$3&gt;0),(1000*('Data Entry'!E7/'Data Entry'!E$6)), 0)</f>
        <v>6.284367635506678</v>
      </c>
      <c r="G4" s="1">
        <f>IF((G$3&gt;0),(1000*('Data Entry'!F7/'Data Entry'!F$6)), 0)</f>
        <v>0</v>
      </c>
      <c r="H4" s="1">
        <f>IF((H$3&gt;0),(1000*('Data Entry'!G7/'Data Entry'!G$6)), 0)</f>
        <v>0</v>
      </c>
      <c r="I4" s="1">
        <f>IF((I$3&gt;0),(1000*('Data Entry'!H7/'Data Entry'!H$6)), 0)</f>
        <v>20.408163265306122</v>
      </c>
      <c r="J4" s="1">
        <f>IF((J$3&gt;0),(1000*('Data Entry'!I7/'Data Entry'!I$6)), 0)</f>
        <v>0</v>
      </c>
      <c r="K4" s="1">
        <f>IF((K$3&gt;0),(1000*('Data Entry'!J7/'Data Entry'!J$6)), 0)</f>
        <v>24.596774193548388</v>
      </c>
    </row>
    <row r="5" spans="2:11" ht="15" customHeight="1">
      <c r="B5" s="16" t="s">
        <v>9</v>
      </c>
      <c r="C5" s="1">
        <f>IF((C$3&gt;0),(1000*('Data Entry'!B8/'Data Entry'!B$6)), 0)</f>
        <v>26.847450302506484</v>
      </c>
      <c r="D5" s="1">
        <f>IF((D$3&gt;0),(1000*('Data Entry'!C8/'Data Entry'!C$6)), 0)</f>
        <v>14.812138728323699</v>
      </c>
      <c r="E5" s="1">
        <f>IF((E$3&gt;0),(1000*('Data Entry'!D8/'Data Entry'!D$6)), 0)</f>
        <v>56.532383707990206</v>
      </c>
      <c r="F5" s="1">
        <f>IF((F$3&gt;0),(1000*('Data Entry'!E8/'Data Entry'!E$6)), 0)</f>
        <v>11.783189316575019</v>
      </c>
      <c r="G5" s="1">
        <f>IF((G$3&gt;0),(1000*('Data Entry'!F8/'Data Entry'!F$6)), 0)</f>
        <v>0</v>
      </c>
      <c r="H5" s="1">
        <f>IF((H$3&gt;0),(1000*('Data Entry'!G8/'Data Entry'!G$6)), 0)</f>
        <v>0</v>
      </c>
      <c r="I5" s="1">
        <f>IF((I$3&gt;0),(1000*('Data Entry'!H8/'Data Entry'!H$6)), 0)</f>
        <v>20.408163265306122</v>
      </c>
      <c r="J5" s="1">
        <f>IF((J$3&gt;0),(1000*('Data Entry'!I8/'Data Entry'!I$6)), 0)</f>
        <v>0</v>
      </c>
      <c r="K5" s="1">
        <f>IF((K$3&gt;0),(1000*('Data Entry'!J8/'Data Entry'!J$6)), 0)</f>
        <v>44.758064516129032</v>
      </c>
    </row>
    <row r="6" spans="2:11" ht="15" customHeight="1">
      <c r="B6" s="16" t="s">
        <v>10</v>
      </c>
      <c r="C6" s="1">
        <f>IF((C$3&gt;0),(1000*('Data Entry'!B9/'Data Entry'!B$6)), 0)</f>
        <v>0.37813310285220397</v>
      </c>
      <c r="D6" s="1">
        <f>IF((D$3&gt;0),(1000*('Data Entry'!C9/'Data Entry'!C$6)), 0)</f>
        <v>0.54190751445086704</v>
      </c>
      <c r="E6" s="1">
        <f>IF((E$3&gt;0),(1000*('Data Entry'!D9/'Data Entry'!D$6)), 0)</f>
        <v>0</v>
      </c>
      <c r="F6" s="1">
        <f>IF((F$3&gt;0),(1000*('Data Entry'!E9/'Data Entry'!E$6)), 0)</f>
        <v>0.39277297721916737</v>
      </c>
      <c r="G6" s="1">
        <f>IF((G$3&gt;0),(1000*('Data Entry'!F9/'Data Entry'!F$6)), 0)</f>
        <v>0</v>
      </c>
      <c r="H6" s="1">
        <f>IF((H$3&gt;0),(1000*('Data Entry'!G9/'Data Entry'!G$6)), 0)</f>
        <v>0</v>
      </c>
      <c r="I6" s="1">
        <f>IF((I$3&gt;0),(1000*('Data Entry'!H9/'Data Entry'!H$6)), 0)</f>
        <v>0</v>
      </c>
      <c r="J6" s="1">
        <f>IF((J$3&gt;0),(1000*('Data Entry'!I9/'Data Entry'!I$6)), 0)</f>
        <v>0</v>
      </c>
      <c r="K6" s="1">
        <f>IF((K$3&gt;0),(1000*('Data Entry'!J9/'Data Entry'!J$6)), 0)</f>
        <v>0.13440860215053763</v>
      </c>
    </row>
    <row r="7" spans="2:11" ht="15" customHeight="1">
      <c r="B7" s="16" t="s">
        <v>11</v>
      </c>
      <c r="C7" s="1">
        <f>IF((C$3&gt;0),(1000*('Data Entry'!B10/'Data Entry'!B$6)), 0)</f>
        <v>17.502160760587728</v>
      </c>
      <c r="D7" s="1">
        <f>IF((D$3&gt;0),(1000*('Data Entry'!C10/'Data Entry'!C$6)), 0)</f>
        <v>8.3995664739884397</v>
      </c>
      <c r="E7" s="1">
        <f>IF((E$3&gt;0),(1000*('Data Entry'!D10/'Data Entry'!D$6)), 0)</f>
        <v>41.620298241709328</v>
      </c>
      <c r="F7" s="1">
        <f>IF((F$3&gt;0),(1000*('Data Entry'!E10/'Data Entry'!E$6)), 0)</f>
        <v>5.8915946582875094</v>
      </c>
      <c r="G7" s="1">
        <f>IF((G$3&gt;0),(1000*('Data Entry'!F10/'Data Entry'!F$6)), 0)</f>
        <v>0</v>
      </c>
      <c r="H7" s="1">
        <f>IF((H$3&gt;0),(1000*('Data Entry'!G10/'Data Entry'!G$6)), 0)</f>
        <v>0</v>
      </c>
      <c r="I7" s="1">
        <f>IF((I$3&gt;0),(1000*('Data Entry'!H10/'Data Entry'!H$6)), 0)</f>
        <v>30.612244897959183</v>
      </c>
      <c r="J7" s="1">
        <f>IF((J$3&gt;0),(1000*('Data Entry'!I10/'Data Entry'!I$6)), 0)</f>
        <v>0</v>
      </c>
      <c r="K7" s="1">
        <f>IF((K$3&gt;0),(1000*('Data Entry'!J10/'Data Entry'!J$6)), 0)</f>
        <v>31.048387096774192</v>
      </c>
    </row>
    <row r="8" spans="2:11" ht="15" customHeight="1">
      <c r="B8" s="16" t="s">
        <v>95</v>
      </c>
      <c r="C8" s="1">
        <f>IF((C$3&gt;0),(1000*('Data Entry'!B11/'Data Entry'!B$6)), 0)</f>
        <v>24.41659464131374</v>
      </c>
      <c r="D8" s="1">
        <f>IF((D$3&gt;0),(1000*('Data Entry'!C11/'Data Entry'!C$6)), 0)</f>
        <v>14.270231213872831</v>
      </c>
      <c r="E8" s="1">
        <f>IF((E$3&gt;0),(1000*('Data Entry'!D11/'Data Entry'!D$6)), 0)</f>
        <v>52.081014912085465</v>
      </c>
      <c r="F8" s="1">
        <f>IF((F$3&gt;0),(1000*('Data Entry'!E11/'Data Entry'!E$6)), 0)</f>
        <v>9.4265514532600161</v>
      </c>
      <c r="G8" s="1">
        <f>IF((G$3&gt;0),(1000*('Data Entry'!F11/'Data Entry'!F$6)), 0)</f>
        <v>0</v>
      </c>
      <c r="H8" s="1">
        <f>IF((H$3&gt;0),(1000*('Data Entry'!G11/'Data Entry'!G$6)), 0)</f>
        <v>0</v>
      </c>
      <c r="I8" s="1">
        <f>IF((I$3&gt;0),(1000*('Data Entry'!H11/'Data Entry'!H$6)), 0)</f>
        <v>20.408163265306122</v>
      </c>
      <c r="J8" s="1">
        <f>IF((J$3&gt;0),(1000*('Data Entry'!I11/'Data Entry'!I$6)), 0)</f>
        <v>0</v>
      </c>
      <c r="K8" s="1">
        <f>IF((K$3&gt;0),(1000*('Data Entry'!J11/'Data Entry'!J$6)), 0)</f>
        <v>39.516129032258064</v>
      </c>
    </row>
    <row r="9" spans="2:11" ht="15" customHeight="1">
      <c r="B9" s="16" t="s">
        <v>13</v>
      </c>
      <c r="C9" s="1">
        <f>IF((C$3&gt;0),(1000*('Data Entry'!B12/'Data Entry'!B$6)), 0)</f>
        <v>21.877700950734656</v>
      </c>
      <c r="D9" s="1">
        <f>IF((D$3&gt;0),(1000*('Data Entry'!C12/'Data Entry'!C$6)), 0)</f>
        <v>13.096098265895954</v>
      </c>
      <c r="E9" s="1">
        <f>IF((E$3&gt;0),(1000*('Data Entry'!D12/'Data Entry'!D$6)), 0)</f>
        <v>44.958824838637881</v>
      </c>
      <c r="F9" s="1">
        <f>IF((F$3&gt;0),(1000*('Data Entry'!E12/'Data Entry'!E$6)), 0)</f>
        <v>8.6410054988216807</v>
      </c>
      <c r="G9" s="1">
        <f>IF((G$3&gt;0),(1000*('Data Entry'!F12/'Data Entry'!F$6)), 0)</f>
        <v>0</v>
      </c>
      <c r="H9" s="1">
        <f>IF((H$3&gt;0),(1000*('Data Entry'!G12/'Data Entry'!G$6)), 0)</f>
        <v>0</v>
      </c>
      <c r="I9" s="1">
        <f>IF((I$3&gt;0),(1000*('Data Entry'!H12/'Data Entry'!H$6)), 0)</f>
        <v>20.408163265306122</v>
      </c>
      <c r="J9" s="1">
        <f>IF((J$3&gt;0),(1000*('Data Entry'!I12/'Data Entry'!I$6)), 0)</f>
        <v>0</v>
      </c>
      <c r="K9" s="1">
        <f>IF((K$3&gt;0),(1000*('Data Entry'!J12/'Data Entry'!J$6)), 0)</f>
        <v>34.946236559139784</v>
      </c>
    </row>
    <row r="10" spans="2:11" ht="15" customHeight="1">
      <c r="B10" s="16" t="s">
        <v>14</v>
      </c>
      <c r="C10" s="1">
        <f>IF((C$3&gt;0),(1000*('Data Entry'!B13/'Data Entry'!B$6)), 0)</f>
        <v>20.635263612791704</v>
      </c>
      <c r="D10" s="1">
        <f>IF((D$3&gt;0),(1000*('Data Entry'!C13/'Data Entry'!C$6)), 0)</f>
        <v>12.734826589595375</v>
      </c>
      <c r="E10" s="1">
        <f>IF((E$3&gt;0),(1000*('Data Entry'!D13/'Data Entry'!D$6)), 0)</f>
        <v>42.510572000890271</v>
      </c>
      <c r="F10" s="1">
        <f>IF((F$3&gt;0),(1000*('Data Entry'!E13/'Data Entry'!E$6)), 0)</f>
        <v>7.0699135899450116</v>
      </c>
      <c r="G10" s="1">
        <f>IF((G$3&gt;0),(1000*('Data Entry'!F13/'Data Entry'!F$6)), 0)</f>
        <v>0</v>
      </c>
      <c r="H10" s="1">
        <f>IF((H$3&gt;0),(1000*('Data Entry'!G13/'Data Entry'!G$6)), 0)</f>
        <v>0</v>
      </c>
      <c r="I10" s="1">
        <f>IF((I$3&gt;0),(1000*('Data Entry'!H13/'Data Entry'!H$6)), 0)</f>
        <v>10.204081632653061</v>
      </c>
      <c r="J10" s="1">
        <f>IF((J$3&gt;0),(1000*('Data Entry'!I13/'Data Entry'!I$6)), 0)</f>
        <v>0</v>
      </c>
      <c r="K10" s="1">
        <f>IF((K$3&gt;0),(1000*('Data Entry'!J13/'Data Entry'!J$6)), 0)</f>
        <v>32.392473118279568</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5.4019014693171996E-2</v>
      </c>
      <c r="D12" s="1">
        <f>IF((D$3&gt;0),(1000*('Data Entry'!C15/'Data Entry'!C$6)), 0)</f>
        <v>0</v>
      </c>
      <c r="E12" s="1">
        <f>IF((E$3&gt;0),(1000*('Data Entry'!D15/'Data Entry'!D$6)), 0)</f>
        <v>0</v>
      </c>
      <c r="F12" s="1">
        <f>IF((F$3&gt;0),(1000*('Data Entry'!E15/'Data Entry'!E$6)), 0)</f>
        <v>0.39277297721916737</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0.13440860215053763</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Saginaw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5.4214110839083016</v>
      </c>
      <c r="E19" s="72">
        <f t="shared" si="1"/>
        <v>0.92774024613773254</v>
      </c>
      <c r="F19" s="72" t="str">
        <f t="shared" si="1"/>
        <v>--</v>
      </c>
      <c r="G19" s="72" t="str">
        <f t="shared" si="1"/>
        <v>--</v>
      </c>
      <c r="H19" s="72">
        <f t="shared" si="1"/>
        <v>3.0127891156462585</v>
      </c>
      <c r="I19" s="72" t="str">
        <f t="shared" si="1"/>
        <v>--</v>
      </c>
      <c r="J19" s="73">
        <f t="shared" si="1"/>
        <v>3.6311397849462366</v>
      </c>
    </row>
    <row r="20" spans="2:10" ht="15" customHeight="1">
      <c r="B20" s="71" t="s">
        <v>9</v>
      </c>
      <c r="C20" s="72">
        <f t="shared" ref="C20:J27" si="2">IF(AND(($D5&gt;0),(D5&gt;0)), (D5/$D5),"--")</f>
        <v>1</v>
      </c>
      <c r="D20" s="72">
        <f t="shared" si="2"/>
        <v>3.816625319602851</v>
      </c>
      <c r="E20" s="72">
        <f t="shared" si="2"/>
        <v>0.79550897629950368</v>
      </c>
      <c r="F20" s="72" t="str">
        <f t="shared" si="2"/>
        <v>--</v>
      </c>
      <c r="G20" s="72" t="str">
        <f t="shared" si="2"/>
        <v>--</v>
      </c>
      <c r="H20" s="72">
        <f t="shared" si="2"/>
        <v>1.3777999004479842</v>
      </c>
      <c r="I20" s="72" t="str">
        <f t="shared" si="2"/>
        <v>--</v>
      </c>
      <c r="J20" s="73">
        <f t="shared" si="2"/>
        <v>3.0217151848937847</v>
      </c>
    </row>
    <row r="21" spans="2:10" ht="15" customHeight="1">
      <c r="B21" s="71" t="s">
        <v>10</v>
      </c>
      <c r="C21" s="72">
        <f t="shared" si="2"/>
        <v>1</v>
      </c>
      <c r="D21" s="72" t="str">
        <f t="shared" si="2"/>
        <v>--</v>
      </c>
      <c r="E21" s="72">
        <f t="shared" si="2"/>
        <v>0.72479706729510351</v>
      </c>
      <c r="F21" s="72" t="str">
        <f t="shared" si="2"/>
        <v>--</v>
      </c>
      <c r="G21" s="72" t="str">
        <f t="shared" si="2"/>
        <v>--</v>
      </c>
      <c r="H21" s="72" t="str">
        <f t="shared" si="2"/>
        <v>--</v>
      </c>
      <c r="I21" s="72" t="str">
        <f t="shared" si="2"/>
        <v>--</v>
      </c>
      <c r="J21" s="73">
        <f t="shared" si="2"/>
        <v>0.24802867383512545</v>
      </c>
    </row>
    <row r="22" spans="2:10" ht="15" customHeight="1">
      <c r="B22" s="71" t="s">
        <v>11</v>
      </c>
      <c r="C22" s="72">
        <f t="shared" si="2"/>
        <v>1</v>
      </c>
      <c r="D22" s="72">
        <f t="shared" si="2"/>
        <v>4.9550531412065126</v>
      </c>
      <c r="E22" s="72">
        <f t="shared" si="2"/>
        <v>0.70141651673719674</v>
      </c>
      <c r="F22" s="72" t="str">
        <f t="shared" si="2"/>
        <v>--</v>
      </c>
      <c r="G22" s="72" t="str">
        <f t="shared" si="2"/>
        <v>--</v>
      </c>
      <c r="H22" s="72">
        <f t="shared" si="2"/>
        <v>3.6445029624753125</v>
      </c>
      <c r="I22" s="72" t="str">
        <f t="shared" si="2"/>
        <v>--</v>
      </c>
      <c r="J22" s="73">
        <f t="shared" si="2"/>
        <v>3.6964273326396113</v>
      </c>
    </row>
    <row r="23" spans="2:10" ht="15" customHeight="1">
      <c r="B23" s="71" t="s">
        <v>95</v>
      </c>
      <c r="C23" s="72">
        <f t="shared" si="2"/>
        <v>1</v>
      </c>
      <c r="D23" s="72">
        <f t="shared" si="2"/>
        <v>3.6496265639658878</v>
      </c>
      <c r="E23" s="72">
        <f t="shared" si="2"/>
        <v>0.66057454234490443</v>
      </c>
      <c r="F23" s="72" t="str">
        <f t="shared" si="2"/>
        <v>--</v>
      </c>
      <c r="G23" s="72" t="str">
        <f t="shared" si="2"/>
        <v>--</v>
      </c>
      <c r="H23" s="72">
        <f t="shared" si="2"/>
        <v>1.4301214156548696</v>
      </c>
      <c r="I23" s="72" t="str">
        <f t="shared" si="2"/>
        <v>--</v>
      </c>
      <c r="J23" s="73">
        <f t="shared" si="2"/>
        <v>2.7691302572478564</v>
      </c>
    </row>
    <row r="24" spans="2:10" ht="15" customHeight="1">
      <c r="B24" s="71" t="s">
        <v>13</v>
      </c>
      <c r="C24" s="72">
        <f t="shared" si="2"/>
        <v>1</v>
      </c>
      <c r="D24" s="72">
        <f t="shared" si="2"/>
        <v>3.4329938525061974</v>
      </c>
      <c r="E24" s="72">
        <f t="shared" si="2"/>
        <v>0.65981526126174928</v>
      </c>
      <c r="F24" s="72" t="str">
        <f t="shared" si="2"/>
        <v>--</v>
      </c>
      <c r="G24" s="72" t="str">
        <f t="shared" si="2"/>
        <v>--</v>
      </c>
      <c r="H24" s="72">
        <f t="shared" si="2"/>
        <v>1.5583391977480647</v>
      </c>
      <c r="I24" s="72" t="str">
        <f t="shared" si="2"/>
        <v>--</v>
      </c>
      <c r="J24" s="73">
        <f t="shared" si="2"/>
        <v>2.668446421950315</v>
      </c>
    </row>
    <row r="25" spans="2:10" ht="15" customHeight="1">
      <c r="B25" s="71" t="s">
        <v>14</v>
      </c>
      <c r="C25" s="72">
        <f t="shared" si="2"/>
        <v>1</v>
      </c>
      <c r="D25" s="72">
        <f t="shared" si="2"/>
        <v>3.3381351290344474</v>
      </c>
      <c r="E25" s="72">
        <f t="shared" si="2"/>
        <v>0.55516371111965368</v>
      </c>
      <c r="F25" s="72" t="str">
        <f t="shared" si="2"/>
        <v>--</v>
      </c>
      <c r="G25" s="72" t="str">
        <f t="shared" si="2"/>
        <v>--</v>
      </c>
      <c r="H25" s="72">
        <f t="shared" si="2"/>
        <v>0.80127370096974959</v>
      </c>
      <c r="I25" s="72" t="str">
        <f t="shared" si="2"/>
        <v>--</v>
      </c>
      <c r="J25" s="73">
        <f t="shared" si="2"/>
        <v>2.5436132082666054</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Saginaw</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11072</v>
      </c>
      <c r="D7" s="104">
        <f>'Data Entry'!D6</f>
        <v>4493</v>
      </c>
      <c r="E7" s="105"/>
      <c r="F7" s="106">
        <f>'Data Entry'!E6</f>
        <v>2546</v>
      </c>
      <c r="G7" s="105"/>
      <c r="H7" s="106">
        <f>'Data Entry'!F6</f>
        <v>303</v>
      </c>
      <c r="I7" s="105"/>
      <c r="J7" s="106">
        <f>'Data Entry'!G6</f>
        <v>0</v>
      </c>
      <c r="K7" s="105"/>
      <c r="L7" s="106">
        <f>'Data Entry'!H6</f>
        <v>98</v>
      </c>
      <c r="M7" s="105"/>
      <c r="N7" s="106">
        <f>'Data Entry'!I6</f>
        <v>0</v>
      </c>
      <c r="O7" s="105"/>
      <c r="P7" s="106">
        <f>'Data Entry'!J6</f>
        <v>7440</v>
      </c>
      <c r="Q7" s="107"/>
    </row>
    <row r="8" spans="2:26" s="1" customFormat="1" ht="15" customHeight="1">
      <c r="B8" s="142" t="s">
        <v>8</v>
      </c>
      <c r="C8" s="103">
        <f>'Data Entry'!C7</f>
        <v>75</v>
      </c>
      <c r="D8" s="104">
        <f>'Data Entry'!D7</f>
        <v>165</v>
      </c>
      <c r="E8" s="105">
        <f>'Black or African-American'!$G7</f>
        <v>5.4214110839083007</v>
      </c>
      <c r="F8" s="106">
        <f>'Data Entry'!E7</f>
        <v>16</v>
      </c>
      <c r="G8" s="105">
        <f>Hispanic!G7</f>
        <v>0.92774024613773243</v>
      </c>
      <c r="H8" s="106">
        <f>'Data Entry'!F7</f>
        <v>0</v>
      </c>
      <c r="I8" s="105" t="str">
        <f>Asian!G7</f>
        <v>**</v>
      </c>
      <c r="J8" s="106">
        <f>'Data Entry'!G7</f>
        <v>0</v>
      </c>
      <c r="K8" s="105" t="str">
        <f>Hawaiian!G7</f>
        <v>*</v>
      </c>
      <c r="L8" s="106">
        <f>'Data Entry'!H7</f>
        <v>2</v>
      </c>
      <c r="M8" s="105" t="str">
        <f>'Am Indian'!G7</f>
        <v>*</v>
      </c>
      <c r="N8" s="106">
        <f>'Data Entry'!I7</f>
        <v>0</v>
      </c>
      <c r="O8" s="105" t="str">
        <f>'Other - Mixed'!G7</f>
        <v>*</v>
      </c>
      <c r="P8" s="106">
        <f>'Data Entry'!J7</f>
        <v>183</v>
      </c>
      <c r="Q8" s="107">
        <f>'All Minorities'!G7</f>
        <v>3.6311397849462357</v>
      </c>
      <c r="R8"/>
      <c r="T8" s="1">
        <f>'Black or African-American'!L7</f>
        <v>1</v>
      </c>
      <c r="U8" s="1">
        <f>Hispanic!L7</f>
        <v>2</v>
      </c>
      <c r="V8" s="1">
        <f>Asian!L7</f>
        <v>40</v>
      </c>
      <c r="W8" s="1" t="e">
        <f>Hawaiian!L7</f>
        <v>#VALUE!</v>
      </c>
      <c r="X8" s="1">
        <f>'Am Indian'!L7</f>
        <v>139</v>
      </c>
      <c r="Y8" s="1" t="e">
        <f>'Other - Mixed'!L7</f>
        <v>#VALUE!</v>
      </c>
      <c r="Z8" s="1">
        <f>'All Minorities'!L7</f>
        <v>1</v>
      </c>
    </row>
    <row r="9" spans="2:26" s="1" customFormat="1" ht="15" customHeight="1">
      <c r="B9" s="142" t="s">
        <v>126</v>
      </c>
      <c r="C9" s="103">
        <f>'Data Entry'!C8</f>
        <v>164</v>
      </c>
      <c r="D9" s="108">
        <f>'Data Entry'!D8</f>
        <v>254</v>
      </c>
      <c r="E9" s="109">
        <f>'Black or African-American'!$G8</f>
        <v>0.7039911308203991</v>
      </c>
      <c r="F9" s="110">
        <f>'Data Entry'!E8</f>
        <v>30</v>
      </c>
      <c r="G9" s="109" t="str">
        <f>Hispanic!G8</f>
        <v>**</v>
      </c>
      <c r="H9" s="110">
        <f>'Data Entry'!F8</f>
        <v>0</v>
      </c>
      <c r="I9" s="109" t="str">
        <f>Asian!G8</f>
        <v>**</v>
      </c>
      <c r="J9" s="110">
        <f>'Data Entry'!G8</f>
        <v>0</v>
      </c>
      <c r="K9" s="109" t="str">
        <f>Hawaiian!G8</f>
        <v>*</v>
      </c>
      <c r="L9" s="110">
        <f>'Data Entry'!H8</f>
        <v>2</v>
      </c>
      <c r="M9" s="109" t="str">
        <f>'Am Indian'!G8</f>
        <v>*</v>
      </c>
      <c r="N9" s="110">
        <f>'Data Entry'!I8</f>
        <v>47</v>
      </c>
      <c r="O9" s="109" t="str">
        <f>'Other - Mixed'!G8</f>
        <v>*</v>
      </c>
      <c r="P9" s="110">
        <f>'Data Entry'!J8</f>
        <v>333</v>
      </c>
      <c r="Q9" s="111">
        <f>'All Minorities'!G8</f>
        <v>0.83216713314674129</v>
      </c>
      <c r="R9"/>
      <c r="T9" s="1">
        <f>'Black or African-American'!L8</f>
        <v>1</v>
      </c>
      <c r="U9" s="1">
        <f>Hispanic!L8</f>
        <v>40</v>
      </c>
      <c r="V9" s="1">
        <f>Asian!L8</f>
        <v>40</v>
      </c>
      <c r="W9" s="1">
        <f>Hawaiian!L8</f>
        <v>139</v>
      </c>
      <c r="X9" s="1">
        <f>'Am Indian'!L8</f>
        <v>139</v>
      </c>
      <c r="Y9" s="1">
        <f>'Other - Mixed'!L8</f>
        <v>119</v>
      </c>
      <c r="Z9" s="1">
        <f>'All Minorities'!L8</f>
        <v>1</v>
      </c>
    </row>
    <row r="10" spans="2:26" s="1" customFormat="1" ht="15" customHeight="1">
      <c r="B10" s="142" t="s">
        <v>10</v>
      </c>
      <c r="C10" s="103">
        <f>'Data Entry'!C9</f>
        <v>6</v>
      </c>
      <c r="D10" s="112">
        <f>'Data Entry'!D9</f>
        <v>0</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1</v>
      </c>
      <c r="Q10" s="115" t="str">
        <f>'All Minorities'!G9</f>
        <v>**</v>
      </c>
      <c r="R10"/>
      <c r="T10" s="1">
        <f>'Black or African-American'!L9</f>
        <v>20</v>
      </c>
      <c r="U10" s="1">
        <f>Hispanic!L9</f>
        <v>40</v>
      </c>
      <c r="V10" s="1" t="e">
        <f>Asian!L9</f>
        <v>#VALUE!</v>
      </c>
      <c r="W10" s="1" t="e">
        <f>Hawaiian!L9</f>
        <v>#VALUE!</v>
      </c>
      <c r="X10" s="1">
        <f>'Am Indian'!L9</f>
        <v>139</v>
      </c>
      <c r="Y10" s="1">
        <f>'Other - Mixed'!L9</f>
        <v>139</v>
      </c>
      <c r="Z10" s="1">
        <f>'All Minorities'!L9</f>
        <v>20</v>
      </c>
    </row>
    <row r="11" spans="2:26" s="1" customFormat="1" ht="15" customHeight="1">
      <c r="B11" s="142" t="s">
        <v>11</v>
      </c>
      <c r="C11" s="103">
        <f>'Data Entry'!C10</f>
        <v>93</v>
      </c>
      <c r="D11" s="108">
        <f>'Data Entry'!D10</f>
        <v>187</v>
      </c>
      <c r="E11" s="109">
        <f>'Black or African-American'!$G10</f>
        <v>1.2982812632291931</v>
      </c>
      <c r="F11" s="110">
        <f>'Data Entry'!E10</f>
        <v>15</v>
      </c>
      <c r="G11" s="109" t="str">
        <f>Hispanic!G10</f>
        <v>**</v>
      </c>
      <c r="H11" s="110">
        <f>'Data Entry'!F10</f>
        <v>0</v>
      </c>
      <c r="I11" s="109" t="str">
        <f>Asian!G10</f>
        <v>--</v>
      </c>
      <c r="J11" s="110">
        <f>'Data Entry'!G10</f>
        <v>0</v>
      </c>
      <c r="K11" s="109" t="str">
        <f>Hawaiian!G10</f>
        <v>*</v>
      </c>
      <c r="L11" s="110">
        <f>'Data Entry'!H10</f>
        <v>3</v>
      </c>
      <c r="M11" s="109" t="str">
        <f>'Am Indian'!G10</f>
        <v>*</v>
      </c>
      <c r="N11" s="110">
        <f>'Data Entry'!I10</f>
        <v>26</v>
      </c>
      <c r="O11" s="109" t="str">
        <f>'Other - Mixed'!G10</f>
        <v>*</v>
      </c>
      <c r="P11" s="110">
        <f>'Data Entry'!J10</f>
        <v>231</v>
      </c>
      <c r="Q11" s="111">
        <f>'All Minorities'!G10</f>
        <v>1.2232878039329651</v>
      </c>
      <c r="R11"/>
      <c r="T11" s="1">
        <f>'Black or African-American'!L10</f>
        <v>1</v>
      </c>
      <c r="U11" s="1">
        <f>Hispanic!L10</f>
        <v>40</v>
      </c>
      <c r="V11" s="1" t="e">
        <f>Asian!L10</f>
        <v>#VALUE!</v>
      </c>
      <c r="W11" s="1" t="e">
        <f>Hawaiian!L10</f>
        <v>#VALUE!</v>
      </c>
      <c r="X11" s="1">
        <f>'Am Indian'!L10</f>
        <v>119</v>
      </c>
      <c r="Y11" s="1">
        <f>'Other - Mixed'!L10</f>
        <v>101</v>
      </c>
      <c r="Z11" s="1">
        <f>'All Minorities'!L10</f>
        <v>1</v>
      </c>
    </row>
    <row r="12" spans="2:26" s="1" customFormat="1" ht="15" customHeight="1">
      <c r="B12" s="142" t="s">
        <v>95</v>
      </c>
      <c r="C12" s="103">
        <f>'Data Entry'!C11</f>
        <v>158</v>
      </c>
      <c r="D12" s="112">
        <f>'Data Entry'!D11</f>
        <v>234</v>
      </c>
      <c r="E12" s="113">
        <f>'Black or African-American'!$G11</f>
        <v>0.95624439350144519</v>
      </c>
      <c r="F12" s="114">
        <f>'Data Entry'!E11</f>
        <v>24</v>
      </c>
      <c r="G12" s="113" t="str">
        <f>Hispanic!G11</f>
        <v>**</v>
      </c>
      <c r="H12" s="114">
        <f>'Data Entry'!F11</f>
        <v>0</v>
      </c>
      <c r="I12" s="113" t="str">
        <f>Asian!G11</f>
        <v>--</v>
      </c>
      <c r="J12" s="114">
        <f>'Data Entry'!G11</f>
        <v>0</v>
      </c>
      <c r="K12" s="113" t="str">
        <f>Hawaiian!G11</f>
        <v>*</v>
      </c>
      <c r="L12" s="114">
        <f>'Data Entry'!H11</f>
        <v>2</v>
      </c>
      <c r="M12" s="113" t="str">
        <f>'Am Indian'!G11</f>
        <v>*</v>
      </c>
      <c r="N12" s="114">
        <f>'Data Entry'!I11</f>
        <v>34</v>
      </c>
      <c r="O12" s="113" t="str">
        <f>'Other - Mixed'!G11</f>
        <v>*</v>
      </c>
      <c r="P12" s="114">
        <f>'Data Entry'!J11</f>
        <v>294</v>
      </c>
      <c r="Q12" s="115">
        <f>'All Minorities'!G11</f>
        <v>0.91641008096704291</v>
      </c>
      <c r="R12"/>
      <c r="T12" s="1">
        <f>'Black or African-American'!L11</f>
        <v>2</v>
      </c>
      <c r="U12" s="1">
        <f>Hispanic!L11</f>
        <v>20</v>
      </c>
      <c r="V12" s="1" t="e">
        <f>Asian!L11</f>
        <v>#VALUE!</v>
      </c>
      <c r="W12" s="1" t="e">
        <f>Hawaiian!L11</f>
        <v>#VALUE!</v>
      </c>
      <c r="X12" s="1">
        <f>'Am Indian'!L11</f>
        <v>139</v>
      </c>
      <c r="Y12" s="1">
        <f>'Other - Mixed'!L11</f>
        <v>100</v>
      </c>
      <c r="Z12" s="1">
        <f>'All Minorities'!L11</f>
        <v>1</v>
      </c>
    </row>
    <row r="13" spans="2:26" s="1" customFormat="1" ht="15" customHeight="1">
      <c r="B13" s="142" t="s">
        <v>13</v>
      </c>
      <c r="C13" s="103">
        <f>'Data Entry'!C12</f>
        <v>145</v>
      </c>
      <c r="D13" s="108">
        <f>'Data Entry'!D12</f>
        <v>202</v>
      </c>
      <c r="E13" s="109">
        <f>'Black or African-American'!$G12</f>
        <v>0.94064249926318899</v>
      </c>
      <c r="F13" s="110">
        <f>'Data Entry'!E12</f>
        <v>22</v>
      </c>
      <c r="G13" s="109" t="str">
        <f>Hispanic!G12</f>
        <v>**</v>
      </c>
      <c r="H13" s="110">
        <f>'Data Entry'!F12</f>
        <v>0</v>
      </c>
      <c r="I13" s="109" t="str">
        <f>Asian!G12</f>
        <v>--</v>
      </c>
      <c r="J13" s="110">
        <f>'Data Entry'!G12</f>
        <v>0</v>
      </c>
      <c r="K13" s="109" t="str">
        <f>Hawaiian!G12</f>
        <v>*</v>
      </c>
      <c r="L13" s="110">
        <f>'Data Entry'!H12</f>
        <v>2</v>
      </c>
      <c r="M13" s="109" t="str">
        <f>'Am Indian'!G12</f>
        <v>*</v>
      </c>
      <c r="N13" s="110">
        <f>'Data Entry'!I12</f>
        <v>34</v>
      </c>
      <c r="O13" s="109" t="str">
        <f>'Other - Mixed'!G12</f>
        <v>*</v>
      </c>
      <c r="P13" s="110">
        <f>'Data Entry'!J12</f>
        <v>260</v>
      </c>
      <c r="Q13" s="111">
        <f>'All Minorities'!G12</f>
        <v>0.96364062866525924</v>
      </c>
      <c r="R13"/>
      <c r="T13" s="1">
        <f>'Black or African-American'!L12</f>
        <v>2</v>
      </c>
      <c r="U13" s="1">
        <f>Hispanic!L12</f>
        <v>40</v>
      </c>
      <c r="V13" s="1" t="e">
        <f>Asian!L12</f>
        <v>#VALUE!</v>
      </c>
      <c r="W13" s="1" t="e">
        <f>Hawaiian!L12</f>
        <v>#VALUE!</v>
      </c>
      <c r="X13" s="1">
        <f>'Am Indian'!L12</f>
        <v>139</v>
      </c>
      <c r="Y13" s="1">
        <f>'Other - Mixed'!L12</f>
        <v>101</v>
      </c>
      <c r="Z13" s="1">
        <f>'All Minorities'!L12</f>
        <v>2</v>
      </c>
    </row>
    <row r="14" spans="2:26" s="1" customFormat="1" ht="15" customHeight="1">
      <c r="B14" s="142" t="s">
        <v>125</v>
      </c>
      <c r="C14" s="103">
        <f>'Data Entry'!C13</f>
        <v>141</v>
      </c>
      <c r="D14" s="112">
        <f>'Data Entry'!D13</f>
        <v>191</v>
      </c>
      <c r="E14" s="113">
        <f>'Black or African-American'!$G13</f>
        <v>0.9723685134470893</v>
      </c>
      <c r="F14" s="114">
        <f>'Data Entry'!E13</f>
        <v>18</v>
      </c>
      <c r="G14" s="113" t="str">
        <f>Hispanic!G13</f>
        <v>**</v>
      </c>
      <c r="H14" s="114">
        <f>'Data Entry'!F13</f>
        <v>0</v>
      </c>
      <c r="I14" s="113" t="str">
        <f>Asian!G13</f>
        <v>--</v>
      </c>
      <c r="J14" s="114">
        <f>'Data Entry'!G13</f>
        <v>0</v>
      </c>
      <c r="K14" s="113" t="str">
        <f>Hawaiian!G13</f>
        <v>*</v>
      </c>
      <c r="L14" s="114">
        <f>'Data Entry'!H13</f>
        <v>1</v>
      </c>
      <c r="M14" s="113" t="str">
        <f>'Am Indian'!G13</f>
        <v>*</v>
      </c>
      <c r="N14" s="114">
        <f>'Data Entry'!I13</f>
        <v>31</v>
      </c>
      <c r="O14" s="113" t="str">
        <f>'Other - Mixed'!G13</f>
        <v>*</v>
      </c>
      <c r="P14" s="114">
        <f>'Data Entry'!J13</f>
        <v>241</v>
      </c>
      <c r="Q14" s="115">
        <f>'All Minorities'!G13</f>
        <v>0.95321876704855435</v>
      </c>
      <c r="R14"/>
      <c r="T14" s="1">
        <f>'Black or African-American'!L13</f>
        <v>2</v>
      </c>
      <c r="U14" s="1">
        <f>Hispanic!L13</f>
        <v>20</v>
      </c>
      <c r="V14" s="1" t="e">
        <f>Asian!L13</f>
        <v>#VALUE!</v>
      </c>
      <c r="W14" s="1" t="e">
        <f>Hawaiian!L13</f>
        <v>#VALUE!</v>
      </c>
      <c r="X14" s="1">
        <f>'Am Indian'!L13</f>
        <v>119</v>
      </c>
      <c r="Y14" s="1">
        <f>'Other - Mixed'!L13</f>
        <v>101</v>
      </c>
      <c r="Z14" s="1">
        <f>'All Minorities'!L13</f>
        <v>2</v>
      </c>
    </row>
    <row r="15" spans="2:26" s="1" customFormat="1" ht="33">
      <c r="B15" s="144"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1</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1</v>
      </c>
      <c r="Q16" s="119" t="str">
        <f>'All Minorities'!G15</f>
        <v>**</v>
      </c>
      <c r="R16"/>
      <c r="T16" s="1" t="e">
        <f>'Black or African-American'!L15</f>
        <v>#VALUE!</v>
      </c>
      <c r="U16" s="1">
        <f>Hispanic!L15</f>
        <v>20</v>
      </c>
      <c r="V16" s="1" t="e">
        <f>Asian!L15</f>
        <v>#VALUE!</v>
      </c>
      <c r="W16" s="1" t="e">
        <f>Hawaiian!L15</f>
        <v>#VALUE!</v>
      </c>
      <c r="X16" s="1" t="e">
        <f>'Am Indian'!L15</f>
        <v>#VALUE!</v>
      </c>
      <c r="Y16" s="1" t="e">
        <f>'Other - Mixed'!L15</f>
        <v>#VALUE!</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Saginaw County Juvenile Court</v>
      </c>
      <c r="E27" s="1" t="str">
        <f>'Data Entry'!D20</f>
        <v>Item 4.Diversion: Saginaw County Juvenile Court</v>
      </c>
      <c r="I27" s="96"/>
      <c r="J27" s="96"/>
    </row>
    <row r="28" spans="2:18" ht="12.75" customHeight="1">
      <c r="B28" s="1" t="str">
        <f>'Data Entry'!A21</f>
        <v>Item 5.Detention: Saginaw County Juvenile Court</v>
      </c>
      <c r="E28" s="1" t="str">
        <f>'Data Entry'!D21</f>
        <v>Item 6.Petitioned: Saginaw County Juvenile Court</v>
      </c>
      <c r="I28" s="96"/>
      <c r="J28" s="96"/>
    </row>
    <row r="29" spans="2:18" ht="12.75" customHeight="1">
      <c r="B29" s="1" t="str">
        <f>'Data Entry'!A22</f>
        <v>Item 7.Delinquent: Saginaw County Juvenile Court</v>
      </c>
      <c r="E29" s="1" t="str">
        <f>'Data Entry'!D22</f>
        <v>Item 8.Probation: Saginaw County Juvenile Court</v>
      </c>
      <c r="I29" s="96"/>
      <c r="J29" s="96"/>
    </row>
    <row r="30" spans="2:18" ht="12.75" customHeight="1">
      <c r="B30" s="1" t="str">
        <f>'Data Entry'!A23</f>
        <v>Item 9.Confinement: Saginaw County Juvenile Court</v>
      </c>
      <c r="E30" s="1" t="str">
        <f>'Data Entry'!D23</f>
        <v>Item 10.Transferred: Saginaw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Saginaw</v>
      </c>
    </row>
    <row r="6" spans="1:12">
      <c r="A6" s="135" t="str">
        <f>CONCATENATE("Percentage of Minorities at Stages of the Juvenile Justice System, ", A5, " 2022")</f>
        <v>Percentage of Minorities at Stages of the Juvenile Justice System, County: Saginaw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N=1</v>
      </c>
      <c r="B7" s="150">
        <f>'Data Entry'!D15/'Data Entry'!B15</f>
        <v>0</v>
      </c>
      <c r="C7" s="150">
        <f>'Data Entry'!E15/'Data Entry'!B15</f>
        <v>1</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1.4881720430107528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1.4881720430107528</v>
      </c>
    </row>
    <row r="9" spans="1:12">
      <c r="A9" s="128" t="str">
        <f>CONCATENATE("Delinquent Findings, total N=", 'Data Entry'!B12)</f>
        <v>Delinquent Findings, total N=405</v>
      </c>
      <c r="B9" s="150">
        <f>'Data Entry'!D12/'Data Entry'!B12</f>
        <v>0.49876543209876545</v>
      </c>
      <c r="C9" s="150">
        <f>'Data Entry'!E12/'Data Entry'!B12</f>
        <v>5.4320987654320987E-2</v>
      </c>
      <c r="D9" s="150">
        <f>'Data Entry'!F12/'Data Entry'!B12</f>
        <v>0</v>
      </c>
      <c r="E9" s="150">
        <f>'Data Entry'!G12/'Data Entry'!B12</f>
        <v>0</v>
      </c>
      <c r="F9" s="150">
        <f>'Data Entry'!H12/'Data Entry'!B12</f>
        <v>4.9382716049382715E-3</v>
      </c>
      <c r="G9" s="150">
        <f>'Data Entry'!I12/'Data Entry'!B12</f>
        <v>8.3950617283950618E-2</v>
      </c>
      <c r="H9" s="150">
        <f>SUM(D9:G9)/'Data Entry'!B12</f>
        <v>2.1947873799725651E-4</v>
      </c>
      <c r="I9" s="150">
        <f>'Data Entry'!C12/'Data Entry'!B12</f>
        <v>0.35802469135802467</v>
      </c>
      <c r="K9" s="96" t="str">
        <f t="shared" si="0"/>
        <v>Delinquent Findings, total N=405</v>
      </c>
      <c r="L9">
        <f>I14/(SUM(B14:G14))</f>
        <v>1.4881720430107528</v>
      </c>
    </row>
    <row r="10" spans="1:12">
      <c r="A10" s="128" t="str">
        <f>CONCATENATE("Petitions, total N=", 'Data Entry'!B11)</f>
        <v>Petitions, total N=452</v>
      </c>
      <c r="B10" s="150">
        <f>'Data Entry'!D11/'Data Entry'!B11</f>
        <v>0.51769911504424782</v>
      </c>
      <c r="C10" s="150">
        <f>'Data Entry'!E11/'Data Entry'!B11</f>
        <v>5.3097345132743362E-2</v>
      </c>
      <c r="D10" s="150">
        <f>'Data Entry'!F11/'Data Entry'!B11</f>
        <v>0</v>
      </c>
      <c r="E10" s="150">
        <f>'Data Entry'!G11/'Data Entry'!B11</f>
        <v>0</v>
      </c>
      <c r="F10" s="150">
        <f>'Data Entry'!H11/'Data Entry'!B11</f>
        <v>4.4247787610619468E-3</v>
      </c>
      <c r="G10" s="150">
        <f>'Data Entry'!I11/'Data Entry'!B11</f>
        <v>7.5221238938053103E-2</v>
      </c>
      <c r="H10" s="150">
        <f>SUM(D10:G10)/'Data Entry'!B11</f>
        <v>1.762080037591041E-4</v>
      </c>
      <c r="I10" s="150">
        <f>'Data Entry'!C11/'Data Entry'!B11</f>
        <v>0.34955752212389379</v>
      </c>
      <c r="K10" s="96" t="str">
        <f t="shared" si="0"/>
        <v>Petitions, total N=452</v>
      </c>
      <c r="L10">
        <f>I14/(SUM(B14:G14))</f>
        <v>1.4881720430107528</v>
      </c>
    </row>
    <row r="11" spans="1:12">
      <c r="A11" s="128" t="str">
        <f>CONCATENATE("Detentions, total N=", 'Data Entry'!B10)</f>
        <v>Detentions, total N=324</v>
      </c>
      <c r="B11" s="150">
        <f>'Data Entry'!D10/'Data Entry'!B10</f>
        <v>0.5771604938271605</v>
      </c>
      <c r="C11" s="150">
        <f>'Data Entry'!E10/'Data Entry'!B10</f>
        <v>4.6296296296296294E-2</v>
      </c>
      <c r="D11" s="150">
        <f>'Data Entry'!F10/'Data Entry'!B10</f>
        <v>0</v>
      </c>
      <c r="E11" s="150">
        <f>'Data Entry'!G10/'Data Entry'!B10</f>
        <v>0</v>
      </c>
      <c r="F11" s="150">
        <f>'Data Entry'!H10/'Data Entry'!B10</f>
        <v>9.2592592592592587E-3</v>
      </c>
      <c r="G11" s="150">
        <f>'Data Entry'!I10/'Data Entry'!B10</f>
        <v>8.0246913580246909E-2</v>
      </c>
      <c r="H11" s="150">
        <f>SUM(D11:G11)/'Data Entry'!B10</f>
        <v>2.7625361987501906E-4</v>
      </c>
      <c r="I11" s="150">
        <f>'Data Entry'!C10/'Data Entry'!B10</f>
        <v>0.28703703703703703</v>
      </c>
      <c r="K11" s="96" t="str">
        <f t="shared" si="0"/>
        <v>Detentions, total N=324</v>
      </c>
      <c r="L11">
        <f>I14/(SUM(B14:G14))</f>
        <v>1.4881720430107528</v>
      </c>
    </row>
    <row r="12" spans="1:12">
      <c r="A12" s="128" t="str">
        <f>CONCATENATE("Referrals, total N=", 'Data Entry'!B8)</f>
        <v>Referrals, total N=497</v>
      </c>
      <c r="B12" s="150">
        <f>'Data Entry'!D8/'Data Entry'!B8</f>
        <v>0.51106639839034207</v>
      </c>
      <c r="C12" s="150">
        <f>'Data Entry'!E8/'Data Entry'!B8</f>
        <v>6.0362173038229376E-2</v>
      </c>
      <c r="D12" s="150">
        <f>'Data Entry'!F8/'Data Entry'!B8</f>
        <v>0</v>
      </c>
      <c r="E12" s="150">
        <f>'Data Entry'!G8/'Data Entry'!B8</f>
        <v>0</v>
      </c>
      <c r="F12" s="150">
        <f>'Data Entry'!H8/'Data Entry'!B8</f>
        <v>4.0241448692152921E-3</v>
      </c>
      <c r="G12" s="150">
        <f>'Data Entry'!I8/'Data Entry'!B8</f>
        <v>9.4567404426559351E-2</v>
      </c>
      <c r="H12" s="150">
        <f>SUM(D12:G12)/'Data Entry'!B8</f>
        <v>1.9837333862328903E-4</v>
      </c>
      <c r="I12" s="150">
        <f>'Data Entry'!C8/'Data Entry'!B8</f>
        <v>0.32997987927565392</v>
      </c>
      <c r="K12" s="96" t="str">
        <f t="shared" si="0"/>
        <v>Referrals, total N=497</v>
      </c>
      <c r="L12">
        <f>I14/(SUM(B14:G14))</f>
        <v>1.4881720430107528</v>
      </c>
    </row>
    <row r="13" spans="1:12">
      <c r="A13" s="128" t="str">
        <f>CONCATENATE("Arrests, total N=", 'Data Entry'!B7)</f>
        <v>Arrests, total N=261</v>
      </c>
      <c r="B13" s="150">
        <f>'Data Entry'!D7/'Data Entry'!B7</f>
        <v>0.63218390804597702</v>
      </c>
      <c r="C13" s="150">
        <f>'Data Entry'!E7/'Data Entry'!B7</f>
        <v>6.1302681992337162E-2</v>
      </c>
      <c r="D13" s="150">
        <f>'Data Entry'!F7/'Data Entry'!B7</f>
        <v>0</v>
      </c>
      <c r="E13" s="150">
        <f>'Data Entry'!G7/'Data Entry'!B7</f>
        <v>0</v>
      </c>
      <c r="F13" s="150">
        <f>'Data Entry'!H7/'Data Entry'!B7</f>
        <v>7.6628352490421452E-3</v>
      </c>
      <c r="G13" s="150">
        <f>'Data Entry'!I7/'Data Entry'!B7</f>
        <v>0</v>
      </c>
      <c r="H13" s="150">
        <f>SUM(D13:G13)/'Data Entry'!B7</f>
        <v>2.93595220269814E-5</v>
      </c>
      <c r="I13" s="150">
        <f>'Data Entry'!C7/'Data Entry'!B7</f>
        <v>0.28735632183908044</v>
      </c>
      <c r="K13" s="96" t="str">
        <f t="shared" si="0"/>
        <v>Arrests, total N=261</v>
      </c>
      <c r="L13">
        <f>I14/(SUM(B14:G14))</f>
        <v>1.4881720430107528</v>
      </c>
    </row>
    <row r="14" spans="1:12">
      <c r="A14" s="128" t="str">
        <f>CONCATENATE("Population, total N=", 'Data Entry'!B6)</f>
        <v>Population, total N=18512</v>
      </c>
      <c r="B14" s="150">
        <f>'Data Entry'!D6/'Data Entry'!B6</f>
        <v>0.24270743301642178</v>
      </c>
      <c r="C14" s="150">
        <f>'Data Entry'!E6/'Data Entry'!B6</f>
        <v>0.13753241140881589</v>
      </c>
      <c r="D14" s="150">
        <f>'Data Entry'!F6/'Data Entry'!B6</f>
        <v>1.6367761452031115E-2</v>
      </c>
      <c r="E14" s="150">
        <f>'Data Entry'!G6/'Data Entry'!B6</f>
        <v>0</v>
      </c>
      <c r="F14" s="150">
        <f>'Data Entry'!H6/'Data Entry'!B6</f>
        <v>5.2938634399308558E-3</v>
      </c>
      <c r="G14" s="150">
        <f>'Data Entry'!I6/'Data Entry'!B6</f>
        <v>0</v>
      </c>
      <c r="H14" s="150">
        <f>SUM(D14:G14)/'Data Entry'!B6</f>
        <v>1.1701396333168739E-6</v>
      </c>
      <c r="I14" s="150">
        <f>'Data Entry'!C6/'Data Entry'!B6</f>
        <v>0.59809853068280039</v>
      </c>
      <c r="K14" s="96" t="str">
        <f t="shared" si="0"/>
        <v>Population, total N=18512</v>
      </c>
      <c r="L14">
        <f>I14/(SUM(B14:G14))</f>
        <v>1.4881720430107528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Saginaw</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11072</v>
      </c>
      <c r="D7" s="104">
        <f>'Data Entry'!D6</f>
        <v>4493</v>
      </c>
      <c r="E7" s="105"/>
      <c r="F7" s="106">
        <f>'Data Entry'!E6</f>
        <v>2546</v>
      </c>
      <c r="G7" s="105"/>
      <c r="H7" s="106">
        <f>'Data Entry'!F6</f>
        <v>303</v>
      </c>
      <c r="I7" s="105"/>
      <c r="J7" s="106">
        <f>'Data Entry'!J6</f>
        <v>7440</v>
      </c>
      <c r="K7" s="107"/>
    </row>
    <row r="8" spans="2:30" s="1" customFormat="1" ht="15" customHeight="1">
      <c r="B8" s="121" t="s">
        <v>8</v>
      </c>
      <c r="C8" s="103">
        <f>'Data Entry'!C7</f>
        <v>75</v>
      </c>
      <c r="D8" s="104">
        <f>'Data Entry'!D7</f>
        <v>165</v>
      </c>
      <c r="E8" s="105">
        <f>'Black or African-American'!$G7</f>
        <v>5.4214110839083007</v>
      </c>
      <c r="F8" s="106">
        <f>'Data Entry'!E7</f>
        <v>16</v>
      </c>
      <c r="G8" s="105">
        <f>Hispanic!G7</f>
        <v>0.92774024613773243</v>
      </c>
      <c r="H8" s="106">
        <f>'Data Entry'!F7</f>
        <v>0</v>
      </c>
      <c r="I8" s="105" t="str">
        <f>Asian!G7</f>
        <v>**</v>
      </c>
      <c r="J8" s="106">
        <f>'Data Entry'!J7</f>
        <v>183</v>
      </c>
      <c r="K8" s="107">
        <f>'All Minorities'!G7</f>
        <v>3.6311397849462357</v>
      </c>
      <c r="L8"/>
      <c r="N8" s="1">
        <f>'Black or African-American'!L7</f>
        <v>1</v>
      </c>
      <c r="O8" s="1">
        <f>Hispanic!L7</f>
        <v>2</v>
      </c>
      <c r="P8" s="1">
        <f>Asian!L7</f>
        <v>40</v>
      </c>
      <c r="Q8" s="1" t="e">
        <f>Hawaiian!L7</f>
        <v>#VALUE!</v>
      </c>
      <c r="R8" s="1">
        <f>'Am Indian'!L7</f>
        <v>139</v>
      </c>
      <c r="S8" s="1" t="e">
        <f>'Other - Mixed'!L7</f>
        <v>#VALUE!</v>
      </c>
      <c r="T8" s="1">
        <f>'All Minorities'!L7</f>
        <v>1</v>
      </c>
    </row>
    <row r="9" spans="2:30" s="1" customFormat="1" ht="15" customHeight="1">
      <c r="B9" s="121" t="s">
        <v>126</v>
      </c>
      <c r="C9" s="103">
        <f>'Data Entry'!C8</f>
        <v>164</v>
      </c>
      <c r="D9" s="108">
        <f>'Data Entry'!D8</f>
        <v>254</v>
      </c>
      <c r="E9" s="109">
        <f>'Black or African-American'!$G8</f>
        <v>0.7039911308203991</v>
      </c>
      <c r="F9" s="110">
        <f>'Data Entry'!E8</f>
        <v>30</v>
      </c>
      <c r="G9" s="109" t="str">
        <f>Hispanic!G8</f>
        <v>**</v>
      </c>
      <c r="H9" s="110">
        <f>'Data Entry'!F8</f>
        <v>0</v>
      </c>
      <c r="I9" s="109" t="str">
        <f>Asian!G8</f>
        <v>**</v>
      </c>
      <c r="J9" s="110">
        <f>'Data Entry'!J8</f>
        <v>333</v>
      </c>
      <c r="K9" s="111">
        <f>'All Minorities'!G8</f>
        <v>0.83216713314674129</v>
      </c>
      <c r="L9"/>
      <c r="N9" s="1">
        <f>'Black or African-American'!L8</f>
        <v>1</v>
      </c>
      <c r="O9" s="1">
        <f>Hispanic!L8</f>
        <v>40</v>
      </c>
      <c r="P9" s="1">
        <f>Asian!L8</f>
        <v>40</v>
      </c>
      <c r="Q9" s="1">
        <f>Hawaiian!L8</f>
        <v>139</v>
      </c>
      <c r="R9" s="1">
        <f>'Am Indian'!L8</f>
        <v>139</v>
      </c>
      <c r="S9" s="1">
        <f>'Other - Mixed'!L8</f>
        <v>119</v>
      </c>
      <c r="T9" s="1">
        <f>'All Minorities'!L8</f>
        <v>1</v>
      </c>
    </row>
    <row r="10" spans="2:30" s="1" customFormat="1" ht="15" customHeight="1">
      <c r="B10" s="121" t="s">
        <v>10</v>
      </c>
      <c r="C10" s="103">
        <f>'Data Entry'!C9</f>
        <v>6</v>
      </c>
      <c r="D10" s="112">
        <f>'Data Entry'!D9</f>
        <v>0</v>
      </c>
      <c r="E10" s="113" t="str">
        <f>'Black or African-American'!$G9</f>
        <v>**</v>
      </c>
      <c r="F10" s="114">
        <f>'Data Entry'!E9</f>
        <v>1</v>
      </c>
      <c r="G10" s="113" t="str">
        <f>Hispanic!G9</f>
        <v>**</v>
      </c>
      <c r="H10" s="114">
        <f>'Data Entry'!F9</f>
        <v>0</v>
      </c>
      <c r="I10" s="113" t="str">
        <f>Asian!G9</f>
        <v>--</v>
      </c>
      <c r="J10" s="114">
        <f>'Data Entry'!J9</f>
        <v>1</v>
      </c>
      <c r="K10" s="115" t="str">
        <f>'All Minorities'!G9</f>
        <v>**</v>
      </c>
      <c r="L10"/>
      <c r="N10" s="1">
        <f>'Black or African-American'!L9</f>
        <v>20</v>
      </c>
      <c r="O10" s="1">
        <f>Hispanic!L9</f>
        <v>40</v>
      </c>
      <c r="P10" s="1" t="e">
        <f>Asian!L9</f>
        <v>#VALUE!</v>
      </c>
      <c r="Q10" s="1" t="e">
        <f>Hawaiian!L9</f>
        <v>#VALUE!</v>
      </c>
      <c r="R10" s="1">
        <f>'Am Indian'!L9</f>
        <v>139</v>
      </c>
      <c r="S10" s="1">
        <f>'Other - Mixed'!L9</f>
        <v>139</v>
      </c>
      <c r="T10" s="1">
        <f>'All Minorities'!L9</f>
        <v>20</v>
      </c>
    </row>
    <row r="11" spans="2:30" s="1" customFormat="1" ht="15" customHeight="1">
      <c r="B11" s="121" t="s">
        <v>11</v>
      </c>
      <c r="C11" s="103">
        <f>'Data Entry'!C10</f>
        <v>93</v>
      </c>
      <c r="D11" s="108">
        <f>'Data Entry'!D10</f>
        <v>187</v>
      </c>
      <c r="E11" s="109">
        <f>'Black or African-American'!$G10</f>
        <v>1.2982812632291931</v>
      </c>
      <c r="F11" s="110">
        <f>'Data Entry'!E10</f>
        <v>15</v>
      </c>
      <c r="G11" s="109" t="str">
        <f>Hispanic!G10</f>
        <v>**</v>
      </c>
      <c r="H11" s="110">
        <f>'Data Entry'!F10</f>
        <v>0</v>
      </c>
      <c r="I11" s="109" t="str">
        <f>Asian!G10</f>
        <v>--</v>
      </c>
      <c r="J11" s="110">
        <f>'Data Entry'!J10</f>
        <v>231</v>
      </c>
      <c r="K11" s="111">
        <f>'All Minorities'!G10</f>
        <v>1.2232878039329651</v>
      </c>
      <c r="L11"/>
      <c r="N11" s="1">
        <f>'Black or African-American'!L10</f>
        <v>1</v>
      </c>
      <c r="O11" s="1">
        <f>Hispanic!L10</f>
        <v>40</v>
      </c>
      <c r="P11" s="1" t="e">
        <f>Asian!L10</f>
        <v>#VALUE!</v>
      </c>
      <c r="Q11" s="1" t="e">
        <f>Hawaiian!L10</f>
        <v>#VALUE!</v>
      </c>
      <c r="R11" s="1">
        <f>'Am Indian'!L10</f>
        <v>119</v>
      </c>
      <c r="S11" s="1">
        <f>'Other - Mixed'!L10</f>
        <v>101</v>
      </c>
      <c r="T11" s="1">
        <f>'All Minorities'!L10</f>
        <v>1</v>
      </c>
    </row>
    <row r="12" spans="2:30" s="1" customFormat="1" ht="15" customHeight="1">
      <c r="B12" s="121" t="s">
        <v>95</v>
      </c>
      <c r="C12" s="103">
        <f>'Data Entry'!C11</f>
        <v>158</v>
      </c>
      <c r="D12" s="112">
        <f>'Data Entry'!D11</f>
        <v>234</v>
      </c>
      <c r="E12" s="113">
        <f>'Black or African-American'!$G11</f>
        <v>0.95624439350144519</v>
      </c>
      <c r="F12" s="114">
        <f>'Data Entry'!E11</f>
        <v>24</v>
      </c>
      <c r="G12" s="113" t="str">
        <f>Hispanic!G11</f>
        <v>**</v>
      </c>
      <c r="H12" s="114">
        <f>'Data Entry'!F11</f>
        <v>0</v>
      </c>
      <c r="I12" s="113" t="str">
        <f>Asian!G11</f>
        <v>--</v>
      </c>
      <c r="J12" s="114">
        <f>'Data Entry'!J11</f>
        <v>294</v>
      </c>
      <c r="K12" s="115">
        <f>'All Minorities'!G11</f>
        <v>0.91641008096704291</v>
      </c>
      <c r="L12"/>
      <c r="N12" s="1">
        <f>'Black or African-American'!L11</f>
        <v>2</v>
      </c>
      <c r="O12" s="1">
        <f>Hispanic!L11</f>
        <v>20</v>
      </c>
      <c r="P12" s="1" t="e">
        <f>Asian!L11</f>
        <v>#VALUE!</v>
      </c>
      <c r="Q12" s="1" t="e">
        <f>Hawaiian!L11</f>
        <v>#VALUE!</v>
      </c>
      <c r="R12" s="1">
        <f>'Am Indian'!L11</f>
        <v>139</v>
      </c>
      <c r="S12" s="1">
        <f>'Other - Mixed'!L11</f>
        <v>100</v>
      </c>
      <c r="T12" s="1">
        <f>'All Minorities'!L11</f>
        <v>1</v>
      </c>
    </row>
    <row r="13" spans="2:30" s="1" customFormat="1" ht="15" customHeight="1">
      <c r="B13" s="121" t="s">
        <v>13</v>
      </c>
      <c r="C13" s="103">
        <f>'Data Entry'!C12</f>
        <v>145</v>
      </c>
      <c r="D13" s="108">
        <f>'Data Entry'!D12</f>
        <v>202</v>
      </c>
      <c r="E13" s="109">
        <f>'Black or African-American'!$G12</f>
        <v>0.94064249926318899</v>
      </c>
      <c r="F13" s="110">
        <f>'Data Entry'!E12</f>
        <v>22</v>
      </c>
      <c r="G13" s="109" t="str">
        <f>Hispanic!G12</f>
        <v>**</v>
      </c>
      <c r="H13" s="110">
        <f>'Data Entry'!F12</f>
        <v>0</v>
      </c>
      <c r="I13" s="109" t="str">
        <f>Asian!G12</f>
        <v>--</v>
      </c>
      <c r="J13" s="110">
        <f>'Data Entry'!J12</f>
        <v>260</v>
      </c>
      <c r="K13" s="111">
        <f>'All Minorities'!G12</f>
        <v>0.96364062866525924</v>
      </c>
      <c r="L13"/>
      <c r="N13" s="1">
        <f>'Black or African-American'!L12</f>
        <v>2</v>
      </c>
      <c r="O13" s="1">
        <f>Hispanic!L12</f>
        <v>40</v>
      </c>
      <c r="P13" s="1" t="e">
        <f>Asian!L12</f>
        <v>#VALUE!</v>
      </c>
      <c r="Q13" s="1" t="e">
        <f>Hawaiian!L12</f>
        <v>#VALUE!</v>
      </c>
      <c r="R13" s="1">
        <f>'Am Indian'!L12</f>
        <v>139</v>
      </c>
      <c r="S13" s="1">
        <f>'Other - Mixed'!L12</f>
        <v>101</v>
      </c>
      <c r="T13" s="1">
        <f>'All Minorities'!L12</f>
        <v>2</v>
      </c>
      <c r="W13" s="8"/>
      <c r="X13" s="8"/>
      <c r="Y13" s="8"/>
      <c r="Z13" s="8"/>
      <c r="AA13" s="8"/>
      <c r="AB13" s="8"/>
      <c r="AC13" s="8"/>
      <c r="AD13" s="8"/>
    </row>
    <row r="14" spans="2:30" s="1" customFormat="1" ht="15" customHeight="1">
      <c r="B14" s="121" t="s">
        <v>14</v>
      </c>
      <c r="C14" s="103">
        <f>'Data Entry'!C13</f>
        <v>141</v>
      </c>
      <c r="D14" s="112">
        <f>'Data Entry'!D13</f>
        <v>191</v>
      </c>
      <c r="E14" s="113">
        <f>'Black or African-American'!$G13</f>
        <v>0.9723685134470893</v>
      </c>
      <c r="F14" s="114">
        <f>'Data Entry'!E13</f>
        <v>18</v>
      </c>
      <c r="G14" s="113" t="str">
        <f>Hispanic!G13</f>
        <v>**</v>
      </c>
      <c r="H14" s="114">
        <f>'Data Entry'!F13</f>
        <v>0</v>
      </c>
      <c r="I14" s="113" t="str">
        <f>Asian!G13</f>
        <v>--</v>
      </c>
      <c r="J14" s="114">
        <f>'Data Entry'!J13</f>
        <v>241</v>
      </c>
      <c r="K14" s="115">
        <f>'All Minorities'!G13</f>
        <v>0.95321876704855435</v>
      </c>
      <c r="L14"/>
      <c r="N14" s="1">
        <f>'Black or African-American'!L13</f>
        <v>2</v>
      </c>
      <c r="O14" s="1">
        <f>Hispanic!L13</f>
        <v>20</v>
      </c>
      <c r="P14" s="1" t="e">
        <f>Asian!L13</f>
        <v>#VALUE!</v>
      </c>
      <c r="Q14" s="1" t="e">
        <f>Hawaiian!L13</f>
        <v>#VALUE!</v>
      </c>
      <c r="R14" s="1">
        <f>'Am Indian'!L13</f>
        <v>119</v>
      </c>
      <c r="S14" s="1">
        <f>'Other - Mixed'!L13</f>
        <v>101</v>
      </c>
      <c r="T14" s="1">
        <f>'All Minorities'!L13</f>
        <v>2</v>
      </c>
      <c r="W14" s="8"/>
      <c r="X14" s="8"/>
      <c r="Y14" s="8"/>
      <c r="Z14" s="8"/>
      <c r="AA14" s="8"/>
      <c r="AB14" s="8"/>
      <c r="AC14" s="8"/>
      <c r="AD14" s="8"/>
    </row>
    <row r="15" spans="2:30" s="1" customFormat="1" ht="33">
      <c r="B15" s="126"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1</v>
      </c>
      <c r="G16" s="117" t="str">
        <f>Hispanic!G15</f>
        <v>**</v>
      </c>
      <c r="H16" s="118">
        <f>'Data Entry'!F15</f>
        <v>0</v>
      </c>
      <c r="I16" s="117" t="str">
        <f>Asian!G15</f>
        <v>--</v>
      </c>
      <c r="J16" s="118">
        <f>'Data Entry'!J15</f>
        <v>1</v>
      </c>
      <c r="K16" s="119" t="str">
        <f>'All Minorities'!G15</f>
        <v>**</v>
      </c>
      <c r="L16"/>
      <c r="N16" s="1" t="e">
        <f>'Black or African-American'!L15</f>
        <v>#VALUE!</v>
      </c>
      <c r="O16" s="1">
        <f>Hispanic!L15</f>
        <v>20</v>
      </c>
      <c r="P16" s="1" t="e">
        <f>Asian!L15</f>
        <v>#VALUE!</v>
      </c>
      <c r="Q16" s="1" t="e">
        <f>Hawaiian!L15</f>
        <v>#VALUE!</v>
      </c>
      <c r="R16" s="1" t="e">
        <f>'Am Indian'!L15</f>
        <v>#VALUE!</v>
      </c>
      <c r="S16" s="1" t="e">
        <f>'Other - Mixed'!L15</f>
        <v>#VALUE!</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Saginaw County Juvenile Court</v>
      </c>
      <c r="E27" s="1" t="str">
        <f>'Data Entry'!D20</f>
        <v>Item 4.Diversion: Saginaw County Juvenile Court</v>
      </c>
      <c r="I27" s="96"/>
    </row>
    <row r="28" spans="2:30" ht="12.75" customHeight="1">
      <c r="B28" s="1" t="str">
        <f>'Data Entry'!A21</f>
        <v>Item 5.Detention: Saginaw County Juvenile Court</v>
      </c>
      <c r="E28" s="1" t="str">
        <f>'Data Entry'!D21</f>
        <v>Item 6.Petitioned: Saginaw County Juvenile Court</v>
      </c>
      <c r="I28" s="96"/>
    </row>
    <row r="29" spans="2:30" ht="12.75" customHeight="1">
      <c r="B29" s="1" t="str">
        <f>'Data Entry'!A22</f>
        <v>Item 7.Delinquent: Saginaw County Juvenile Court</v>
      </c>
      <c r="E29" s="1" t="str">
        <f>'Data Entry'!D22</f>
        <v>Item 8.Probation: Saginaw County Juvenile Court</v>
      </c>
      <c r="I29" s="96"/>
    </row>
    <row r="30" spans="2:30" ht="12.75" customHeight="1">
      <c r="B30" s="1" t="str">
        <f>'Data Entry'!A23</f>
        <v>Item 9.Confinement: Saginaw County Juvenile Court</v>
      </c>
      <c r="E30" s="1" t="str">
        <f>'Data Entry'!D23</f>
        <v>Item 10.Transferred: Saginaw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Entry'!D6</f>
        <v>4493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Entry'!D7</f>
        <v>165</v>
      </c>
      <c r="F7" s="34">
        <f>IF((AND($E$7&gt;0,$D$66&gt;0)),($E$7/$D$66),0)</f>
        <v>36.723792566214108</v>
      </c>
      <c r="G7" s="39">
        <f>IF(L$6=100,"*",IF(M7=FALSE,"--",IF(K7=20,"**",($F7/$D7))))</f>
        <v>5.4214110839083007</v>
      </c>
      <c r="H7" s="40"/>
      <c r="I7" s="41"/>
      <c r="J7" s="40">
        <f>IF((ABS($U7)&gt;Defaults!D$7),1,2)</f>
        <v>1</v>
      </c>
      <c r="K7" s="39">
        <f>IF((AND(N7&gt;Defaults!B$12,(N7+O7)&gt;Defaults!B$13, P7 &gt; Defaults!B$12, (P7+Q7) &gt; Defaults!B$13)),1,20)</f>
        <v>1</v>
      </c>
      <c r="L7" s="1">
        <f>(J7*K7+L$6)-1</f>
        <v>1</v>
      </c>
      <c r="M7" s="1" t="b">
        <f t="shared" ref="M7:M15" si="0">(ISNUMBER(J7))</f>
        <v>1</v>
      </c>
      <c r="N7" s="42">
        <f t="shared" ref="N7:N15" si="1">E7</f>
        <v>165</v>
      </c>
      <c r="O7" s="42">
        <f>E6-E7</f>
        <v>4328</v>
      </c>
      <c r="P7" s="42">
        <f t="shared" ref="P7:P15" si="2">C7</f>
        <v>75</v>
      </c>
      <c r="Q7" s="42">
        <f>C6-C7</f>
        <v>10997</v>
      </c>
      <c r="R7" s="42">
        <f t="shared" ref="R7:R15" si="3">SUM(N7:Q7)</f>
        <v>15565</v>
      </c>
      <c r="S7" s="30">
        <f t="shared" ref="S7:S15" si="4">R7*((((N7*Q7)-(O7*P7))^2))</f>
        <v>3.4551450188974124E+16</v>
      </c>
      <c r="T7" s="30">
        <f t="shared" ref="T7:T15" si="5">(N7+O7)*(P7+Q7)*(N7+P7)*(O7+Q7)</f>
        <v>182967612288000</v>
      </c>
      <c r="U7" s="31">
        <f t="shared" ref="U7:U15" si="6">IF((S7&gt;0),S7/T7,"- -")</f>
        <v>188.83915987594813</v>
      </c>
    </row>
    <row r="8" spans="2:21" ht="18" customHeight="1">
      <c r="B8" s="32" t="str">
        <f>'Data Entry'!A8</f>
        <v>3. Refer to Juvenile Court</v>
      </c>
      <c r="C8" s="33">
        <f>'Data Entry'!C8</f>
        <v>164</v>
      </c>
      <c r="D8" s="34">
        <f>IF((AND(C67&gt;0,C8&gt;0)),(C8/C67),0)</f>
        <v>218.66666666666666</v>
      </c>
      <c r="E8" s="33">
        <f>'Data Entry'!D8</f>
        <v>254</v>
      </c>
      <c r="F8" s="34">
        <f>IF((AND($E$8&gt;0,$D$67&gt;0)),($E8/$D67),0)</f>
        <v>153.93939393939394</v>
      </c>
      <c r="G8" s="39">
        <f t="shared" ref="G8:G15" si="7">IF(L$6=100,"*",IF(M8=FALSE,"--",IF(K8=20,"**",($F8/$D8))))</f>
        <v>0.7039911308203991</v>
      </c>
      <c r="H8" s="40"/>
      <c r="I8" s="41"/>
      <c r="J8" s="40">
        <f>IF((ABS($U8)&gt;Defaults!D$7),1,2)</f>
        <v>1</v>
      </c>
      <c r="K8" s="39">
        <f>IF((AND(N8&gt;Defaults!B$12,(N8+O8)&gt;Defaults!B$13, P8 &gt; Defaults!B$12, (P8+Q8) &gt; Defaults!B$13)),1,20)</f>
        <v>1</v>
      </c>
      <c r="L8" s="1">
        <f t="shared" ref="L8:L15" si="8">(J8*K8+L$6)-1</f>
        <v>1</v>
      </c>
      <c r="M8" s="1" t="b">
        <f t="shared" si="0"/>
        <v>1</v>
      </c>
      <c r="N8" s="42">
        <f t="shared" si="1"/>
        <v>254</v>
      </c>
      <c r="O8" s="42">
        <f>((D67*L67)-E8)+0.05</f>
        <v>-88.95</v>
      </c>
      <c r="P8" s="42">
        <f t="shared" si="2"/>
        <v>164</v>
      </c>
      <c r="Q8" s="42">
        <f>(C$67*L67)-C8</f>
        <v>-89</v>
      </c>
      <c r="R8" s="42">
        <f t="shared" si="3"/>
        <v>240.05</v>
      </c>
      <c r="S8" s="30">
        <f t="shared" si="4"/>
        <v>15433182074.161995</v>
      </c>
      <c r="T8" s="30">
        <f t="shared" si="5"/>
        <v>-920769799.125</v>
      </c>
      <c r="U8" s="31">
        <f t="shared" si="6"/>
        <v>-16.761173193156445</v>
      </c>
    </row>
    <row r="9" spans="2:21" ht="18" customHeight="1">
      <c r="B9" s="32" t="str">
        <f>'Data Entry'!A9</f>
        <v xml:space="preserve">4. Cases Diverted </v>
      </c>
      <c r="C9" s="33">
        <f>'Data Entry'!C9</f>
        <v>6</v>
      </c>
      <c r="D9" s="34">
        <f>IF((AND(C68&gt;0,C9&gt;0)),((C9/C68)),0)</f>
        <v>3.6585365853658538</v>
      </c>
      <c r="E9" s="33">
        <f>'Data Entry'!D9</f>
        <v>0</v>
      </c>
      <c r="F9" s="34">
        <f>IF((AND($E$9&gt;0,$D$68&gt;0)),(($E$9/$D$68)),0)</f>
        <v>0</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0</v>
      </c>
      <c r="O9" s="42">
        <f>(D$68*L68)-E9</f>
        <v>254</v>
      </c>
      <c r="P9" s="42">
        <f t="shared" si="2"/>
        <v>6</v>
      </c>
      <c r="Q9" s="42">
        <f>(C$68*L68)-C9</f>
        <v>158</v>
      </c>
      <c r="R9" s="42">
        <f t="shared" si="3"/>
        <v>418</v>
      </c>
      <c r="S9" s="30">
        <f t="shared" si="4"/>
        <v>970836768</v>
      </c>
      <c r="T9" s="30">
        <f t="shared" si="5"/>
        <v>102973632</v>
      </c>
      <c r="U9" s="31">
        <f t="shared" si="6"/>
        <v>9.4280132607151312</v>
      </c>
    </row>
    <row r="10" spans="2:21" ht="18" customHeight="1">
      <c r="B10" s="32" t="str">
        <f>'Data Entry'!A10</f>
        <v>5. Cases Involving Secure Detention</v>
      </c>
      <c r="C10" s="33">
        <f>'Data Entry'!C10</f>
        <v>93</v>
      </c>
      <c r="D10" s="34">
        <f>IF(((AND(C68&gt;0,C10&gt;0))),(C10/(C68)),0)</f>
        <v>56.707317073170735</v>
      </c>
      <c r="E10" s="33">
        <f>'Data Entry'!D10</f>
        <v>187</v>
      </c>
      <c r="F10" s="34">
        <f>IF(((AND($E$10&gt;0,$D$68&gt;0))),($E$10/($D$68)),0)</f>
        <v>73.622047244094489</v>
      </c>
      <c r="G10" s="39">
        <f t="shared" si="7"/>
        <v>1.2982812632291931</v>
      </c>
      <c r="H10" s="40"/>
      <c r="I10" s="41"/>
      <c r="J10" s="40">
        <f>IF((ABS($U10)&gt;Defaults!D$7),1,2)</f>
        <v>1</v>
      </c>
      <c r="K10" s="39">
        <f>IF((AND(N10&gt;Defaults!B$12,(N10+O10)&gt;Defaults!B$13, P10 &gt; Defaults!B$12, (P10+Q10) &gt; Defaults!B$13)),1,20)</f>
        <v>1</v>
      </c>
      <c r="L10" s="1">
        <f t="shared" si="8"/>
        <v>1</v>
      </c>
      <c r="M10" s="1" t="b">
        <f t="shared" si="0"/>
        <v>1</v>
      </c>
      <c r="N10" s="42">
        <f t="shared" si="1"/>
        <v>187</v>
      </c>
      <c r="O10" s="42">
        <f>(D$68*L68)-E10</f>
        <v>67</v>
      </c>
      <c r="P10" s="42">
        <f t="shared" si="2"/>
        <v>93</v>
      </c>
      <c r="Q10" s="42">
        <f>(C$68*L68)-C10</f>
        <v>71</v>
      </c>
      <c r="R10" s="42">
        <f t="shared" si="3"/>
        <v>418</v>
      </c>
      <c r="S10" s="30">
        <f t="shared" si="4"/>
        <v>20752076488</v>
      </c>
      <c r="T10" s="30">
        <f t="shared" si="5"/>
        <v>1609587840</v>
      </c>
      <c r="U10" s="31">
        <f t="shared" si="6"/>
        <v>12.892789055861655</v>
      </c>
    </row>
    <row r="11" spans="2:21" ht="18" customHeight="1">
      <c r="B11" s="32" t="str">
        <f>'Data Entry'!A11</f>
        <v>6. Cases Petitioned (Charge Filed)</v>
      </c>
      <c r="C11" s="33">
        <f>'Data Entry'!C11</f>
        <v>158</v>
      </c>
      <c r="D11" s="34">
        <f>IF(((AND(C68&gt;0,C11&gt;0))),(C11/(C68)),0)</f>
        <v>96.341463414634148</v>
      </c>
      <c r="E11" s="33">
        <f>'Data Entry'!D11</f>
        <v>234</v>
      </c>
      <c r="F11" s="34">
        <f>IF(((AND($E$11&gt;0,$D$68&gt;0))),($E$11/($D$68)),0)</f>
        <v>92.125984251968504</v>
      </c>
      <c r="G11" s="39">
        <f t="shared" si="7"/>
        <v>0.95624439350144519</v>
      </c>
      <c r="H11" s="40"/>
      <c r="I11" s="41"/>
      <c r="J11" s="40">
        <f>IF((ABS($U11)&gt;Defaults!D$7),1,2)</f>
        <v>2</v>
      </c>
      <c r="K11" s="39">
        <f>IF((AND(N11&gt;Defaults!B$12,(N11+O11)&gt;Defaults!B$13, P11 &gt; Defaults!B$12, (P11+Q11) &gt; Defaults!B$13)),1,20)</f>
        <v>1</v>
      </c>
      <c r="L11" s="1">
        <f t="shared" si="8"/>
        <v>2</v>
      </c>
      <c r="M11" s="1" t="b">
        <f t="shared" si="0"/>
        <v>1</v>
      </c>
      <c r="N11" s="42">
        <f t="shared" si="1"/>
        <v>234</v>
      </c>
      <c r="O11" s="42">
        <f>(D$68*L68)-E11</f>
        <v>20</v>
      </c>
      <c r="P11" s="42">
        <f t="shared" si="2"/>
        <v>158</v>
      </c>
      <c r="Q11" s="42">
        <f>(C$68*L68)-C11</f>
        <v>6</v>
      </c>
      <c r="R11" s="42">
        <f t="shared" si="3"/>
        <v>418</v>
      </c>
      <c r="S11" s="30">
        <f t="shared" si="4"/>
        <v>1288918048</v>
      </c>
      <c r="T11" s="30">
        <f t="shared" si="5"/>
        <v>424557952</v>
      </c>
      <c r="U11" s="31">
        <f t="shared" si="6"/>
        <v>3.0359060333888177</v>
      </c>
    </row>
    <row r="12" spans="2:21" ht="18" customHeight="1">
      <c r="B12" s="32" t="str">
        <f>'Data Entry'!A12</f>
        <v>7. Cases Resulting in Delinquent Findings</v>
      </c>
      <c r="C12" s="33">
        <f>'Data Entry'!C12</f>
        <v>145</v>
      </c>
      <c r="D12" s="34">
        <f>IF(((AND(C69&gt;0,C12&gt;0))),(C12/(C69)),0)</f>
        <v>91.77215189873418</v>
      </c>
      <c r="E12" s="33">
        <f>'Data Entry'!D12</f>
        <v>202</v>
      </c>
      <c r="F12" s="34">
        <f>IF(((AND($D$69&gt;0,$E$12&gt;0))),(E12/(D69)),0)</f>
        <v>86.324786324786331</v>
      </c>
      <c r="G12" s="39">
        <f t="shared" si="7"/>
        <v>0.94064249926318899</v>
      </c>
      <c r="H12" s="40"/>
      <c r="I12" s="41"/>
      <c r="J12" s="40">
        <f>IF((ABS($U12)&gt;Defaults!D$7),1,2)</f>
        <v>2</v>
      </c>
      <c r="K12" s="39">
        <f>IF((AND(N12&gt;Defaults!B$12,(N12+O12)&gt;Defaults!B$13, P12 &gt; Defaults!B$12, (P12+Q12) &gt; Defaults!B$13)),1,20)</f>
        <v>1</v>
      </c>
      <c r="L12" s="1">
        <f t="shared" si="8"/>
        <v>2</v>
      </c>
      <c r="M12" s="1" t="b">
        <f t="shared" si="0"/>
        <v>1</v>
      </c>
      <c r="N12" s="42">
        <f t="shared" si="1"/>
        <v>202</v>
      </c>
      <c r="O12" s="42">
        <f>(D69*L69)-E12</f>
        <v>32</v>
      </c>
      <c r="P12" s="42">
        <f t="shared" si="2"/>
        <v>145</v>
      </c>
      <c r="Q12" s="42">
        <f>(C69*L69)-C12</f>
        <v>13</v>
      </c>
      <c r="R12" s="42">
        <f t="shared" si="3"/>
        <v>392</v>
      </c>
      <c r="S12" s="30">
        <f t="shared" si="4"/>
        <v>1590028832</v>
      </c>
      <c r="T12" s="30">
        <f t="shared" si="5"/>
        <v>577317780</v>
      </c>
      <c r="U12" s="31">
        <f t="shared" si="6"/>
        <v>2.7541657074895562</v>
      </c>
    </row>
    <row r="13" spans="2:21" ht="18" customHeight="1">
      <c r="B13" s="32" t="str">
        <f>'Data Entry'!A13</f>
        <v>8. Cases Resulting in Probation Placement</v>
      </c>
      <c r="C13" s="33">
        <f>'Data Entry'!C13</f>
        <v>141</v>
      </c>
      <c r="D13" s="34">
        <f>IF(((AND(C70&gt;0,C13&gt;0))),(C13/(C70)),0)</f>
        <v>97.241379310344826</v>
      </c>
      <c r="E13" s="33">
        <f>'Data Entry'!D13</f>
        <v>191</v>
      </c>
      <c r="F13" s="34">
        <f>IF(((AND($D$70&gt;0,$E$13&gt;0))),($E$13/($D$70)),0)</f>
        <v>94.554455445544548</v>
      </c>
      <c r="G13" s="39">
        <f t="shared" si="7"/>
        <v>0.9723685134470893</v>
      </c>
      <c r="H13" s="40"/>
      <c r="I13" s="41"/>
      <c r="J13" s="40">
        <f>IF((ABS($U13)&gt;Defaults!D$7),1,2)</f>
        <v>2</v>
      </c>
      <c r="K13" s="39">
        <f>IF((AND(N13&gt;Defaults!B$12,(N13+O13)&gt;Defaults!B$13, P13 &gt; Defaults!B$12, (P13+Q13) &gt; Defaults!B$13)),1,20)</f>
        <v>1</v>
      </c>
      <c r="L13" s="1">
        <f t="shared" si="8"/>
        <v>2</v>
      </c>
      <c r="M13" s="1" t="b">
        <f t="shared" si="0"/>
        <v>1</v>
      </c>
      <c r="N13" s="42">
        <f t="shared" si="1"/>
        <v>191</v>
      </c>
      <c r="O13" s="42">
        <f>(D70*L70)-E13</f>
        <v>11</v>
      </c>
      <c r="P13" s="42">
        <f t="shared" si="2"/>
        <v>141</v>
      </c>
      <c r="Q13" s="42">
        <f>(C70*L70)-C13</f>
        <v>4</v>
      </c>
      <c r="R13" s="42">
        <f t="shared" si="3"/>
        <v>347</v>
      </c>
      <c r="S13" s="30">
        <f t="shared" si="4"/>
        <v>214921043</v>
      </c>
      <c r="T13" s="30">
        <f t="shared" si="5"/>
        <v>145864200</v>
      </c>
      <c r="U13" s="31">
        <f t="shared" si="6"/>
        <v>1.4734324323583168</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202</v>
      </c>
      <c r="P14" s="42">
        <f t="shared" si="2"/>
        <v>0</v>
      </c>
      <c r="Q14" s="42">
        <f>(C70*L70)-C14</f>
        <v>145</v>
      </c>
      <c r="R14" s="42">
        <f t="shared" si="3"/>
        <v>347</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234</v>
      </c>
      <c r="P15" s="42">
        <f t="shared" si="2"/>
        <v>0</v>
      </c>
      <c r="Q15" s="42">
        <f>(C69*L69)-C15</f>
        <v>158</v>
      </c>
      <c r="R15" s="42">
        <f t="shared" si="3"/>
        <v>392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4.4930000000000003</v>
      </c>
      <c r="E42" s="56">
        <f>MAX(C42:D42)</f>
        <v>11.071999999999999</v>
      </c>
      <c r="G42" s="1" t="str">
        <f>B42</f>
        <v>per 1000 youth</v>
      </c>
      <c r="L42" s="57">
        <v>1000</v>
      </c>
      <c r="M42" s="57"/>
      <c r="R42" s="49"/>
    </row>
    <row r="43" spans="2:18" ht="15" hidden="1" customHeight="1">
      <c r="B43" s="49" t="s">
        <v>87</v>
      </c>
      <c r="C43" s="56">
        <f>C7/100</f>
        <v>0.75</v>
      </c>
      <c r="D43" s="56">
        <f>E7/100</f>
        <v>1.65</v>
      </c>
      <c r="E43" s="56">
        <f>MAX(C43:D43,0)</f>
        <v>1.65</v>
      </c>
      <c r="G43" s="1" t="str">
        <f>B43</f>
        <v>per 100 arrests</v>
      </c>
      <c r="L43" s="57">
        <v>100</v>
      </c>
      <c r="M43" s="57"/>
      <c r="R43" s="49"/>
    </row>
    <row r="44" spans="2:18" ht="15" hidden="1" customHeight="1">
      <c r="B44" s="49" t="s">
        <v>88</v>
      </c>
      <c r="C44" s="56">
        <f>C8/100</f>
        <v>1.64</v>
      </c>
      <c r="D44" s="56">
        <f>E8/100</f>
        <v>2.54</v>
      </c>
      <c r="E44" s="56">
        <f>MAX(C44:D44,0)</f>
        <v>2.54</v>
      </c>
      <c r="G44" s="1" t="str">
        <f>B44</f>
        <v>per 100 referrals</v>
      </c>
      <c r="L44" s="57">
        <v>100</v>
      </c>
      <c r="M44" s="57"/>
      <c r="R44" s="49"/>
    </row>
    <row r="45" spans="2:18" ht="15" hidden="1" customHeight="1">
      <c r="B45" s="49" t="s">
        <v>89</v>
      </c>
      <c r="C45" s="49">
        <f>C11/100</f>
        <v>1.58</v>
      </c>
      <c r="D45" s="49">
        <f>E11/100</f>
        <v>2.34</v>
      </c>
      <c r="E45" s="56">
        <f>MAX(C45:D45,0)</f>
        <v>2.34</v>
      </c>
      <c r="G45" s="1" t="str">
        <f>B45</f>
        <v>per 100 youth petitioned</v>
      </c>
      <c r="L45" s="57">
        <v>100</v>
      </c>
      <c r="M45" s="57"/>
      <c r="R45" s="49"/>
    </row>
    <row r="46" spans="2:18" ht="15" hidden="1" customHeight="1">
      <c r="B46" s="49" t="s">
        <v>90</v>
      </c>
      <c r="C46" s="49">
        <f>C12/100</f>
        <v>1.45</v>
      </c>
      <c r="D46" s="49">
        <f>E12/100</f>
        <v>2.02</v>
      </c>
      <c r="E46" s="56">
        <f>MAX(C46:D46)</f>
        <v>2.02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4.4930000000000003</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0.75</v>
      </c>
      <c r="D49" s="49">
        <f t="shared" si="9"/>
        <v>1.65</v>
      </c>
      <c r="E49" s="49">
        <f>MAX(C49:D49)</f>
        <v>1.65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2.54</v>
      </c>
      <c r="E50" s="49">
        <f>MAX(C50:D50)</f>
        <v>2.54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2.34</v>
      </c>
      <c r="E51" s="49">
        <f>MAX(C51:D51)</f>
        <v>2.34</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2.02</v>
      </c>
      <c r="E52" s="56">
        <f>MAX(C52:D52)</f>
        <v>2.02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4.4930000000000003</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1.65</v>
      </c>
      <c r="E55" s="49">
        <f>MAX(C55:D55)</f>
        <v>1.65</v>
      </c>
      <c r="G55" s="1" t="str">
        <f>G49</f>
        <v>per 100 arrests</v>
      </c>
      <c r="L55" s="58">
        <f>IF(($E49&gt;0),L49,L48)</f>
        <v>100</v>
      </c>
      <c r="M55" s="58"/>
    </row>
    <row r="56" spans="2:18" ht="15" hidden="1" customHeight="1">
      <c r="B56" s="49" t="str">
        <f t="shared" si="10"/>
        <v>per 100 referrals</v>
      </c>
      <c r="C56" s="49">
        <f t="shared" si="10"/>
        <v>1.64</v>
      </c>
      <c r="D56" s="49">
        <f t="shared" si="10"/>
        <v>2.54</v>
      </c>
      <c r="E56" s="49">
        <f>MAX(C56:D56)</f>
        <v>2.54</v>
      </c>
      <c r="G56" s="1" t="str">
        <f>G50</f>
        <v>per 100 referrals</v>
      </c>
      <c r="L56" s="58">
        <f>IF(($E50&gt;0),L50,L49)</f>
        <v>100</v>
      </c>
      <c r="M56" s="58"/>
    </row>
    <row r="57" spans="2:18" ht="15" hidden="1" customHeight="1">
      <c r="B57" s="49" t="str">
        <f>IF(($E51&gt;0),B51,B49)</f>
        <v>per 100 youth petitioned</v>
      </c>
      <c r="C57" s="49">
        <f>IF(($E51&gt;0),C51,C50)</f>
        <v>1.58</v>
      </c>
      <c r="D57" s="49">
        <f>IF(($E51&gt;0),D51,D50)</f>
        <v>2.34</v>
      </c>
      <c r="E57" s="49">
        <f>MAX(C57:D57)</f>
        <v>2.34</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2.02</v>
      </c>
      <c r="E58" s="56">
        <f>MAX(C58:D58)</f>
        <v>2.02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4.4930000000000003</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1.65</v>
      </c>
      <c r="E61" s="49">
        <f>MAX(C61:D61)</f>
        <v>1.65</v>
      </c>
      <c r="G61" s="1" t="str">
        <f>G55</f>
        <v>per 100 arrests</v>
      </c>
      <c r="L61" s="58">
        <f>IF(($E55&gt;0),L55,L54)</f>
        <v>100</v>
      </c>
      <c r="M61" s="58"/>
    </row>
    <row r="62" spans="2:18" ht="15" hidden="1" customHeight="1">
      <c r="B62" s="49" t="str">
        <f t="shared" si="11"/>
        <v>per 100 referrals</v>
      </c>
      <c r="C62" s="49">
        <f t="shared" si="11"/>
        <v>1.64</v>
      </c>
      <c r="D62" s="49">
        <f t="shared" si="11"/>
        <v>2.54</v>
      </c>
      <c r="E62" s="49">
        <f>MAX(C62:D62)</f>
        <v>2.54</v>
      </c>
      <c r="G62" s="1" t="str">
        <f>G56</f>
        <v>per 100 referrals</v>
      </c>
      <c r="L62" s="58">
        <f>IF(($E56&gt;0),L56,L55)</f>
        <v>100</v>
      </c>
      <c r="M62" s="58"/>
    </row>
    <row r="63" spans="2:18" ht="15" hidden="1" customHeight="1">
      <c r="B63" s="49" t="str">
        <f>IF(($E57&gt;0),B57,B55)</f>
        <v>per 100 youth petitioned</v>
      </c>
      <c r="C63" s="49">
        <f>IF(($E57&gt;0),C57,C56)</f>
        <v>1.58</v>
      </c>
      <c r="D63" s="49">
        <f>IF(($E57&gt;0),D57,D56)</f>
        <v>2.34</v>
      </c>
      <c r="E63" s="49">
        <f>MAX(C63:D63)</f>
        <v>2.34</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2.02</v>
      </c>
      <c r="E64" s="56">
        <f>MAX(C64:D64)</f>
        <v>2.02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4.4930000000000003</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1.65</v>
      </c>
      <c r="E67" s="49">
        <f>MAX(C67:D67)</f>
        <v>1.65</v>
      </c>
      <c r="G67" s="1" t="str">
        <f>G61</f>
        <v>per 100 arrests</v>
      </c>
      <c r="L67" s="58">
        <f>IF(($E61&gt;0),L61,L60)</f>
        <v>100</v>
      </c>
      <c r="M67" s="58">
        <f>IF((B67=G67),1,2)</f>
        <v>1</v>
      </c>
    </row>
    <row r="68" spans="2:13" ht="15" hidden="1" customHeight="1">
      <c r="B68" s="49" t="str">
        <f t="shared" si="12"/>
        <v>per 100 referrals</v>
      </c>
      <c r="C68" s="49">
        <f t="shared" si="12"/>
        <v>1.64</v>
      </c>
      <c r="D68" s="49">
        <f t="shared" si="12"/>
        <v>2.54</v>
      </c>
      <c r="E68" s="49">
        <f>MAX(C68:D68)</f>
        <v>2.54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2.34</v>
      </c>
      <c r="E69" s="49">
        <f>MAX(C69:D69)</f>
        <v>2.34</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2.02</v>
      </c>
      <c r="E70" s="56">
        <f>MAX(C70:D70)</f>
        <v>2.02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Entry'!F6</f>
        <v>303</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303</v>
      </c>
      <c r="P7" s="42">
        <f t="shared" ref="P7:P15" si="4">C7</f>
        <v>75</v>
      </c>
      <c r="Q7" s="42">
        <f>C6-C7</f>
        <v>10997</v>
      </c>
      <c r="R7" s="42">
        <f t="shared" ref="R7:R15" si="5">SUM(N7:Q7)</f>
        <v>11375</v>
      </c>
      <c r="S7" s="30">
        <f t="shared" ref="S7:S15" si="6">R7*((((N7*Q7)-(O7*P7))^2))</f>
        <v>5874341484375</v>
      </c>
      <c r="T7" s="30">
        <f t="shared" ref="T7:T15" si="7">(N7+O7)*(P7+Q7)*(N7+P7)*(O7+Q7)</f>
        <v>2843206560000</v>
      </c>
      <c r="U7" s="31">
        <f t="shared" ref="U7:U15" si="8">IF((S7&gt;0),S7/T7,"- -")</f>
        <v>2.0660973307458184</v>
      </c>
    </row>
    <row r="8" spans="2:21" ht="18" customHeight="1">
      <c r="B8" s="32" t="str">
        <f>'Data Entry'!A8</f>
        <v>3. Refer to Juvenile Court</v>
      </c>
      <c r="C8" s="33">
        <f>'Data Entry'!C8</f>
        <v>164</v>
      </c>
      <c r="D8" s="34">
        <f>IF((AND(C67&gt;0,C8&gt;0)),(C8/C67),0)</f>
        <v>218.66666666666666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164</v>
      </c>
      <c r="Q8" s="42">
        <f>(C$67*L67)-C8</f>
        <v>-89</v>
      </c>
      <c r="R8" s="42">
        <f t="shared" si="5"/>
        <v>75.050000000000011</v>
      </c>
      <c r="S8" s="30">
        <f t="shared" si="6"/>
        <v>5046.3620000000028</v>
      </c>
      <c r="T8" s="30">
        <f t="shared" si="7"/>
        <v>-54704.25</v>
      </c>
      <c r="U8" s="31">
        <f t="shared" si="8"/>
        <v>-9.2248079445381354E-2</v>
      </c>
    </row>
    <row r="9" spans="2:21" ht="18" customHeight="1">
      <c r="B9" s="32" t="str">
        <f>'Data Entry'!A9</f>
        <v xml:space="preserve">4. Cases Diverted </v>
      </c>
      <c r="C9" s="33">
        <f>'Data Entry'!C9</f>
        <v>6</v>
      </c>
      <c r="D9" s="34">
        <f>IF((AND(C68&gt;0,C9&gt;0)),((C9/C68)),0)</f>
        <v>3.6585365853658538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158</v>
      </c>
      <c r="R9" s="42">
        <f t="shared" si="5"/>
        <v>164</v>
      </c>
      <c r="S9" s="30">
        <f t="shared" si="6"/>
        <v>0</v>
      </c>
      <c r="T9" s="30">
        <f t="shared" si="7"/>
        <v>0</v>
      </c>
      <c r="U9" s="31" t="str">
        <f t="shared" si="8"/>
        <v>- -</v>
      </c>
    </row>
    <row r="10" spans="2:21" ht="18" customHeight="1">
      <c r="B10" s="32" t="str">
        <f>'Data Entry'!A10</f>
        <v>5. Cases Involving Secure Detention</v>
      </c>
      <c r="C10" s="33">
        <f>'Data Entry'!C10</f>
        <v>93</v>
      </c>
      <c r="D10" s="34">
        <f>IF(((AND(C68&gt;0,C10&gt;0))),(C10/(C68)),0)</f>
        <v>56.707317073170735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93</v>
      </c>
      <c r="Q10" s="42">
        <f>(C$68*L68)-C10</f>
        <v>71</v>
      </c>
      <c r="R10" s="42">
        <f t="shared" si="5"/>
        <v>164</v>
      </c>
      <c r="S10" s="30">
        <f t="shared" si="6"/>
        <v>0</v>
      </c>
      <c r="T10" s="30">
        <f t="shared" si="7"/>
        <v>0</v>
      </c>
      <c r="U10" s="31" t="str">
        <f t="shared" si="8"/>
        <v>- -</v>
      </c>
    </row>
    <row r="11" spans="2:21" ht="18" customHeight="1">
      <c r="B11" s="32" t="str">
        <f>'Data Entry'!A11</f>
        <v>6. Cases Petitioned (Charge Filed)</v>
      </c>
      <c r="C11" s="33">
        <f>'Data Entry'!C11</f>
        <v>158</v>
      </c>
      <c r="D11" s="34">
        <f>IF(((AND(C68&gt;0,C11&gt;0))),(C11/(C68)),0)</f>
        <v>96.341463414634148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158</v>
      </c>
      <c r="Q11" s="42">
        <f>(C$68*L68)-C11</f>
        <v>6</v>
      </c>
      <c r="R11" s="42">
        <f t="shared" si="5"/>
        <v>164</v>
      </c>
      <c r="S11" s="30">
        <f t="shared" si="6"/>
        <v>0</v>
      </c>
      <c r="T11" s="30">
        <f t="shared" si="7"/>
        <v>0</v>
      </c>
      <c r="U11" s="31" t="str">
        <f t="shared" si="8"/>
        <v>- -</v>
      </c>
    </row>
    <row r="12" spans="2:21" ht="18" customHeight="1">
      <c r="B12" s="32" t="str">
        <f>'Data Entry'!A12</f>
        <v>7. Cases Resulting in Delinquent Findings</v>
      </c>
      <c r="C12" s="33">
        <f>'Data Entry'!C12</f>
        <v>145</v>
      </c>
      <c r="D12" s="34">
        <f>IF(((AND(C69&gt;0,C12&gt;0))),(C12/(C69)),0)</f>
        <v>91.77215189873418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145</v>
      </c>
      <c r="Q12" s="42">
        <f>(C69*L69)-C12</f>
        <v>13</v>
      </c>
      <c r="R12" s="42">
        <f t="shared" si="5"/>
        <v>158</v>
      </c>
      <c r="S12" s="30">
        <f t="shared" si="6"/>
        <v>0</v>
      </c>
      <c r="T12" s="30">
        <f t="shared" si="7"/>
        <v>0</v>
      </c>
      <c r="U12" s="31" t="str">
        <f t="shared" si="8"/>
        <v>- -</v>
      </c>
    </row>
    <row r="13" spans="2:21" ht="18" customHeight="1">
      <c r="B13" s="32" t="str">
        <f>'Data Entry'!A13</f>
        <v>8. Cases Resulting in Probation Placement</v>
      </c>
      <c r="C13" s="33">
        <f>'Data Entry'!C13</f>
        <v>141</v>
      </c>
      <c r="D13" s="34">
        <f>IF(((AND(C70&gt;0,C13&gt;0))),(C13/(C70)),0)</f>
        <v>97.241379310344826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141</v>
      </c>
      <c r="Q13" s="42">
        <f>(C70*L70)-C13</f>
        <v>4</v>
      </c>
      <c r="R13" s="42">
        <f t="shared" si="5"/>
        <v>145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145</v>
      </c>
      <c r="R14" s="42">
        <f t="shared" si="5"/>
        <v>145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158</v>
      </c>
      <c r="R15" s="42">
        <f t="shared" si="5"/>
        <v>158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0.30299999999999999</v>
      </c>
      <c r="E42" s="56">
        <f>MAX(C42:D42)</f>
        <v>11.071999999999999</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1.64</v>
      </c>
      <c r="D44" s="56">
        <f>E8/100</f>
        <v>0</v>
      </c>
      <c r="E44" s="56">
        <f>MAX(C44:D44,0)</f>
        <v>1.64</v>
      </c>
      <c r="G44" s="1" t="str">
        <f>B44</f>
        <v>per 100 referrals</v>
      </c>
      <c r="L44" s="57">
        <v>100</v>
      </c>
      <c r="M44" s="57"/>
      <c r="R44" s="49"/>
    </row>
    <row r="45" spans="2:18" ht="15" hidden="1" customHeight="1">
      <c r="B45" s="49" t="s">
        <v>89</v>
      </c>
      <c r="C45" s="49">
        <f>C11/100</f>
        <v>1.58</v>
      </c>
      <c r="D45" s="49">
        <f>E11/100</f>
        <v>0</v>
      </c>
      <c r="E45" s="56">
        <f>MAX(C45:D45,0)</f>
        <v>1.58</v>
      </c>
      <c r="G45" s="1" t="str">
        <f>B45</f>
        <v>per 100 youth petitioned</v>
      </c>
      <c r="L45" s="57">
        <v>100</v>
      </c>
      <c r="M45" s="57"/>
      <c r="R45" s="49"/>
    </row>
    <row r="46" spans="2:18" ht="15" hidden="1" customHeight="1">
      <c r="B46" s="49" t="s">
        <v>90</v>
      </c>
      <c r="C46" s="49">
        <f>C12/100</f>
        <v>1.45</v>
      </c>
      <c r="D46" s="49">
        <f>E12/100</f>
        <v>0</v>
      </c>
      <c r="E46" s="56">
        <f>MAX(C46:D46)</f>
        <v>1.45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0.30299999999999999</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0</v>
      </c>
      <c r="E50" s="49">
        <f>MAX(C50:D50)</f>
        <v>1.64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0</v>
      </c>
      <c r="E51" s="49">
        <f>MAX(C51:D51)</f>
        <v>1.58</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0</v>
      </c>
      <c r="E52" s="56">
        <f>MAX(C52:D52)</f>
        <v>1.45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0.30299999999999999</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1.64</v>
      </c>
      <c r="D56" s="49">
        <f t="shared" si="10"/>
        <v>0</v>
      </c>
      <c r="E56" s="49">
        <f>MAX(C56:D56)</f>
        <v>1.64</v>
      </c>
      <c r="G56" s="1" t="str">
        <f>G50</f>
        <v>per 100 referrals</v>
      </c>
      <c r="L56" s="58">
        <f>IF(($E50&gt;0),L50,L49)</f>
        <v>100</v>
      </c>
      <c r="M56" s="58"/>
    </row>
    <row r="57" spans="2:18" ht="15" hidden="1" customHeight="1">
      <c r="B57" s="49" t="str">
        <f>IF(($E51&gt;0),B51,B49)</f>
        <v>per 100 youth petitioned</v>
      </c>
      <c r="C57" s="49">
        <f>IF(($E51&gt;0),C51,C50)</f>
        <v>1.58</v>
      </c>
      <c r="D57" s="49">
        <f>IF(($E51&gt;0),D51,D50)</f>
        <v>0</v>
      </c>
      <c r="E57" s="49">
        <f>MAX(C57:D57)</f>
        <v>1.58</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0</v>
      </c>
      <c r="E58" s="56">
        <f>MAX(C58:D58)</f>
        <v>1.45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0.30299999999999999</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1.64</v>
      </c>
      <c r="D62" s="49">
        <f t="shared" si="11"/>
        <v>0</v>
      </c>
      <c r="E62" s="49">
        <f>MAX(C62:D62)</f>
        <v>1.64</v>
      </c>
      <c r="G62" s="1" t="str">
        <f>G56</f>
        <v>per 100 referrals</v>
      </c>
      <c r="L62" s="58">
        <f>IF(($E56&gt;0),L56,L55)</f>
        <v>100</v>
      </c>
      <c r="M62" s="58"/>
    </row>
    <row r="63" spans="2:18" ht="15" hidden="1" customHeight="1">
      <c r="B63" s="49" t="str">
        <f>IF(($E57&gt;0),B57,B55)</f>
        <v>per 100 youth petitioned</v>
      </c>
      <c r="C63" s="49">
        <f>IF(($E57&gt;0),C57,C56)</f>
        <v>1.58</v>
      </c>
      <c r="D63" s="49">
        <f>IF(($E57&gt;0),D57,D56)</f>
        <v>0</v>
      </c>
      <c r="E63" s="49">
        <f>MAX(C63:D63)</f>
        <v>1.58</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0</v>
      </c>
      <c r="E64" s="56">
        <f>MAX(C64:D64)</f>
        <v>1.45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0.30299999999999999</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1.64</v>
      </c>
      <c r="D68" s="49">
        <f t="shared" si="12"/>
        <v>0</v>
      </c>
      <c r="E68" s="49">
        <f>MAX(C68:D68)</f>
        <v>1.64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0</v>
      </c>
      <c r="E69" s="49">
        <f>MAX(C69:D69)</f>
        <v>1.58</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0</v>
      </c>
      <c r="E70" s="56">
        <f>MAX(C70:D70)</f>
        <v>1.45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Entry'!E6</f>
        <v>2546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Entry'!E7</f>
        <v>16</v>
      </c>
      <c r="F7" s="34">
        <f>IF((AND($E$7&gt;0,$D$66&gt;0)),($E$7/$D$66),0)</f>
        <v>6.284367635506678</v>
      </c>
      <c r="G7" s="39">
        <f t="shared" ref="G7:G15" si="0">IF(L$6=100,"*",IF(M7=FALSE,"--",IF(K7=20,"**",($F7/$D7))))</f>
        <v>0.92774024613773243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16</v>
      </c>
      <c r="O7" s="42">
        <f>E6-E7</f>
        <v>2530</v>
      </c>
      <c r="P7" s="42">
        <f t="shared" ref="P7:P15" si="4">C7</f>
        <v>75</v>
      </c>
      <c r="Q7" s="42">
        <f>C6-C7</f>
        <v>10997</v>
      </c>
      <c r="R7" s="42">
        <f t="shared" ref="R7:R15" si="5">SUM(N7:Q7)</f>
        <v>13618</v>
      </c>
      <c r="S7" s="30">
        <f t="shared" ref="S7:S15" si="6">R7*((((N7*Q7)-(O7*P7))^2))</f>
        <v>2592660260872</v>
      </c>
      <c r="T7" s="30">
        <f t="shared" ref="T7:T15" si="7">(N7+O7)*(P7+Q7)*(N7+P7)*(O7+Q7)</f>
        <v>34699830931584</v>
      </c>
      <c r="U7" s="31">
        <f t="shared" ref="U7:U15" si="8">IF((S7&gt;0),S7/T7,"- -")</f>
        <v>7.471679807270025E-2</v>
      </c>
    </row>
    <row r="8" spans="2:21" ht="18" customHeight="1">
      <c r="B8" s="32" t="str">
        <f>'Data Entry'!A8</f>
        <v>3. Refer to Juvenile Court</v>
      </c>
      <c r="C8" s="33">
        <f>'Data Entry'!C8</f>
        <v>164</v>
      </c>
      <c r="D8" s="34">
        <f>IF((AND(C67&gt;0,C8&gt;0)),(C8/C67),0)</f>
        <v>218.66666666666666</v>
      </c>
      <c r="E8" s="33">
        <f>'Data Entry'!E8</f>
        <v>30</v>
      </c>
      <c r="F8" s="34">
        <f>IF((AND($E$8&gt;0,$D$67&gt;0)),($E8/$D67),0)</f>
        <v>187.5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30</v>
      </c>
      <c r="O8" s="42">
        <f>((D67*L67)-E8)+0.05</f>
        <v>-13.95</v>
      </c>
      <c r="P8" s="42">
        <f t="shared" si="4"/>
        <v>164</v>
      </c>
      <c r="Q8" s="42">
        <f>(C$67*L67)-C8</f>
        <v>-89</v>
      </c>
      <c r="R8" s="42">
        <f t="shared" si="5"/>
        <v>91.050000000000011</v>
      </c>
      <c r="S8" s="30">
        <f t="shared" si="6"/>
        <v>13300296.28200002</v>
      </c>
      <c r="T8" s="30">
        <f t="shared" si="7"/>
        <v>-24041656.125</v>
      </c>
      <c r="U8" s="31">
        <f t="shared" si="8"/>
        <v>-0.55321880542869717</v>
      </c>
    </row>
    <row r="9" spans="2:21" ht="18" customHeight="1">
      <c r="B9" s="32" t="str">
        <f>'Data Entry'!A9</f>
        <v xml:space="preserve">4. Cases Diverted </v>
      </c>
      <c r="C9" s="33">
        <f>'Data Entry'!C9</f>
        <v>6</v>
      </c>
      <c r="D9" s="34">
        <f>IF((AND(C68&gt;0,C9&gt;0)),((C9/C68)),0)</f>
        <v>3.6585365853658538</v>
      </c>
      <c r="E9" s="33">
        <f>'Data Entry'!E9</f>
        <v>1</v>
      </c>
      <c r="F9" s="34">
        <f>IF((AND($E$9&gt;0,$D$68&gt;0)),(($E$9/$D$68)),0)</f>
        <v>3.3333333333333335</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29</v>
      </c>
      <c r="P9" s="42">
        <f t="shared" si="4"/>
        <v>6</v>
      </c>
      <c r="Q9" s="42">
        <f>(C$68*L68)-C9</f>
        <v>158</v>
      </c>
      <c r="R9" s="42">
        <f t="shared" si="5"/>
        <v>194</v>
      </c>
      <c r="S9" s="30">
        <f t="shared" si="6"/>
        <v>49664</v>
      </c>
      <c r="T9" s="30">
        <f t="shared" si="7"/>
        <v>6440280</v>
      </c>
      <c r="U9" s="31">
        <f t="shared" si="8"/>
        <v>7.7114659611072812E-3</v>
      </c>
    </row>
    <row r="10" spans="2:21" ht="18" customHeight="1">
      <c r="B10" s="32" t="str">
        <f>'Data Entry'!A10</f>
        <v>5. Cases Involving Secure Detention</v>
      </c>
      <c r="C10" s="33">
        <f>'Data Entry'!C10</f>
        <v>93</v>
      </c>
      <c r="D10" s="34">
        <f>IF(((AND(C68&gt;0,C10&gt;0))),(C10/(C68)),0)</f>
        <v>56.707317073170735</v>
      </c>
      <c r="E10" s="33">
        <f>'Data Entry'!E10</f>
        <v>15</v>
      </c>
      <c r="F10" s="34">
        <f>IF(((AND($E$10&gt;0,$D$68&gt;0))),($E$10/($D$68)),0)</f>
        <v>50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15</v>
      </c>
      <c r="O10" s="42">
        <f>(D$68*L68)-E10</f>
        <v>15</v>
      </c>
      <c r="P10" s="42">
        <f t="shared" si="4"/>
        <v>93</v>
      </c>
      <c r="Q10" s="42">
        <f>(C$68*L68)-C10</f>
        <v>71</v>
      </c>
      <c r="R10" s="42">
        <f t="shared" si="5"/>
        <v>194</v>
      </c>
      <c r="S10" s="30">
        <f t="shared" si="6"/>
        <v>21126600</v>
      </c>
      <c r="T10" s="30">
        <f t="shared" si="7"/>
        <v>45696960</v>
      </c>
      <c r="U10" s="31">
        <f t="shared" si="8"/>
        <v>0.46231959412617379</v>
      </c>
    </row>
    <row r="11" spans="2:21" ht="18" customHeight="1">
      <c r="B11" s="32" t="str">
        <f>'Data Entry'!A11</f>
        <v>6. Cases Petitioned (Charge Filed)</v>
      </c>
      <c r="C11" s="33">
        <f>'Data Entry'!C11</f>
        <v>158</v>
      </c>
      <c r="D11" s="34">
        <f>IF(((AND(C68&gt;0,C11&gt;0))),(C11/(C68)),0)</f>
        <v>96.341463414634148</v>
      </c>
      <c r="E11" s="33">
        <f>'Data Entry'!E11</f>
        <v>24</v>
      </c>
      <c r="F11" s="34">
        <f>IF(((AND($E$11&gt;0,$D$68&gt;0))),($E$11/($D$68)),0)</f>
        <v>80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24</v>
      </c>
      <c r="O11" s="42">
        <f>(D$68*L68)-E11</f>
        <v>6</v>
      </c>
      <c r="P11" s="42">
        <f t="shared" si="4"/>
        <v>158</v>
      </c>
      <c r="Q11" s="42">
        <f>(C$68*L68)-C11</f>
        <v>6</v>
      </c>
      <c r="R11" s="42">
        <f t="shared" si="5"/>
        <v>194</v>
      </c>
      <c r="S11" s="30">
        <f t="shared" si="6"/>
        <v>125404704</v>
      </c>
      <c r="T11" s="30">
        <f t="shared" si="7"/>
        <v>10745280</v>
      </c>
      <c r="U11" s="31">
        <f t="shared" si="8"/>
        <v>11.67067810238542</v>
      </c>
    </row>
    <row r="12" spans="2:21" ht="18" customHeight="1">
      <c r="B12" s="32" t="str">
        <f>'Data Entry'!A12</f>
        <v>7. Cases Resulting in Delinquent Findings</v>
      </c>
      <c r="C12" s="33">
        <f>'Data Entry'!C12</f>
        <v>145</v>
      </c>
      <c r="D12" s="34">
        <f>IF(((AND(C69&gt;0,C12&gt;0))),(C12/(C69)),0)</f>
        <v>91.77215189873418</v>
      </c>
      <c r="E12" s="33">
        <f>'Data Entry'!E12</f>
        <v>22</v>
      </c>
      <c r="F12" s="34">
        <f>IF(((AND($D$69&gt;0,$E$12&gt;0))),(E12/(D69)),0)</f>
        <v>91.666666666666671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22</v>
      </c>
      <c r="O12" s="42">
        <f>(D69*L69)-E12</f>
        <v>2</v>
      </c>
      <c r="P12" s="42">
        <f t="shared" si="4"/>
        <v>145</v>
      </c>
      <c r="Q12" s="42">
        <f>(C69*L69)-C12</f>
        <v>13</v>
      </c>
      <c r="R12" s="42">
        <f t="shared" si="5"/>
        <v>182</v>
      </c>
      <c r="S12" s="30">
        <f t="shared" si="6"/>
        <v>2912</v>
      </c>
      <c r="T12" s="30">
        <f t="shared" si="7"/>
        <v>9498960</v>
      </c>
      <c r="U12" s="31">
        <f t="shared" si="8"/>
        <v>3.0655987602853365E-4</v>
      </c>
    </row>
    <row r="13" spans="2:21" ht="18" customHeight="1">
      <c r="B13" s="32" t="str">
        <f>'Data Entry'!A13</f>
        <v>8. Cases Resulting in Probation Placement</v>
      </c>
      <c r="C13" s="33">
        <f>'Data Entry'!C13</f>
        <v>141</v>
      </c>
      <c r="D13" s="34">
        <f>IF(((AND(C70&gt;0,C13&gt;0))),(C13/(C70)),0)</f>
        <v>97.241379310344826</v>
      </c>
      <c r="E13" s="33">
        <f>'Data Entry'!E13</f>
        <v>18</v>
      </c>
      <c r="F13" s="34">
        <f>IF(((AND($D$70&gt;0,$E$13&gt;0))),($E$13/($D$70)),0)</f>
        <v>81.818181818181813</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18</v>
      </c>
      <c r="O13" s="42">
        <f>(D70*L70)-E13</f>
        <v>4</v>
      </c>
      <c r="P13" s="42">
        <f t="shared" si="4"/>
        <v>141</v>
      </c>
      <c r="Q13" s="42">
        <f>(C70*L70)-C13</f>
        <v>4</v>
      </c>
      <c r="R13" s="42">
        <f t="shared" si="5"/>
        <v>167</v>
      </c>
      <c r="S13" s="30">
        <f t="shared" si="6"/>
        <v>40424688</v>
      </c>
      <c r="T13" s="30">
        <f t="shared" si="7"/>
        <v>4057680</v>
      </c>
      <c r="U13" s="31">
        <f t="shared" si="8"/>
        <v>9.9625125687585019</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22</v>
      </c>
      <c r="P14" s="42">
        <f t="shared" si="4"/>
        <v>0</v>
      </c>
      <c r="Q14" s="42">
        <f>(C70*L70)-C14</f>
        <v>145</v>
      </c>
      <c r="R14" s="42">
        <f t="shared" si="5"/>
        <v>167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1</v>
      </c>
      <c r="F15" s="34">
        <f>IF(((AND($D$69&gt;0,$E$15&gt;0))),(($E$15/($D$69))),0)</f>
        <v>4.166666666666667</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1</v>
      </c>
      <c r="O15" s="42">
        <f>(D69*L69)-E15</f>
        <v>23</v>
      </c>
      <c r="P15" s="42">
        <f t="shared" si="4"/>
        <v>0</v>
      </c>
      <c r="Q15" s="42">
        <f>(C69*L69)-C15</f>
        <v>158</v>
      </c>
      <c r="R15" s="42">
        <f t="shared" si="5"/>
        <v>182</v>
      </c>
      <c r="S15" s="30">
        <f t="shared" si="6"/>
        <v>4543448</v>
      </c>
      <c r="T15" s="30">
        <f t="shared" si="7"/>
        <v>686352</v>
      </c>
      <c r="U15" s="31">
        <f t="shared" si="8"/>
        <v>6.6197053406998156</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2.5459999999999998</v>
      </c>
      <c r="E42" s="56">
        <f>MAX(C42:D42)</f>
        <v>11.071999999999999</v>
      </c>
      <c r="G42" s="1" t="str">
        <f>B42</f>
        <v>per 1000 youth</v>
      </c>
      <c r="L42" s="57">
        <v>1000</v>
      </c>
      <c r="M42" s="57"/>
      <c r="R42" s="49"/>
    </row>
    <row r="43" spans="2:18" ht="15" hidden="1" customHeight="1">
      <c r="B43" s="49" t="s">
        <v>87</v>
      </c>
      <c r="C43" s="56">
        <f>C7/100</f>
        <v>0.75</v>
      </c>
      <c r="D43" s="56">
        <f>E7/100</f>
        <v>0.16</v>
      </c>
      <c r="E43" s="56">
        <f>MAX(C43:D43,0)</f>
        <v>0.75</v>
      </c>
      <c r="G43" s="1" t="str">
        <f>B43</f>
        <v>per 100 arrests</v>
      </c>
      <c r="L43" s="57">
        <v>100</v>
      </c>
      <c r="M43" s="57"/>
      <c r="R43" s="49"/>
    </row>
    <row r="44" spans="2:18" ht="15" hidden="1" customHeight="1">
      <c r="B44" s="49" t="s">
        <v>88</v>
      </c>
      <c r="C44" s="56">
        <f>C8/100</f>
        <v>1.64</v>
      </c>
      <c r="D44" s="56">
        <f>E8/100</f>
        <v>0.3</v>
      </c>
      <c r="E44" s="56">
        <f>MAX(C44:D44,0)</f>
        <v>1.64</v>
      </c>
      <c r="G44" s="1" t="str">
        <f>B44</f>
        <v>per 100 referrals</v>
      </c>
      <c r="L44" s="57">
        <v>100</v>
      </c>
      <c r="M44" s="57"/>
      <c r="R44" s="49"/>
    </row>
    <row r="45" spans="2:18" ht="15" hidden="1" customHeight="1">
      <c r="B45" s="49" t="s">
        <v>89</v>
      </c>
      <c r="C45" s="49">
        <f>C11/100</f>
        <v>1.58</v>
      </c>
      <c r="D45" s="49">
        <f>E11/100</f>
        <v>0.24</v>
      </c>
      <c r="E45" s="56">
        <f>MAX(C45:D45,0)</f>
        <v>1.58</v>
      </c>
      <c r="G45" s="1" t="str">
        <f>B45</f>
        <v>per 100 youth petitioned</v>
      </c>
      <c r="L45" s="57">
        <v>100</v>
      </c>
      <c r="M45" s="57"/>
      <c r="R45" s="49"/>
    </row>
    <row r="46" spans="2:18" ht="15" hidden="1" customHeight="1">
      <c r="B46" s="49" t="s">
        <v>90</v>
      </c>
      <c r="C46" s="49">
        <f>C12/100</f>
        <v>1.45</v>
      </c>
      <c r="D46" s="49">
        <f>E12/100</f>
        <v>0.22</v>
      </c>
      <c r="E46" s="56">
        <f>MAX(C46:D46)</f>
        <v>1.45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2.5459999999999998</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0.16</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0.3</v>
      </c>
      <c r="E50" s="49">
        <f>MAX(C50:D50)</f>
        <v>1.64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0.24</v>
      </c>
      <c r="E51" s="49">
        <f>MAX(C51:D51)</f>
        <v>1.58</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0.22</v>
      </c>
      <c r="E52" s="56">
        <f>MAX(C52:D52)</f>
        <v>1.45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2.5459999999999998</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0.16</v>
      </c>
      <c r="E55" s="49">
        <f>MAX(C55:D55)</f>
        <v>0.75</v>
      </c>
      <c r="G55" s="1" t="str">
        <f>G49</f>
        <v>per 100 arrests</v>
      </c>
      <c r="L55" s="58">
        <f>IF(($E49&gt;0),L49,L48)</f>
        <v>100</v>
      </c>
      <c r="M55" s="58"/>
    </row>
    <row r="56" spans="2:18" ht="15" hidden="1" customHeight="1">
      <c r="B56" s="49" t="str">
        <f t="shared" si="10"/>
        <v>per 100 referrals</v>
      </c>
      <c r="C56" s="49">
        <f t="shared" si="10"/>
        <v>1.64</v>
      </c>
      <c r="D56" s="49">
        <f t="shared" si="10"/>
        <v>0.3</v>
      </c>
      <c r="E56" s="49">
        <f>MAX(C56:D56)</f>
        <v>1.64</v>
      </c>
      <c r="G56" s="1" t="str">
        <f>G50</f>
        <v>per 100 referrals</v>
      </c>
      <c r="L56" s="58">
        <f>IF(($E50&gt;0),L50,L49)</f>
        <v>100</v>
      </c>
      <c r="M56" s="58"/>
    </row>
    <row r="57" spans="2:18" ht="15" hidden="1" customHeight="1">
      <c r="B57" s="49" t="str">
        <f>IF(($E51&gt;0),B51,B49)</f>
        <v>per 100 youth petitioned</v>
      </c>
      <c r="C57" s="49">
        <f>IF(($E51&gt;0),C51,C50)</f>
        <v>1.58</v>
      </c>
      <c r="D57" s="49">
        <f>IF(($E51&gt;0),D51,D50)</f>
        <v>0.24</v>
      </c>
      <c r="E57" s="49">
        <f>MAX(C57:D57)</f>
        <v>1.58</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0.22</v>
      </c>
      <c r="E58" s="56">
        <f>MAX(C58:D58)</f>
        <v>1.45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2.5459999999999998</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0.16</v>
      </c>
      <c r="E61" s="49">
        <f>MAX(C61:D61)</f>
        <v>0.75</v>
      </c>
      <c r="G61" s="1" t="str">
        <f>G55</f>
        <v>per 100 arrests</v>
      </c>
      <c r="L61" s="58">
        <f>IF(($E55&gt;0),L55,L54)</f>
        <v>100</v>
      </c>
      <c r="M61" s="58"/>
    </row>
    <row r="62" spans="2:18" ht="15" hidden="1" customHeight="1">
      <c r="B62" s="49" t="str">
        <f t="shared" si="11"/>
        <v>per 100 referrals</v>
      </c>
      <c r="C62" s="49">
        <f t="shared" si="11"/>
        <v>1.64</v>
      </c>
      <c r="D62" s="49">
        <f t="shared" si="11"/>
        <v>0.3</v>
      </c>
      <c r="E62" s="49">
        <f>MAX(C62:D62)</f>
        <v>1.64</v>
      </c>
      <c r="G62" s="1" t="str">
        <f>G56</f>
        <v>per 100 referrals</v>
      </c>
      <c r="L62" s="58">
        <f>IF(($E56&gt;0),L56,L55)</f>
        <v>100</v>
      </c>
      <c r="M62" s="58"/>
    </row>
    <row r="63" spans="2:18" ht="15" hidden="1" customHeight="1">
      <c r="B63" s="49" t="str">
        <f>IF(($E57&gt;0),B57,B55)</f>
        <v>per 100 youth petitioned</v>
      </c>
      <c r="C63" s="49">
        <f>IF(($E57&gt;0),C57,C56)</f>
        <v>1.58</v>
      </c>
      <c r="D63" s="49">
        <f>IF(($E57&gt;0),D57,D56)</f>
        <v>0.24</v>
      </c>
      <c r="E63" s="49">
        <f>MAX(C63:D63)</f>
        <v>1.58</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0.22</v>
      </c>
      <c r="E64" s="56">
        <f>MAX(C64:D64)</f>
        <v>1.45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2.5459999999999998</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0.16</v>
      </c>
      <c r="E67" s="49">
        <f>MAX(C67:D67)</f>
        <v>0.75</v>
      </c>
      <c r="G67" s="1" t="str">
        <f>G61</f>
        <v>per 100 arrests</v>
      </c>
      <c r="L67" s="58">
        <f>IF(($E61&gt;0),L61,L60)</f>
        <v>100</v>
      </c>
      <c r="M67" s="58">
        <f>IF((B67=G67),1,2)</f>
        <v>1</v>
      </c>
    </row>
    <row r="68" spans="2:13" ht="15" hidden="1" customHeight="1">
      <c r="B68" s="49" t="str">
        <f t="shared" si="12"/>
        <v>per 100 referrals</v>
      </c>
      <c r="C68" s="49">
        <f t="shared" si="12"/>
        <v>1.64</v>
      </c>
      <c r="D68" s="49">
        <f t="shared" si="12"/>
        <v>0.3</v>
      </c>
      <c r="E68" s="49">
        <f>MAX(C68:D68)</f>
        <v>1.64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0.24</v>
      </c>
      <c r="E69" s="49">
        <f>MAX(C69:D69)</f>
        <v>1.58</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0.22</v>
      </c>
      <c r="E70" s="56">
        <f>MAX(C70:D70)</f>
        <v>1.45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10997</v>
      </c>
      <c r="R7" s="42">
        <f t="shared" ref="R7:R15" si="5">SUM(N7:Q7)</f>
        <v>11072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164</v>
      </c>
      <c r="D8" s="34">
        <f>IF((AND(C67&gt;0,C8&gt;0)),(C8/C67),0)</f>
        <v>218.66666666666666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164</v>
      </c>
      <c r="Q8" s="42">
        <f>(C$67*L67)-C8</f>
        <v>-89</v>
      </c>
      <c r="R8" s="42">
        <f t="shared" si="5"/>
        <v>75.050000000000011</v>
      </c>
      <c r="S8" s="30">
        <f t="shared" si="6"/>
        <v>5046.3620000000028</v>
      </c>
      <c r="T8" s="30">
        <f t="shared" si="7"/>
        <v>-54704.25</v>
      </c>
      <c r="U8" s="31">
        <f t="shared" si="8"/>
        <v>-9.2248079445381354E-2</v>
      </c>
    </row>
    <row r="9" spans="2:21" ht="18" customHeight="1">
      <c r="B9" s="32" t="str">
        <f>'Data Entry'!A9</f>
        <v xml:space="preserve">4. Cases Diverted </v>
      </c>
      <c r="C9" s="33">
        <f>'Data Entry'!C9</f>
        <v>6</v>
      </c>
      <c r="D9" s="34">
        <f>IF((AND(C68&gt;0,C9&gt;0)),((C9/C68)),0)</f>
        <v>3.6585365853658538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6</v>
      </c>
      <c r="Q9" s="42">
        <f>(C$68*L68)-C9</f>
        <v>158</v>
      </c>
      <c r="R9" s="42">
        <f t="shared" si="5"/>
        <v>164</v>
      </c>
      <c r="S9" s="30">
        <f t="shared" si="6"/>
        <v>0</v>
      </c>
      <c r="T9" s="30">
        <f t="shared" si="7"/>
        <v>0</v>
      </c>
      <c r="U9" s="31" t="str">
        <f t="shared" si="8"/>
        <v>- -</v>
      </c>
    </row>
    <row r="10" spans="2:21" ht="18" customHeight="1">
      <c r="B10" s="32" t="str">
        <f>'Data Entry'!A10</f>
        <v>5. Cases Involving Secure Detention</v>
      </c>
      <c r="C10" s="33">
        <f>'Data Entry'!C10</f>
        <v>93</v>
      </c>
      <c r="D10" s="34">
        <f>IF(((AND(C68&gt;0,C10&gt;0))),(C10/(C68)),0)</f>
        <v>56.707317073170735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93</v>
      </c>
      <c r="Q10" s="42">
        <f>(C$68*L68)-C10</f>
        <v>71</v>
      </c>
      <c r="R10" s="42">
        <f t="shared" si="5"/>
        <v>164</v>
      </c>
      <c r="S10" s="30">
        <f t="shared" si="6"/>
        <v>0</v>
      </c>
      <c r="T10" s="30">
        <f t="shared" si="7"/>
        <v>0</v>
      </c>
      <c r="U10" s="31" t="str">
        <f t="shared" si="8"/>
        <v>- -</v>
      </c>
    </row>
    <row r="11" spans="2:21" ht="18" customHeight="1">
      <c r="B11" s="32" t="str">
        <f>'Data Entry'!A11</f>
        <v>6. Cases Petitioned (Charge Filed)</v>
      </c>
      <c r="C11" s="33">
        <f>'Data Entry'!C11</f>
        <v>158</v>
      </c>
      <c r="D11" s="34">
        <f>IF(((AND(C68&gt;0,C11&gt;0))),(C11/(C68)),0)</f>
        <v>96.341463414634148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158</v>
      </c>
      <c r="Q11" s="42">
        <f>(C$68*L68)-C11</f>
        <v>6</v>
      </c>
      <c r="R11" s="42">
        <f t="shared" si="5"/>
        <v>164</v>
      </c>
      <c r="S11" s="30">
        <f t="shared" si="6"/>
        <v>0</v>
      </c>
      <c r="T11" s="30">
        <f t="shared" si="7"/>
        <v>0</v>
      </c>
      <c r="U11" s="31" t="str">
        <f t="shared" si="8"/>
        <v>- -</v>
      </c>
    </row>
    <row r="12" spans="2:21" ht="18" customHeight="1">
      <c r="B12" s="32" t="str">
        <f>'Data Entry'!A12</f>
        <v>7. Cases Resulting in Delinquent Findings</v>
      </c>
      <c r="C12" s="33">
        <f>'Data Entry'!C12</f>
        <v>145</v>
      </c>
      <c r="D12" s="34">
        <f>IF(((AND(C69&gt;0,C12&gt;0))),(C12/(C69)),0)</f>
        <v>91.77215189873418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145</v>
      </c>
      <c r="Q12" s="42">
        <f>(C69*L69)-C12</f>
        <v>13</v>
      </c>
      <c r="R12" s="42">
        <f t="shared" si="5"/>
        <v>158</v>
      </c>
      <c r="S12" s="30">
        <f t="shared" si="6"/>
        <v>0</v>
      </c>
      <c r="T12" s="30">
        <f t="shared" si="7"/>
        <v>0</v>
      </c>
      <c r="U12" s="31" t="str">
        <f t="shared" si="8"/>
        <v>- -</v>
      </c>
    </row>
    <row r="13" spans="2:21" ht="18" customHeight="1">
      <c r="B13" s="32" t="str">
        <f>'Data Entry'!A13</f>
        <v>8. Cases Resulting in Probation Placement</v>
      </c>
      <c r="C13" s="33">
        <f>'Data Entry'!C13</f>
        <v>141</v>
      </c>
      <c r="D13" s="34">
        <f>IF(((AND(C70&gt;0,C13&gt;0))),(C13/(C70)),0)</f>
        <v>97.241379310344826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141</v>
      </c>
      <c r="Q13" s="42">
        <f>(C70*L70)-C13</f>
        <v>4</v>
      </c>
      <c r="R13" s="42">
        <f t="shared" si="5"/>
        <v>145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145</v>
      </c>
      <c r="R14" s="42">
        <f t="shared" si="5"/>
        <v>145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158</v>
      </c>
      <c r="R15" s="42">
        <f t="shared" si="5"/>
        <v>158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0</v>
      </c>
      <c r="E42" s="56">
        <f>MAX(C42:D42)</f>
        <v>11.071999999999999</v>
      </c>
      <c r="G42" s="1" t="str">
        <f>B42</f>
        <v>per 1000 youth</v>
      </c>
      <c r="L42" s="57">
        <v>1000</v>
      </c>
      <c r="M42" s="57"/>
      <c r="R42" s="49"/>
    </row>
    <row r="43" spans="2:18" ht="15" hidden="1" customHeight="1">
      <c r="B43" s="49" t="s">
        <v>87</v>
      </c>
      <c r="C43" s="56">
        <f>C7/100</f>
        <v>0.75</v>
      </c>
      <c r="D43" s="56">
        <f>E7/100</f>
        <v>0</v>
      </c>
      <c r="E43" s="56">
        <f>MAX(C43:D43,0)</f>
        <v>0.75</v>
      </c>
      <c r="G43" s="1" t="str">
        <f>B43</f>
        <v>per 100 arrests</v>
      </c>
      <c r="L43" s="57">
        <v>100</v>
      </c>
      <c r="M43" s="57"/>
      <c r="R43" s="49"/>
    </row>
    <row r="44" spans="2:18" ht="15" hidden="1" customHeight="1">
      <c r="B44" s="49" t="s">
        <v>88</v>
      </c>
      <c r="C44" s="56">
        <f>C8/100</f>
        <v>1.64</v>
      </c>
      <c r="D44" s="56">
        <f>E8/100</f>
        <v>0</v>
      </c>
      <c r="E44" s="56">
        <f>MAX(C44:D44,0)</f>
        <v>1.64</v>
      </c>
      <c r="G44" s="1" t="str">
        <f>B44</f>
        <v>per 100 referrals</v>
      </c>
      <c r="L44" s="57">
        <v>100</v>
      </c>
      <c r="M44" s="57"/>
      <c r="R44" s="49"/>
    </row>
    <row r="45" spans="2:18" ht="15" hidden="1" customHeight="1">
      <c r="B45" s="49" t="s">
        <v>89</v>
      </c>
      <c r="C45" s="49">
        <f>C11/100</f>
        <v>1.58</v>
      </c>
      <c r="D45" s="49">
        <f>E11/100</f>
        <v>0</v>
      </c>
      <c r="E45" s="56">
        <f>MAX(C45:D45,0)</f>
        <v>1.58</v>
      </c>
      <c r="G45" s="1" t="str">
        <f>B45</f>
        <v>per 100 youth petitioned</v>
      </c>
      <c r="L45" s="57">
        <v>100</v>
      </c>
      <c r="M45" s="57"/>
      <c r="R45" s="49"/>
    </row>
    <row r="46" spans="2:18" ht="15" hidden="1" customHeight="1">
      <c r="B46" s="49" t="s">
        <v>90</v>
      </c>
      <c r="C46" s="49">
        <f>C12/100</f>
        <v>1.45</v>
      </c>
      <c r="D46" s="49">
        <f>E12/100</f>
        <v>0</v>
      </c>
      <c r="E46" s="56">
        <f>MAX(C46:D46)</f>
        <v>1.45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0</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0</v>
      </c>
      <c r="E50" s="49">
        <f>MAX(C50:D50)</f>
        <v>1.64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0</v>
      </c>
      <c r="E51" s="49">
        <f>MAX(C51:D51)</f>
        <v>1.58</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0</v>
      </c>
      <c r="E52" s="56">
        <f>MAX(C52:D52)</f>
        <v>1.45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0</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c r="B56" s="49" t="str">
        <f t="shared" si="10"/>
        <v>per 100 referrals</v>
      </c>
      <c r="C56" s="49">
        <f t="shared" si="10"/>
        <v>1.64</v>
      </c>
      <c r="D56" s="49">
        <f t="shared" si="10"/>
        <v>0</v>
      </c>
      <c r="E56" s="49">
        <f>MAX(C56:D56)</f>
        <v>1.64</v>
      </c>
      <c r="G56" s="1" t="str">
        <f>G50</f>
        <v>per 100 referrals</v>
      </c>
      <c r="L56" s="58">
        <f>IF(($E50&gt;0),L50,L49)</f>
        <v>100</v>
      </c>
      <c r="M56" s="58"/>
    </row>
    <row r="57" spans="2:18" ht="15" hidden="1" customHeight="1">
      <c r="B57" s="49" t="str">
        <f>IF(($E51&gt;0),B51,B49)</f>
        <v>per 100 youth petitioned</v>
      </c>
      <c r="C57" s="49">
        <f>IF(($E51&gt;0),C51,C50)</f>
        <v>1.58</v>
      </c>
      <c r="D57" s="49">
        <f>IF(($E51&gt;0),D51,D50)</f>
        <v>0</v>
      </c>
      <c r="E57" s="49">
        <f>MAX(C57:D57)</f>
        <v>1.58</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0</v>
      </c>
      <c r="E58" s="56">
        <f>MAX(C58:D58)</f>
        <v>1.45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0</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c r="B62" s="49" t="str">
        <f t="shared" si="11"/>
        <v>per 100 referrals</v>
      </c>
      <c r="C62" s="49">
        <f t="shared" si="11"/>
        <v>1.64</v>
      </c>
      <c r="D62" s="49">
        <f t="shared" si="11"/>
        <v>0</v>
      </c>
      <c r="E62" s="49">
        <f>MAX(C62:D62)</f>
        <v>1.64</v>
      </c>
      <c r="G62" s="1" t="str">
        <f>G56</f>
        <v>per 100 referrals</v>
      </c>
      <c r="L62" s="58">
        <f>IF(($E56&gt;0),L56,L55)</f>
        <v>100</v>
      </c>
      <c r="M62" s="58"/>
    </row>
    <row r="63" spans="2:18" ht="15" hidden="1" customHeight="1">
      <c r="B63" s="49" t="str">
        <f>IF(($E57&gt;0),B57,B55)</f>
        <v>per 100 youth petitioned</v>
      </c>
      <c r="C63" s="49">
        <f>IF(($E57&gt;0),C57,C56)</f>
        <v>1.58</v>
      </c>
      <c r="D63" s="49">
        <f>IF(($E57&gt;0),D57,D56)</f>
        <v>0</v>
      </c>
      <c r="E63" s="49">
        <f>MAX(C63:D63)</f>
        <v>1.58</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0</v>
      </c>
      <c r="E64" s="56">
        <f>MAX(C64:D64)</f>
        <v>1.45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0</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c r="B68" s="49" t="str">
        <f t="shared" si="12"/>
        <v>per 100 referrals</v>
      </c>
      <c r="C68" s="49">
        <f t="shared" si="12"/>
        <v>1.64</v>
      </c>
      <c r="D68" s="49">
        <f t="shared" si="12"/>
        <v>0</v>
      </c>
      <c r="E68" s="49">
        <f>MAX(C68:D68)</f>
        <v>1.64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0</v>
      </c>
      <c r="E69" s="49">
        <f>MAX(C69:D69)</f>
        <v>1.58</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0</v>
      </c>
      <c r="E70" s="56">
        <f>MAX(C70:D70)</f>
        <v>1.45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11072</v>
      </c>
      <c r="D6" s="34"/>
      <c r="E6" s="33">
        <f>'Data Entry'!H6</f>
        <v>98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75</v>
      </c>
      <c r="D7" s="34">
        <f>IF((AND(C66&gt;0,C7&gt;0)),(C7/C66),0)</f>
        <v>6.7738439306358389</v>
      </c>
      <c r="E7" s="33">
        <f>'Data Entry'!H7</f>
        <v>2</v>
      </c>
      <c r="F7" s="34">
        <f>IF((AND($E$7&gt;0,$D$66&gt;0)),($E$7/$D$66),0)</f>
        <v>20.408163265306122</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2</v>
      </c>
      <c r="O7" s="42">
        <f>E6-E7</f>
        <v>96</v>
      </c>
      <c r="P7" s="42">
        <f t="shared" ref="P7:P15" si="4">C7</f>
        <v>75</v>
      </c>
      <c r="Q7" s="42">
        <f>C6-C7</f>
        <v>10997</v>
      </c>
      <c r="R7" s="42">
        <f t="shared" ref="R7:R15" si="5">SUM(N7:Q7)</f>
        <v>11170</v>
      </c>
      <c r="S7" s="30">
        <f t="shared" ref="S7:S15" si="6">R7*((((N7*Q7)-(O7*P7))^2))</f>
        <v>2444693410120</v>
      </c>
      <c r="T7" s="30">
        <f t="shared" ref="T7:T15" si="7">(N7+O7)*(P7+Q7)*(N7+P7)*(O7+Q7)</f>
        <v>926812518016</v>
      </c>
      <c r="U7" s="31">
        <f t="shared" ref="U7:U15" si="8">IF((S7&gt;0),S7/T7,"- -")</f>
        <v>2.6377431924994741</v>
      </c>
    </row>
    <row r="8" spans="2:21" ht="18" customHeight="1">
      <c r="B8" s="32" t="str">
        <f>'Data Entry'!A8</f>
        <v>3. Refer to Juvenile Court</v>
      </c>
      <c r="C8" s="33">
        <f>'Data Entry'!C8</f>
        <v>164</v>
      </c>
      <c r="D8" s="34">
        <f>IF((AND(C67&gt;0,C8&gt;0)),(C8/C67),0)</f>
        <v>218.66666666666666</v>
      </c>
      <c r="E8" s="33">
        <f>'Data Entry'!H8</f>
        <v>2</v>
      </c>
      <c r="F8" s="34">
        <f>IF((AND($E$8&gt;0,$D$67&gt;0)),($E8/$D67),0)</f>
        <v>100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2</v>
      </c>
      <c r="O8" s="42">
        <f>((D67*L67)-E8)+0.05</f>
        <v>0.05</v>
      </c>
      <c r="P8" s="42">
        <f t="shared" si="4"/>
        <v>164</v>
      </c>
      <c r="Q8" s="42">
        <f>(C$67*L67)-C8</f>
        <v>-89</v>
      </c>
      <c r="R8" s="42">
        <f t="shared" si="5"/>
        <v>77.050000000000011</v>
      </c>
      <c r="S8" s="30">
        <f t="shared" si="6"/>
        <v>2671357.4020000002</v>
      </c>
      <c r="T8" s="30">
        <f t="shared" si="7"/>
        <v>-2270226.375</v>
      </c>
      <c r="U8" s="31">
        <f t="shared" si="8"/>
        <v>-1.1766920829646339</v>
      </c>
    </row>
    <row r="9" spans="2:21" ht="18" customHeight="1">
      <c r="B9" s="32" t="str">
        <f>'Data Entry'!A9</f>
        <v xml:space="preserve">4. Cases Diverted </v>
      </c>
      <c r="C9" s="33">
        <f>'Data Entry'!C9</f>
        <v>6</v>
      </c>
      <c r="D9" s="34">
        <f>IF((AND(C68&gt;0,C9&gt;0)),((C9/C68)),0)</f>
        <v>3.6585365853658538</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6</v>
      </c>
      <c r="Q9" s="42">
        <f>(C$68*L68)-C9</f>
        <v>158</v>
      </c>
      <c r="R9" s="42">
        <f t="shared" si="5"/>
        <v>166</v>
      </c>
      <c r="S9" s="30">
        <f t="shared" si="6"/>
        <v>23904</v>
      </c>
      <c r="T9" s="30">
        <f t="shared" si="7"/>
        <v>314880</v>
      </c>
      <c r="U9" s="31">
        <f t="shared" si="8"/>
        <v>7.5914634146341461E-2</v>
      </c>
    </row>
    <row r="10" spans="2:21" ht="18" customHeight="1">
      <c r="B10" s="32" t="str">
        <f>'Data Entry'!A10</f>
        <v>5. Cases Involving Secure Detention</v>
      </c>
      <c r="C10" s="33">
        <f>'Data Entry'!C10</f>
        <v>93</v>
      </c>
      <c r="D10" s="34">
        <f>IF(((AND(C68&gt;0,C10&gt;0))),(C10/(C68)),0)</f>
        <v>56.707317073170735</v>
      </c>
      <c r="E10" s="33">
        <f>'Data Entry'!H10</f>
        <v>3</v>
      </c>
      <c r="F10" s="34">
        <f>IF(((AND($E$10&gt;0,$D$68&gt;0))),($E$10/($D$68)),0)</f>
        <v>150</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3</v>
      </c>
      <c r="O10" s="42">
        <f>(D$68*L68)-E10</f>
        <v>-1</v>
      </c>
      <c r="P10" s="42">
        <f t="shared" si="4"/>
        <v>93</v>
      </c>
      <c r="Q10" s="42">
        <f>(C$68*L68)-C10</f>
        <v>71</v>
      </c>
      <c r="R10" s="42">
        <f t="shared" si="5"/>
        <v>166</v>
      </c>
      <c r="S10" s="30">
        <f t="shared" si="6"/>
        <v>15543576</v>
      </c>
      <c r="T10" s="30">
        <f t="shared" si="7"/>
        <v>2204160</v>
      </c>
      <c r="U10" s="31">
        <f t="shared" si="8"/>
        <v>7.051927264808362</v>
      </c>
    </row>
    <row r="11" spans="2:21" ht="18" customHeight="1">
      <c r="B11" s="32" t="str">
        <f>'Data Entry'!A11</f>
        <v>6. Cases Petitioned (Charge Filed)</v>
      </c>
      <c r="C11" s="33">
        <f>'Data Entry'!C11</f>
        <v>158</v>
      </c>
      <c r="D11" s="34">
        <f>IF(((AND(C68&gt;0,C11&gt;0))),(C11/(C68)),0)</f>
        <v>96.341463414634148</v>
      </c>
      <c r="E11" s="33">
        <f>'Data Entry'!H11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158</v>
      </c>
      <c r="Q11" s="42">
        <f>(C$68*L68)-C11</f>
        <v>6</v>
      </c>
      <c r="R11" s="42">
        <f t="shared" si="5"/>
        <v>166</v>
      </c>
      <c r="S11" s="30">
        <f t="shared" si="6"/>
        <v>23904</v>
      </c>
      <c r="T11" s="30">
        <f t="shared" si="7"/>
        <v>314880</v>
      </c>
      <c r="U11" s="31">
        <f t="shared" si="8"/>
        <v>7.5914634146341461E-2</v>
      </c>
    </row>
    <row r="12" spans="2:21" ht="18" customHeight="1">
      <c r="B12" s="32" t="str">
        <f>'Data Entry'!A12</f>
        <v>7. Cases Resulting in Delinquent Findings</v>
      </c>
      <c r="C12" s="33">
        <f>'Data Entry'!C12</f>
        <v>145</v>
      </c>
      <c r="D12" s="34">
        <f>IF(((AND(C69&gt;0,C12&gt;0))),(C12/(C69)),0)</f>
        <v>91.77215189873418</v>
      </c>
      <c r="E12" s="33">
        <f>'Data Entry'!H12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0</v>
      </c>
      <c r="P12" s="42">
        <f t="shared" si="4"/>
        <v>145</v>
      </c>
      <c r="Q12" s="42">
        <f>(C69*L69)-C12</f>
        <v>13</v>
      </c>
      <c r="R12" s="42">
        <f t="shared" si="5"/>
        <v>160</v>
      </c>
      <c r="S12" s="30">
        <f t="shared" si="6"/>
        <v>108160</v>
      </c>
      <c r="T12" s="30">
        <f t="shared" si="7"/>
        <v>603876</v>
      </c>
      <c r="U12" s="31">
        <f t="shared" si="8"/>
        <v>0.17910961853095669</v>
      </c>
    </row>
    <row r="13" spans="2:21" ht="18" customHeight="1">
      <c r="B13" s="32" t="str">
        <f>'Data Entry'!A13</f>
        <v>8. Cases Resulting in Probation Placement</v>
      </c>
      <c r="C13" s="33">
        <f>'Data Entry'!C13</f>
        <v>141</v>
      </c>
      <c r="D13" s="34">
        <f>IF(((AND(C70&gt;0,C13&gt;0))),(C13/(C70)),0)</f>
        <v>97.241379310344826</v>
      </c>
      <c r="E13" s="33">
        <f>'Data Entry'!H13</f>
        <v>1</v>
      </c>
      <c r="F13" s="34">
        <f>IF(((AND($D$70&gt;0,$E$13&gt;0))),($E$13/($D$70)),0)</f>
        <v>50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1</v>
      </c>
      <c r="O13" s="42">
        <f>(D70*L70)-E13</f>
        <v>1</v>
      </c>
      <c r="P13" s="42">
        <f t="shared" si="4"/>
        <v>141</v>
      </c>
      <c r="Q13" s="42">
        <f>(C70*L70)-C13</f>
        <v>4</v>
      </c>
      <c r="R13" s="42">
        <f t="shared" si="5"/>
        <v>147</v>
      </c>
      <c r="S13" s="30">
        <f t="shared" si="6"/>
        <v>2759043</v>
      </c>
      <c r="T13" s="30">
        <f t="shared" si="7"/>
        <v>205900</v>
      </c>
      <c r="U13" s="31">
        <f t="shared" si="8"/>
        <v>13.399917435648373</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145</v>
      </c>
      <c r="R14" s="42">
        <f t="shared" si="5"/>
        <v>147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158</v>
      </c>
      <c r="R15" s="42">
        <f t="shared" si="5"/>
        <v>160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11.071999999999999</v>
      </c>
      <c r="D42" s="56">
        <f>E6/1000</f>
        <v>9.8000000000000004E-2</v>
      </c>
      <c r="E42" s="56">
        <f>MAX(C42:D42)</f>
        <v>11.071999999999999</v>
      </c>
      <c r="G42" s="1" t="str">
        <f>B42</f>
        <v>per 1000 youth</v>
      </c>
      <c r="L42" s="57">
        <v>1000</v>
      </c>
      <c r="M42" s="57"/>
      <c r="R42" s="49"/>
    </row>
    <row r="43" spans="2:18" ht="15" hidden="1" customHeight="1">
      <c r="B43" s="49" t="s">
        <v>87</v>
      </c>
      <c r="C43" s="56">
        <f>C7/100</f>
        <v>0.75</v>
      </c>
      <c r="D43" s="56">
        <f>E7/100</f>
        <v>0.02</v>
      </c>
      <c r="E43" s="56">
        <f>MAX(C43:D43,0)</f>
        <v>0.75</v>
      </c>
      <c r="G43" s="1" t="str">
        <f>B43</f>
        <v>per 100 arrests</v>
      </c>
      <c r="L43" s="57">
        <v>100</v>
      </c>
      <c r="M43" s="57"/>
      <c r="R43" s="49"/>
    </row>
    <row r="44" spans="2:18" ht="15" hidden="1" customHeight="1">
      <c r="B44" s="49" t="s">
        <v>88</v>
      </c>
      <c r="C44" s="56">
        <f>C8/100</f>
        <v>1.64</v>
      </c>
      <c r="D44" s="56">
        <f>E8/100</f>
        <v>0.02</v>
      </c>
      <c r="E44" s="56">
        <f>MAX(C44:D44,0)</f>
        <v>1.64</v>
      </c>
      <c r="G44" s="1" t="str">
        <f>B44</f>
        <v>per 100 referrals</v>
      </c>
      <c r="L44" s="57">
        <v>100</v>
      </c>
      <c r="M44" s="57"/>
      <c r="R44" s="49"/>
    </row>
    <row r="45" spans="2:18" ht="15" hidden="1" customHeight="1">
      <c r="B45" s="49" t="s">
        <v>89</v>
      </c>
      <c r="C45" s="49">
        <f>C11/100</f>
        <v>1.58</v>
      </c>
      <c r="D45" s="49">
        <f>E11/100</f>
        <v>0.02</v>
      </c>
      <c r="E45" s="56">
        <f>MAX(C45:D45,0)</f>
        <v>1.58</v>
      </c>
      <c r="G45" s="1" t="str">
        <f>B45</f>
        <v>per 100 youth petitioned</v>
      </c>
      <c r="L45" s="57">
        <v>100</v>
      </c>
      <c r="M45" s="57"/>
      <c r="R45" s="49"/>
    </row>
    <row r="46" spans="2:18" ht="15" hidden="1" customHeight="1">
      <c r="B46" s="49" t="s">
        <v>90</v>
      </c>
      <c r="C46" s="49">
        <f>C12/100</f>
        <v>1.45</v>
      </c>
      <c r="D46" s="49">
        <f>E12/100</f>
        <v>0.02</v>
      </c>
      <c r="E46" s="56">
        <f>MAX(C46:D46)</f>
        <v>1.45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11.071999999999999</v>
      </c>
      <c r="D48" s="56">
        <f>D42</f>
        <v>9.8000000000000004E-2</v>
      </c>
      <c r="E48" s="56">
        <f>MAX(C48:D48)</f>
        <v>11.071999999999999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0.75</v>
      </c>
      <c r="D49" s="49">
        <f t="shared" si="9"/>
        <v>0.02</v>
      </c>
      <c r="E49" s="49">
        <f>MAX(C49:D49)</f>
        <v>0.75</v>
      </c>
      <c r="G49" s="1" t="str">
        <f>G43</f>
        <v>per 100 arrests</v>
      </c>
      <c r="L49" s="58">
        <f>IF(($E43&gt;0),L43,L42)</f>
        <v>100</v>
      </c>
      <c r="M49" s="58"/>
      <c r="N49" s="21"/>
      <c r="O49" s="21"/>
      <c r="P49" s="21"/>
      <c r="Q49" s="21"/>
      <c r="R49" s="21"/>
    </row>
    <row r="50" spans="2:18" ht="15" hidden="1" customHeight="1">
      <c r="B50" s="49" t="str">
        <f t="shared" si="9"/>
        <v>per 100 referrals</v>
      </c>
      <c r="C50" s="49">
        <f t="shared" si="9"/>
        <v>1.64</v>
      </c>
      <c r="D50" s="49">
        <f t="shared" si="9"/>
        <v>0.02</v>
      </c>
      <c r="E50" s="49">
        <f>MAX(C50:D50)</f>
        <v>1.64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1.58</v>
      </c>
      <c r="D51" s="49">
        <f>IF(($E45&gt;0),D45,D44)</f>
        <v>0.02</v>
      </c>
      <c r="E51" s="49">
        <f>MAX(C51:D51)</f>
        <v>1.58</v>
      </c>
      <c r="G51" s="1" t="str">
        <f>G45</f>
        <v>per 100 youth petitioned</v>
      </c>
      <c r="L51" s="58">
        <f>IF(($E45&gt;0),L45,L44)</f>
        <v>100</v>
      </c>
      <c r="M51" s="58"/>
    </row>
    <row r="52" spans="2:18" ht="15" hidden="1" customHeight="1">
      <c r="B52" s="49" t="str">
        <f>IF(($E46&gt;0),B46,B45)</f>
        <v>per 100 youth found delinquent</v>
      </c>
      <c r="C52" s="49">
        <f>IF(($E46&gt;0),C46,C45)</f>
        <v>1.45</v>
      </c>
      <c r="D52" s="49">
        <f>IF(($E46&gt;0),D46,D45)</f>
        <v>0.02</v>
      </c>
      <c r="E52" s="56">
        <f>MAX(C52:D52)</f>
        <v>1.45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11.071999999999999</v>
      </c>
      <c r="D54" s="56">
        <f>D48</f>
        <v>9.8000000000000004E-2</v>
      </c>
      <c r="E54" s="56">
        <f>MAX(C54:D54)</f>
        <v>11.071999999999999</v>
      </c>
      <c r="G54" s="1" t="str">
        <f>G48</f>
        <v>per 1000 youth</v>
      </c>
      <c r="L54" s="58">
        <f>L48</f>
        <v>1000</v>
      </c>
      <c r="M54" s="58"/>
    </row>
    <row r="55" spans="2:18" ht="15" hidden="1" customHeight="1">
      <c r="B55" s="49" t="str">
        <f t="shared" ref="B55:D56" si="10">IF(($E49&gt;0),B49,B48)</f>
        <v>per 100 arrests</v>
      </c>
      <c r="C55" s="49">
        <f t="shared" si="10"/>
        <v>0.75</v>
      </c>
      <c r="D55" s="49">
        <f t="shared" si="10"/>
        <v>0.02</v>
      </c>
      <c r="E55" s="49">
        <f>MAX(C55:D55)</f>
        <v>0.75</v>
      </c>
      <c r="G55" s="1" t="str">
        <f>G49</f>
        <v>per 100 arrests</v>
      </c>
      <c r="L55" s="58">
        <f>IF(($E49&gt;0),L49,L48)</f>
        <v>100</v>
      </c>
      <c r="M55" s="58"/>
    </row>
    <row r="56" spans="2:18" ht="15" hidden="1" customHeight="1">
      <c r="B56" s="49" t="str">
        <f t="shared" si="10"/>
        <v>per 100 referrals</v>
      </c>
      <c r="C56" s="49">
        <f t="shared" si="10"/>
        <v>1.64</v>
      </c>
      <c r="D56" s="49">
        <f t="shared" si="10"/>
        <v>0.02</v>
      </c>
      <c r="E56" s="49">
        <f>MAX(C56:D56)</f>
        <v>1.64</v>
      </c>
      <c r="G56" s="1" t="str">
        <f>G50</f>
        <v>per 100 referrals</v>
      </c>
      <c r="L56" s="58">
        <f>IF(($E50&gt;0),L50,L49)</f>
        <v>100</v>
      </c>
      <c r="M56" s="58"/>
    </row>
    <row r="57" spans="2:18" ht="15" hidden="1" customHeight="1">
      <c r="B57" s="49" t="str">
        <f>IF(($E51&gt;0),B51,B49)</f>
        <v>per 100 youth petitioned</v>
      </c>
      <c r="C57" s="49">
        <f>IF(($E51&gt;0),C51,C50)</f>
        <v>1.58</v>
      </c>
      <c r="D57" s="49">
        <f>IF(($E51&gt;0),D51,D50)</f>
        <v>0.02</v>
      </c>
      <c r="E57" s="49">
        <f>MAX(C57:D57)</f>
        <v>1.58</v>
      </c>
      <c r="G57" s="1" t="str">
        <f>G51</f>
        <v>per 100 youth petitioned</v>
      </c>
      <c r="L57" s="58">
        <f>IF(($E51&gt;0),L51,L50)</f>
        <v>100</v>
      </c>
      <c r="M57" s="58"/>
    </row>
    <row r="58" spans="2:18" ht="15" hidden="1" customHeight="1">
      <c r="B58" s="49" t="str">
        <f>IF(($E52&gt;0),B52,B51)</f>
        <v>per 100 youth found delinquent</v>
      </c>
      <c r="C58" s="49">
        <f>IF(($E52&gt;0),C52,C51)</f>
        <v>1.45</v>
      </c>
      <c r="D58" s="49">
        <f>IF(($E52&gt;0),D52,D51)</f>
        <v>0.02</v>
      </c>
      <c r="E58" s="56">
        <f>MAX(C58:D58)</f>
        <v>1.45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11.071999999999999</v>
      </c>
      <c r="D60" s="56">
        <f>D54</f>
        <v>9.8000000000000004E-2</v>
      </c>
      <c r="E60" s="56">
        <f>MAX(C60:D60)</f>
        <v>11.071999999999999</v>
      </c>
      <c r="G60" s="1" t="str">
        <f>G54</f>
        <v>per 1000 youth</v>
      </c>
      <c r="L60" s="58">
        <f>L54</f>
        <v>1000</v>
      </c>
      <c r="M60" s="58"/>
    </row>
    <row r="61" spans="2:18" ht="15" hidden="1" customHeight="1">
      <c r="B61" s="49" t="str">
        <f t="shared" ref="B61:D62" si="11">IF(($E55&gt;0),B55,B54)</f>
        <v>per 100 arrests</v>
      </c>
      <c r="C61" s="49">
        <f t="shared" si="11"/>
        <v>0.75</v>
      </c>
      <c r="D61" s="49">
        <f t="shared" si="11"/>
        <v>0.02</v>
      </c>
      <c r="E61" s="49">
        <f>MAX(C61:D61)</f>
        <v>0.75</v>
      </c>
      <c r="G61" s="1" t="str">
        <f>G55</f>
        <v>per 100 arrests</v>
      </c>
      <c r="L61" s="58">
        <f>IF(($E55&gt;0),L55,L54)</f>
        <v>100</v>
      </c>
      <c r="M61" s="58"/>
    </row>
    <row r="62" spans="2:18" ht="15" hidden="1" customHeight="1">
      <c r="B62" s="49" t="str">
        <f t="shared" si="11"/>
        <v>per 100 referrals</v>
      </c>
      <c r="C62" s="49">
        <f t="shared" si="11"/>
        <v>1.64</v>
      </c>
      <c r="D62" s="49">
        <f t="shared" si="11"/>
        <v>0.02</v>
      </c>
      <c r="E62" s="49">
        <f>MAX(C62:D62)</f>
        <v>1.64</v>
      </c>
      <c r="G62" s="1" t="str">
        <f>G56</f>
        <v>per 100 referrals</v>
      </c>
      <c r="L62" s="58">
        <f>IF(($E56&gt;0),L56,L55)</f>
        <v>100</v>
      </c>
      <c r="M62" s="58"/>
    </row>
    <row r="63" spans="2:18" ht="15" hidden="1" customHeight="1">
      <c r="B63" s="49" t="str">
        <f>IF(($E57&gt;0),B57,B55)</f>
        <v>per 100 youth petitioned</v>
      </c>
      <c r="C63" s="49">
        <f>IF(($E57&gt;0),C57,C56)</f>
        <v>1.58</v>
      </c>
      <c r="D63" s="49">
        <f>IF(($E57&gt;0),D57,D56)</f>
        <v>0.02</v>
      </c>
      <c r="E63" s="49">
        <f>MAX(C63:D63)</f>
        <v>1.58</v>
      </c>
      <c r="G63" s="1" t="str">
        <f>G57</f>
        <v>per 100 youth petitioned</v>
      </c>
      <c r="L63" s="58">
        <f>IF(($E57&gt;0),L57,L56)</f>
        <v>100</v>
      </c>
      <c r="M63" s="58"/>
    </row>
    <row r="64" spans="2:18" ht="15" hidden="1" customHeight="1">
      <c r="B64" s="49" t="str">
        <f>IF(($E58&gt;0),B58,B57)</f>
        <v>per 100 youth found delinquent</v>
      </c>
      <c r="C64" s="49">
        <f>IF(($E58&gt;0),C58,C57)</f>
        <v>1.45</v>
      </c>
      <c r="D64" s="49">
        <f>IF(($E58&gt;0),D58,D57)</f>
        <v>0.02</v>
      </c>
      <c r="E64" s="56">
        <f>MAX(C64:D64)</f>
        <v>1.45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11.071999999999999</v>
      </c>
      <c r="D66" s="56">
        <f>D60</f>
        <v>9.8000000000000004E-2</v>
      </c>
      <c r="E66" s="56">
        <f>MAX(C66:D66)</f>
        <v>11.071999999999999</v>
      </c>
      <c r="G66" s="1" t="str">
        <f>G60</f>
        <v>per 1000 youth</v>
      </c>
      <c r="L66" s="58">
        <f>L60</f>
        <v>1000</v>
      </c>
      <c r="M66" s="58">
        <f>IF((B66=G66),1,2)</f>
        <v>1</v>
      </c>
    </row>
    <row r="67" spans="2:13" ht="15" hidden="1" customHeight="1">
      <c r="B67" s="49" t="str">
        <f t="shared" ref="B67:D68" si="12">IF(($E61&gt;0),B61,B60)</f>
        <v>per 100 arrests</v>
      </c>
      <c r="C67" s="49">
        <f t="shared" si="12"/>
        <v>0.75</v>
      </c>
      <c r="D67" s="49">
        <f t="shared" si="12"/>
        <v>0.02</v>
      </c>
      <c r="E67" s="49">
        <f>MAX(C67:D67)</f>
        <v>0.75</v>
      </c>
      <c r="G67" s="1" t="str">
        <f>G61</f>
        <v>per 100 arrests</v>
      </c>
      <c r="L67" s="58">
        <f>IF(($E61&gt;0),L61,L60)</f>
        <v>100</v>
      </c>
      <c r="M67" s="58">
        <f>IF((B67=G67),1,2)</f>
        <v>1</v>
      </c>
    </row>
    <row r="68" spans="2:13" ht="15" hidden="1" customHeight="1">
      <c r="B68" s="49" t="str">
        <f t="shared" si="12"/>
        <v>per 100 referrals</v>
      </c>
      <c r="C68" s="49">
        <f t="shared" si="12"/>
        <v>1.64</v>
      </c>
      <c r="D68" s="49">
        <f t="shared" si="12"/>
        <v>0.02</v>
      </c>
      <c r="E68" s="49">
        <f>MAX(C68:D68)</f>
        <v>1.64</v>
      </c>
      <c r="G68" s="1" t="str">
        <f>G62</f>
        <v>per 100 referrals</v>
      </c>
      <c r="L68" s="58">
        <f>IF(($E62&gt;0),L62,L61)</f>
        <v>100</v>
      </c>
      <c r="M68" s="58">
        <f>IF((B68=G68),1,2)</f>
        <v>1</v>
      </c>
    </row>
    <row r="69" spans="2:13" ht="15" hidden="1" customHeight="1">
      <c r="B69" s="49" t="str">
        <f>IF(($E63&gt;0),B63,B61)</f>
        <v>per 100 youth petitioned</v>
      </c>
      <c r="C69" s="49">
        <f>IF(($E63&gt;0),C63,C62)</f>
        <v>1.58</v>
      </c>
      <c r="D69" s="49">
        <f>IF(($E63&gt;0),D63,D62)</f>
        <v>0.02</v>
      </c>
      <c r="E69" s="49">
        <f>MAX(C69:D69)</f>
        <v>1.58</v>
      </c>
      <c r="G69" s="1" t="str">
        <f>G63</f>
        <v>per 100 youth petitioned</v>
      </c>
      <c r="L69" s="58">
        <f>IF(($E63&gt;0),L63,L62)</f>
        <v>100</v>
      </c>
      <c r="M69" s="58">
        <f>IF((B69=G69),1,2)</f>
        <v>1</v>
      </c>
    </row>
    <row r="70" spans="2:13" ht="15" hidden="1" customHeight="1">
      <c r="B70" s="49" t="str">
        <f>IF(($E64&gt;0),B64,B63)</f>
        <v>per 100 youth found delinquent</v>
      </c>
      <c r="C70" s="49">
        <f>IF(($E64&gt;0),C64,C63)</f>
        <v>1.45</v>
      </c>
      <c r="D70" s="49">
        <f>IF(($E64&gt;0),D64,D63)</f>
        <v>0.02</v>
      </c>
      <c r="E70" s="56">
        <f>MAX(C70:D70)</f>
        <v>1.45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5" ma:contentTypeDescription="Create a new document." ma:contentTypeScope="" ma:versionID="f9b51e361f69d6eecd068f5ce6d95df9">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df75846fba11e7af32921adbc1341da1"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U47JMPN4QEAR-1806752177-34727</_dlc_DocId>
    <_dlc_DocIdUrl xmlns="ac3811b5-0f3e-49e2-ba69-f2ffa0c782af">
      <Url>https://michiganphi.sharepoint.com/sites/CMDMC/_layouts/15/DocIdRedir.aspx?ID=U47JMPN4QEAR-1806752177-34727</Url>
      <Description>U47JMPN4QEAR-1806752177-34727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93C133-3E29-43D2-9C55-E7AB9C3BB978}">
  <ds:schemaRefs>
    <ds:schemaRef ds:uri="http://schemas.microsoft.com/sharepoint/v3/contenttype/forms"/>
  </ds:schemaRefs>
</ds:datastoreItem>
</file>

<file path=customXml/itemProps2.xml><?xml version="1.0" encoding="utf-8"?>
<ds:datastoreItem xmlns:ds="http://schemas.openxmlformats.org/officeDocument/2006/customXml" ds:itemID="{9B1C6CF9-7E74-4CAD-9C0B-740E35F8F8C8}"/>
</file>

<file path=customXml/itemProps3.xml><?xml version="1.0" encoding="utf-8"?>
<ds:datastoreItem xmlns:ds="http://schemas.openxmlformats.org/officeDocument/2006/customXml" ds:itemID="{B1352221-E73F-427C-A86A-441C4E97A0C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7A550760-8D0D-4D3B-A0EE-16FE1C1945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2023-12-08T19:19:44Z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1c2ffd41-4d4f-4372-a9be-f74a51e5f0d1</vt:lpwstr>
  </property>
</Properties>
</file>