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F05D06AD-1B85-4FB3-B971-82E178CEB4F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s="1"/>
  <c r="G69" i="3" s="1"/>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51" i="5" s="1"/>
  <c r="G57" i="5" s="1"/>
  <c r="G63" i="5" s="1"/>
  <c r="G69" i="5" s="1"/>
  <c r="G46" i="5"/>
  <c r="G52" i="5" s="1"/>
  <c r="G58" i="5" s="1"/>
  <c r="G64" i="5" s="1"/>
  <c r="G70" i="5" s="1"/>
  <c r="G48" i="5"/>
  <c r="G54" i="5"/>
  <c r="G60" i="5"/>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M66" i="8"/>
  <c r="F27" i="8"/>
  <c r="M66" i="7"/>
  <c r="F27" i="7"/>
  <c r="F27" i="6"/>
  <c r="M66" i="6"/>
  <c r="F27" i="2"/>
  <c r="M66" i="2"/>
  <c r="M66" i="3"/>
  <c r="F27"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N9" i="3"/>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L52" i="3" s="1"/>
  <c r="E43" i="7"/>
  <c r="L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B64" i="5" s="1"/>
  <c r="C57" i="5"/>
  <c r="C64" i="5" s="1"/>
  <c r="C66" i="6"/>
  <c r="E60" i="6"/>
  <c r="C66" i="2"/>
  <c r="E60" i="2"/>
  <c r="E56" i="6"/>
  <c r="E55" i="6"/>
  <c r="E55" i="7"/>
  <c r="E58" i="7"/>
  <c r="L64" i="5" l="1"/>
  <c r="E58" i="8"/>
  <c r="D64" i="8" s="1"/>
  <c r="D64" i="5"/>
  <c r="E64" i="5" s="1"/>
  <c r="L64" i="3"/>
  <c r="B56" i="8"/>
  <c r="L56" i="8"/>
  <c r="C57" i="8"/>
  <c r="B57" i="8"/>
  <c r="B64" i="8" s="1"/>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57" i="8"/>
  <c r="L63" i="8" s="1"/>
  <c r="I7" i="9"/>
  <c r="Q8" i="13"/>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E63" i="8" s="1"/>
  <c r="D69" i="8" s="1"/>
  <c r="B63" i="8"/>
  <c r="L69" i="7"/>
  <c r="C69" i="7"/>
  <c r="D12" i="7" s="1"/>
  <c r="C70" i="6"/>
  <c r="D14" i="6" s="1"/>
  <c r="L70" i="6"/>
  <c r="D70" i="6"/>
  <c r="F14" i="6" s="1"/>
  <c r="C70" i="3"/>
  <c r="D14" i="3" s="1"/>
  <c r="E63" i="3"/>
  <c r="C69" i="3" s="1"/>
  <c r="D15" i="3" s="1"/>
  <c r="L70" i="3"/>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3" l="1"/>
  <c r="D15" i="7"/>
  <c r="Q12" i="7"/>
  <c r="Q13" i="6"/>
  <c r="Q15" i="7"/>
  <c r="E70" i="3"/>
  <c r="Q14" i="6"/>
  <c r="D13" i="6"/>
  <c r="E70" i="6"/>
  <c r="O12" i="7"/>
  <c r="O13" i="6"/>
  <c r="T13" i="6" s="1"/>
  <c r="O14" i="6"/>
  <c r="B69" i="6"/>
  <c r="M69" i="6" s="1"/>
  <c r="C69" i="6"/>
  <c r="D12" i="6" s="1"/>
  <c r="D12" i="3"/>
  <c r="E69" i="7"/>
  <c r="O15" i="7"/>
  <c r="T15" i="7" s="1"/>
  <c r="Q14" i="3"/>
  <c r="O13" i="3"/>
  <c r="Q13" i="3"/>
  <c r="D13" i="3"/>
  <c r="F12" i="7"/>
  <c r="L69" i="3"/>
  <c r="Q12" i="3" s="1"/>
  <c r="D69" i="3"/>
  <c r="E69" i="3" s="1"/>
  <c r="B69" i="3"/>
  <c r="M69" i="3" s="1"/>
  <c r="F34" i="3"/>
  <c r="F33" i="3"/>
  <c r="O14" i="3"/>
  <c r="D69" i="6"/>
  <c r="F12" i="6" s="1"/>
  <c r="T10" i="3"/>
  <c r="K10" i="4"/>
  <c r="F8" i="7"/>
  <c r="T9" i="4"/>
  <c r="T11" i="4"/>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F32" i="2"/>
  <c r="O13" i="8"/>
  <c r="R13" i="8" s="1"/>
  <c r="S13" i="8"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2" i="7" l="1"/>
  <c r="K13" i="6"/>
  <c r="K12" i="7"/>
  <c r="D15" i="6"/>
  <c r="Q12" i="6"/>
  <c r="Q15" i="6"/>
  <c r="K14" i="6"/>
  <c r="R12" i="7"/>
  <c r="S12" i="7" s="1"/>
  <c r="U12" i="7" s="1"/>
  <c r="J12" i="7" s="1"/>
  <c r="R13" i="6"/>
  <c r="S13" i="6" s="1"/>
  <c r="U13" i="6" s="1"/>
  <c r="J13" i="6" s="1"/>
  <c r="M13" i="6" s="1"/>
  <c r="G13" i="6" s="1"/>
  <c r="M14" i="13" s="1"/>
  <c r="Q15" i="3"/>
  <c r="R14" i="6"/>
  <c r="S14" i="6" s="1"/>
  <c r="U14" i="6" s="1"/>
  <c r="J14" i="6" s="1"/>
  <c r="M14" i="6" s="1"/>
  <c r="G14" i="6" s="1"/>
  <c r="M15" i="13" s="1"/>
  <c r="F15" i="3"/>
  <c r="F12" i="3"/>
  <c r="T14" i="6"/>
  <c r="K14" i="3"/>
  <c r="O15" i="3"/>
  <c r="R15" i="3" s="1"/>
  <c r="S15" i="3" s="1"/>
  <c r="U15" i="3" s="1"/>
  <c r="J15" i="3" s="1"/>
  <c r="M15" i="3" s="1"/>
  <c r="G15" i="3" s="1"/>
  <c r="I16" i="16" s="1"/>
  <c r="F32" i="6"/>
  <c r="F35" i="6"/>
  <c r="R14" i="3"/>
  <c r="S14" i="3" s="1"/>
  <c r="U14" i="3" s="1"/>
  <c r="J14" i="3" s="1"/>
  <c r="M14" i="3" s="1"/>
  <c r="G14" i="3" s="1"/>
  <c r="I15" i="16" s="1"/>
  <c r="T14" i="3"/>
  <c r="U14" i="4"/>
  <c r="J14" i="4" s="1"/>
  <c r="L14" i="4" s="1"/>
  <c r="O15" i="16" s="1"/>
  <c r="U9" i="4"/>
  <c r="J9" i="4" s="1"/>
  <c r="M9" i="4" s="1"/>
  <c r="G9" i="4" s="1"/>
  <c r="G10" i="16" s="1"/>
  <c r="U10" i="4"/>
  <c r="J10" i="4" s="1"/>
  <c r="M10" i="4" s="1"/>
  <c r="G10" i="4" s="1"/>
  <c r="G11" i="16" s="1"/>
  <c r="K13" i="3"/>
  <c r="R15" i="7"/>
  <c r="S15" i="7" s="1"/>
  <c r="U15" i="7" s="1"/>
  <c r="J15" i="7" s="1"/>
  <c r="K15" i="7"/>
  <c r="T13" i="8"/>
  <c r="U13" i="8" s="1"/>
  <c r="J13" i="8" s="1"/>
  <c r="M13" i="8" s="1"/>
  <c r="R13" i="3"/>
  <c r="S13" i="3" s="1"/>
  <c r="U13" i="3" s="1"/>
  <c r="J13" i="3" s="1"/>
  <c r="M13" i="3" s="1"/>
  <c r="G13" i="3" s="1"/>
  <c r="F35" i="3"/>
  <c r="T13" i="3"/>
  <c r="O12" i="3"/>
  <c r="R12" i="3" s="1"/>
  <c r="S12" i="3" s="1"/>
  <c r="U12" i="3" s="1"/>
  <c r="J12" i="3" s="1"/>
  <c r="F32" i="3"/>
  <c r="R14" i="8"/>
  <c r="S14" i="8" s="1"/>
  <c r="O12" i="6"/>
  <c r="E69" i="6"/>
  <c r="O15" i="6"/>
  <c r="T15" i="6" s="1"/>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6" l="1"/>
  <c r="K15" i="3"/>
  <c r="L12" i="7"/>
  <c r="S13" i="16" s="1"/>
  <c r="N30" i="4"/>
  <c r="L13" i="6"/>
  <c r="R14" i="16" s="1"/>
  <c r="M14" i="4"/>
  <c r="G14" i="4" s="1"/>
  <c r="G15" i="16" s="1"/>
  <c r="G13" i="9"/>
  <c r="T15" i="3"/>
  <c r="L10" i="4"/>
  <c r="O11" i="16" s="1"/>
  <c r="I15" i="13"/>
  <c r="E14" i="9"/>
  <c r="N30" i="3"/>
  <c r="L14" i="3"/>
  <c r="P15" i="16" s="1"/>
  <c r="K15" i="6"/>
  <c r="R15" i="6"/>
  <c r="S15" i="6" s="1"/>
  <c r="U15" i="6" s="1"/>
  <c r="J15" i="6" s="1"/>
  <c r="M15" i="6" s="1"/>
  <c r="G15" i="6" s="1"/>
  <c r="L13" i="3"/>
  <c r="P14" i="16" s="1"/>
  <c r="M12" i="7"/>
  <c r="G11" i="13"/>
  <c r="D9" i="9"/>
  <c r="L9" i="4"/>
  <c r="O10" i="16" s="1"/>
  <c r="U13" i="7"/>
  <c r="J13" i="7" s="1"/>
  <c r="M13" i="7" s="1"/>
  <c r="G10" i="13"/>
  <c r="L15" i="7"/>
  <c r="S16" i="16" s="1"/>
  <c r="T12" i="3"/>
  <c r="D10" i="9"/>
  <c r="G13" i="8"/>
  <c r="I13" i="9" s="1"/>
  <c r="U14" i="8"/>
  <c r="J14" i="8" s="1"/>
  <c r="N30" i="8" s="1"/>
  <c r="L13" i="8"/>
  <c r="T14" i="16" s="1"/>
  <c r="M15" i="7"/>
  <c r="K12" i="3"/>
  <c r="L12" i="3" s="1"/>
  <c r="P13" i="16" s="1"/>
  <c r="R12" i="6"/>
  <c r="S12" i="6" s="1"/>
  <c r="T12" i="6"/>
  <c r="M13" i="9"/>
  <c r="U14" i="13"/>
  <c r="U12" i="13"/>
  <c r="M11" i="9"/>
  <c r="R12" i="8"/>
  <c r="S12" i="8" s="1"/>
  <c r="T13" i="2"/>
  <c r="U8" i="6"/>
  <c r="J8" i="6" s="1"/>
  <c r="M8" i="6" s="1"/>
  <c r="G8" i="6" s="1"/>
  <c r="M9" i="13" s="1"/>
  <c r="R13" i="2"/>
  <c r="S13" i="2" s="1"/>
  <c r="T15" i="8"/>
  <c r="U15" i="8" s="1"/>
  <c r="J15" i="8" s="1"/>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N11" i="9"/>
  <c r="T15" i="5"/>
  <c r="W14" i="13"/>
  <c r="L15" i="3"/>
  <c r="P16" i="16" s="1"/>
  <c r="M9" i="3"/>
  <c r="G9" i="3" s="1"/>
  <c r="I10" i="13" s="1"/>
  <c r="I14" i="13"/>
  <c r="I14" i="16"/>
  <c r="G12" i="13"/>
  <c r="G12" i="16"/>
  <c r="N9" i="9"/>
  <c r="P10" i="16"/>
  <c r="M14" i="7"/>
  <c r="N30" i="7"/>
  <c r="L14" i="7"/>
  <c r="S15" i="16" s="1"/>
  <c r="L8" i="7"/>
  <c r="S9" i="16" s="1"/>
  <c r="O13" i="9"/>
  <c r="M10"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N13" i="9" l="1"/>
  <c r="P13" i="9"/>
  <c r="X14" i="13"/>
  <c r="Y13" i="13"/>
  <c r="U11" i="13"/>
  <c r="L13" i="7"/>
  <c r="S14" i="16" s="1"/>
  <c r="Q12" i="9"/>
  <c r="N14" i="9"/>
  <c r="V15" i="13"/>
  <c r="G15" i="13"/>
  <c r="D14" i="9"/>
  <c r="U11" i="7"/>
  <c r="J11" i="7" s="1"/>
  <c r="M11" i="7" s="1"/>
  <c r="L15" i="6"/>
  <c r="R16" i="16" s="1"/>
  <c r="Y16" i="13"/>
  <c r="V14" i="13"/>
  <c r="U10" i="13"/>
  <c r="M9" i="9"/>
  <c r="Q15" i="9"/>
  <c r="U10" i="7"/>
  <c r="J10" i="7" s="1"/>
  <c r="M10" i="7" s="1"/>
  <c r="R13" i="9"/>
  <c r="U12" i="6"/>
  <c r="J12" i="6" s="1"/>
  <c r="Z14" i="13"/>
  <c r="K14" i="16"/>
  <c r="Q14" i="13"/>
  <c r="M14" i="8"/>
  <c r="G14" i="8" s="1"/>
  <c r="K15" i="16" s="1"/>
  <c r="L14" i="8"/>
  <c r="T15" i="16" s="1"/>
  <c r="U14" i="2"/>
  <c r="J14" i="2" s="1"/>
  <c r="M14" i="2" s="1"/>
  <c r="G14" i="2" s="1"/>
  <c r="E15" i="16" s="1"/>
  <c r="U13" i="2"/>
  <c r="J13" i="2" s="1"/>
  <c r="M13" i="2" s="1"/>
  <c r="G13" i="2" s="1"/>
  <c r="E14" i="16" s="1"/>
  <c r="U12" i="8"/>
  <c r="J12" i="8" s="1"/>
  <c r="L12" i="8" s="1"/>
  <c r="T13" i="16" s="1"/>
  <c r="L8" i="6"/>
  <c r="R9" i="16" s="1"/>
  <c r="X16" i="13"/>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3" i="9" l="1"/>
  <c r="Y14" i="13"/>
  <c r="L11" i="7"/>
  <c r="S12" i="16" s="1"/>
  <c r="P15" i="9"/>
  <c r="L14" i="2"/>
  <c r="N15" i="16" s="1"/>
  <c r="L10" i="7"/>
  <c r="S11" i="16" s="1"/>
  <c r="N30" i="2"/>
  <c r="E15" i="13"/>
  <c r="L13" i="2"/>
  <c r="N14" i="16" s="1"/>
  <c r="E14" i="13"/>
  <c r="L12" i="6"/>
  <c r="M12" i="6"/>
  <c r="G12" i="6" s="1"/>
  <c r="Z15" i="13"/>
  <c r="R14" i="9"/>
  <c r="Q15" i="13"/>
  <c r="M12" i="8"/>
  <c r="G12" i="8" s="1"/>
  <c r="K13" i="16" s="1"/>
  <c r="I14" i="9"/>
  <c r="C14" i="9"/>
  <c r="C13"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D15" i="9"/>
  <c r="G16" i="13"/>
  <c r="R12" i="9"/>
  <c r="Z13" i="13"/>
  <c r="M10" i="8"/>
  <c r="G10" i="8" s="1"/>
  <c r="K11" i="16" s="1"/>
  <c r="L10" i="8"/>
  <c r="T11" i="16" s="1"/>
  <c r="L11" i="8"/>
  <c r="T12" i="16" s="1"/>
  <c r="M11" i="8"/>
  <c r="G11" i="8" s="1"/>
  <c r="K12" i="16" s="1"/>
  <c r="T15" i="13" l="1"/>
  <c r="Y12" i="13"/>
  <c r="L14" i="9"/>
  <c r="Q10" i="9"/>
  <c r="Y11" i="13"/>
  <c r="T14" i="13"/>
  <c r="L13" i="9"/>
  <c r="R13" i="16"/>
  <c r="X13" i="13"/>
  <c r="P12" i="9"/>
  <c r="M13" i="13"/>
  <c r="G12" i="9"/>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<sst xmlns="http://schemas.openxmlformats.org/spreadsheetml/2006/main" count="654" uniqueCount="141">
  <si>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</si>
  <si>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</si>
  <si>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</si>
  <si>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</si>
  <si>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</si>
  <si>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</si>
  <si>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</si>
  <si>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</si>
  <si>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</si>
  <si>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</si>
  <si>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</si>
  <si>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</si>
  <si>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</si>
  <si>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</si>
  <si>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</si>
  <si>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</si>
  <si>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</si>
  <si>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</si>
  <si>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</si>
  <si>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</si>
  <si>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</si>
  <si>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</si>
  <si>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</si>
  <si>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</si>
  <si>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</si>
  <si>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</si>
  <si>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</si>
  <si>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</si>
  <si>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</si>
  <si>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</si>
  <si>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</si>
  <si>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</si>
  <si>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</si>
  <si>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</si>
  <si>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</si>
  <si>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</si>
  <si>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</si>
  <si>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</si>
  <si>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</si>
  <si>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</si>
  <si>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</si>
  <si>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</si>
  <si>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</si>
  <si>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</si>
  <si>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</si>
  <si>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</si>
  <si>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</si>
  <si>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</si>
  <si>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</si>
  <si>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</si>
  <si>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</si>
  <si>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</si>
  <si>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</si>
  <si>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</si>
  <si>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</si>
  <si>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</si>
  <si>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</si>
  <si>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</si>
  <si>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</si>
  <si>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</si>
  <si>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</si>
  <si>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</si>
  <si>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</si>
  <si>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</si>
  <si>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</si>
  <si>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</si>
  <si>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</si>
  <si>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</si>
  <si>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</si>
  <si>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</si>
  <si>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</si>
  <si>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</si>
  <si>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</si>
  <si>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</si>
  <si>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</si>
  <si>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</si>
  <si>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</si>
  <si>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</si>
  <si>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</si>
  <si>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</si>
  <si>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</si>
  <si>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</si>
  <si>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</si>
  <si>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</si>
  <si>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</si>
  <si>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</si>
  <si>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</si>
  <si>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</si>
  <si>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</si>
  <si>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</si>
  <si>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</si>
  <si>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</si>
  <si>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</si>
  <si>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</si>
  <si>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</si>
  <si>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</si>
  <si>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</si>
  <si>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</si>
  <si>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</si>
  <si>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</si>
  <si>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</si>
  <si>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</si>
  <si>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</si>
  <si>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</si>
  <si>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</si>
  <si>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</si>
  <si>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</si>
  <si>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</si>
  <si>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</si>
  <si>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</si>
  <si>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</si>
  <si>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</si>
  <si>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</si>
  <si>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</si>
  <si>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</si>
  <si>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</si>
  <si>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</si>
  <si>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</si>
  <si>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</si>
  <si>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</si>
  <si>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</si>
  <si>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</si>
  <si>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</si>
  <si>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</si>
  <si>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</si>
  <si>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</si>
  <si>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</si>
  <si>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</si>
  <si>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</si>
  <si>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Saginaw</t>
  </si>
  <si>
    <t>Item 3.Referral: Saginaw County Juvenile Court</t>
  </si>
  <si>
    <t>Item 4.Diversion: Saginaw County Juvenile Court</t>
  </si>
  <si>
    <t>Item 5.Detention: Saginaw County Juvenile Court</t>
  </si>
  <si>
    <t>Item 6.Petitioned: Saginaw County Juvenile Court</t>
  </si>
  <si>
    <t>Item 7.Delinquent: Saginaw County Juvenile Court</t>
  </si>
  <si>
    <t>Item 8.Probation: Saginaw County Juvenile Court</t>
  </si>
  <si>
    <t>Item 9.Confinement: Saginaw County Juvenile Court</t>
  </si>
  <si>
    <t>Item 10.Transferred: Saginaw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</si>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</sst>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Saginaw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c:v>
                </c:pt>
                <c:pt idx="1">
                  <c:v>Confinement, total N=13</c:v>
                </c:pt>
                <c:pt idx="2">
                  <c:v>Delinquent Findings, total N=289</c:v>
                </c:pt>
                <c:pt idx="3">
                  <c:v>Petitions, total N=338</c:v>
                </c:pt>
                <c:pt idx="4">
                  <c:v>Detentions, total N=274</c:v>
                </c:pt>
                <c:pt idx="5">
                  <c:v>Referrals, total N=338</c:v>
                </c:pt>
                <c:pt idx="6">
                  <c:v>Arrests, total N=165</c:v>
                </c:pt>
                <c:pt idx="7">
                  <c:v>Population, total N=16052</c:v>
                </c:pt>
              </c:strCache>
            </c:strRef>
          </c:cat>
          <c:val>
            <c:numRef>
              <c:f>'Stacked 100%'!$B$7:$B$14</c:f>
              <c:numCache>
                <c:formatCode>0%</c:formatCode>
                <c:ptCount val="8"/>
                <c:pt idx="0">
                  <c:v>1</c:v>
                </c:pt>
                <c:pt idx="1">
                  <c:v>0.38461538461538464</c:v>
                </c:pt>
                <c:pt idx="2">
                  <c:v>0.5017301038062284</c:v>
                </c:pt>
                <c:pt idx="3">
                  <c:v>0.49408284023668642</c:v>
                </c:pt>
                <c:pt idx="4">
                  <c:v>0.56569343065693434</c:v>
                </c:pt>
                <c:pt idx="5">
                  <c:v>0.49408284023668642</c:v>
                </c:pt>
                <c:pt idx="6">
                  <c:v>0.55151515151515151</c:v>
                </c:pt>
                <c:pt idx="7">
                  <c:v>0.24296037876900076</c:v>
                </c:pt>
              </c:numCache>
            </c:numRef>
          </c:val>
          <c:extLst>
            <c:ext xmlns:c16="http://schemas.microsoft.com/office/drawing/2014/chart" uri="{C3380CC4-5D6E-409C-BE32-E72D297353CC}">
              <c16:uniqueId val="{00000000-F21A-4E58-B105-9235015DD42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c:v>
                </c:pt>
                <c:pt idx="1">
                  <c:v>Confinement, total N=13</c:v>
                </c:pt>
                <c:pt idx="2">
                  <c:v>Delinquent Findings, total N=289</c:v>
                </c:pt>
                <c:pt idx="3">
                  <c:v>Petitions, total N=338</c:v>
                </c:pt>
                <c:pt idx="4">
                  <c:v>Detentions, total N=274</c:v>
                </c:pt>
                <c:pt idx="5">
                  <c:v>Referrals, total N=338</c:v>
                </c:pt>
                <c:pt idx="6">
                  <c:v>Arrests, total N=165</c:v>
                </c:pt>
                <c:pt idx="7">
                  <c:v>Population, total N=16052</c:v>
                </c:pt>
              </c:strCache>
            </c:strRef>
          </c:cat>
          <c:val>
            <c:numRef>
              <c:f>'Stacked 100%'!$C$7:$C$14</c:f>
              <c:numCache>
                <c:formatCode>0%</c:formatCode>
                <c:ptCount val="8"/>
                <c:pt idx="0">
                  <c:v>0</c:v>
                </c:pt>
                <c:pt idx="1">
                  <c:v>7.6923076923076927E-2</c:v>
                </c:pt>
                <c:pt idx="2">
                  <c:v>6.9204152249134954E-2</c:v>
                </c:pt>
                <c:pt idx="3">
                  <c:v>7.1005917159763315E-2</c:v>
                </c:pt>
                <c:pt idx="4">
                  <c:v>6.2043795620437957E-2</c:v>
                </c:pt>
                <c:pt idx="5">
                  <c:v>7.1005917159763315E-2</c:v>
                </c:pt>
                <c:pt idx="6">
                  <c:v>0.10909090909090909</c:v>
                </c:pt>
                <c:pt idx="7">
                  <c:v>0.14004485422377275</c:v>
                </c:pt>
              </c:numCache>
            </c:numRef>
          </c:val>
          <c:extLst>
            <c:ext xmlns:c16="http://schemas.microsoft.com/office/drawing/2014/chart" uri="{C3380CC4-5D6E-409C-BE32-E72D297353CC}">
              <c16:uniqueId val="{00000001-F21A-4E58-B105-9235015DD42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N=5</c:v>
                </c:pt>
                <c:pt idx="1">
                  <c:v>Confinement, total N=13</c:v>
                </c:pt>
                <c:pt idx="2">
                  <c:v>Delinquent Findings, total N=289</c:v>
                </c:pt>
                <c:pt idx="3">
                  <c:v>Petitions, total N=338</c:v>
                </c:pt>
                <c:pt idx="4">
                  <c:v>Detentions, total N=274</c:v>
                </c:pt>
                <c:pt idx="5">
                  <c:v>Referrals, total N=338</c:v>
                </c:pt>
                <c:pt idx="6">
                  <c:v>Arrests, total N=165</c:v>
                </c:pt>
                <c:pt idx="7">
                  <c:v>Population, total N=16052</c:v>
                </c:pt>
              </c:strCache>
            </c:strRef>
          </c:cat>
          <c:val>
            <c:numRef>
              <c:f>'Stacked 100%'!$H$7:$H$14</c:f>
              <c:numCache>
                <c:formatCode>0%</c:formatCode>
                <c:ptCount val="8"/>
                <c:pt idx="0">
                  <c:v>0</c:v>
                </c:pt>
                <c:pt idx="1">
                  <c:v>1.183431952662722E-2</c:v>
                </c:pt>
                <c:pt idx="2">
                  <c:v>2.1551466098346524E-4</c:v>
                </c:pt>
                <c:pt idx="3">
                  <c:v>2.5384265256818737E-4</c:v>
                </c:pt>
                <c:pt idx="4">
                  <c:v>3.8627524108902976E-4</c:v>
                </c:pt>
                <c:pt idx="5">
                  <c:v>2.5384265256818737E-4</c:v>
                </c:pt>
                <c:pt idx="6">
                  <c:v>3.6730945821854914E-5</c:v>
                </c:pt>
                <c:pt idx="7">
                  <c:v>1.3001291777303132E-6</c:v>
                </c:pt>
              </c:numCache>
            </c:numRef>
          </c:val>
          <c:extLst>
            <c:ext xmlns:c16="http://schemas.microsoft.com/office/drawing/2014/chart" uri="{C3380CC4-5D6E-409C-BE32-E72D297353CC}">
              <c16:uniqueId val="{00000002-F21A-4E58-B105-9235015DD42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c:v>
                </c:pt>
                <c:pt idx="1">
                  <c:v>Confinement, total N=13</c:v>
                </c:pt>
                <c:pt idx="2">
                  <c:v>Delinquent Findings, total N=289</c:v>
                </c:pt>
                <c:pt idx="3">
                  <c:v>Petitions, total N=338</c:v>
                </c:pt>
                <c:pt idx="4">
                  <c:v>Detentions, total N=274</c:v>
                </c:pt>
                <c:pt idx="5">
                  <c:v>Referrals, total N=338</c:v>
                </c:pt>
                <c:pt idx="6">
                  <c:v>Arrests, total N=165</c:v>
                </c:pt>
                <c:pt idx="7">
                  <c:v>Population, total N=16052</c:v>
                </c:pt>
              </c:strCache>
            </c:strRef>
          </c:cat>
          <c:val>
            <c:numRef>
              <c:f>'Stacked 100%'!$I$7:$I$14</c:f>
              <c:numCache>
                <c:formatCode>0%</c:formatCode>
                <c:ptCount val="8"/>
                <c:pt idx="0">
                  <c:v>0</c:v>
                </c:pt>
                <c:pt idx="1">
                  <c:v>0.38461538461538464</c:v>
                </c:pt>
                <c:pt idx="2">
                  <c:v>0.36678200692041524</c:v>
                </c:pt>
                <c:pt idx="3">
                  <c:v>0.34615384615384615</c:v>
                </c:pt>
                <c:pt idx="4">
                  <c:v>0.26642335766423358</c:v>
                </c:pt>
                <c:pt idx="5">
                  <c:v>0.34615384615384615</c:v>
                </c:pt>
                <c:pt idx="6">
                  <c:v>0.32727272727272727</c:v>
                </c:pt>
                <c:pt idx="7">
                  <c:v>0.59612509344629949</c:v>
                </c:pt>
              </c:numCache>
            </c:numRef>
          </c:val>
          <c:extLst>
            <c:ext xmlns:c16="http://schemas.microsoft.com/office/drawing/2014/chart" uri="{C3380CC4-5D6E-409C-BE32-E72D297353CC}">
              <c16:uniqueId val="{00000003-F21A-4E58-B105-9235015DD42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N=5</c:v>
                </c:pt>
                <c:pt idx="1">
                  <c:v>Confinement, total N=13</c:v>
                </c:pt>
                <c:pt idx="2">
                  <c:v>Delinquent Findings, total N=289</c:v>
                </c:pt>
                <c:pt idx="3">
                  <c:v>Petitions, total N=338</c:v>
                </c:pt>
                <c:pt idx="4">
                  <c:v>Detentions, total N=274</c:v>
                </c:pt>
                <c:pt idx="5">
                  <c:v>Referrals, total N=338</c:v>
                </c:pt>
                <c:pt idx="6">
                  <c:v>Arrests, total N=165</c:v>
                </c:pt>
                <c:pt idx="7">
                  <c:v>Population, total N=16052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21A-4E58-B105-9235015DD42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16052</v>
      </c>
      <c r="C6" s="11">
        <v>9569</v>
      </c>
      <c r="D6" s="11">
        <v>3900</v>
      </c>
      <c r="E6" s="11">
        <v>2248</v>
      </c>
      <c r="F6" s="11">
        <v>252</v>
      </c>
      <c r="G6" s="11"/>
      <c r="H6" s="11">
        <v>83</v>
      </c>
      <c r="I6" s="11"/>
      <c r="J6" s="91">
        <f>SUM(D6:I6)</f>
        <v>6483</v>
      </c>
      <c r="K6" s="92"/>
    </row>
    <row r="7" spans="1:11" ht="15.75" customHeight="1" thickBot="1" x14ac:dyDescent="0.25">
      <c r="A7" s="10" t="s">
        <v>8</v>
      </c>
      <c r="B7" s="11">
        <f t="shared" ref="B7:B15" si="0">SUM(C7:I7)+K7</f>
        <v>165</v>
      </c>
      <c r="C7" s="11">
        <v>54</v>
      </c>
      <c r="D7" s="11">
        <v>91</v>
      </c>
      <c r="E7" s="11">
        <v>18</v>
      </c>
      <c r="F7" s="11"/>
      <c r="G7" s="11"/>
      <c r="H7" s="11">
        <v>1</v>
      </c>
      <c r="I7" s="11"/>
      <c r="J7" s="91">
        <f t="shared" ref="J7:J15" si="1">SUM(D7:I7)</f>
        <v>110</v>
      </c>
      <c r="K7" s="92">
        <v>1</v>
      </c>
    </row>
    <row r="8" spans="1:11" ht="15.75" customHeight="1" thickBot="1" x14ac:dyDescent="0.25">
      <c r="A8" s="10" t="s">
        <v>9</v>
      </c>
      <c r="B8" s="11">
        <f t="shared" si="0"/>
        <v>338</v>
      </c>
      <c r="C8" s="11">
        <v>117</v>
      </c>
      <c r="D8" s="11">
        <v>167</v>
      </c>
      <c r="E8" s="11">
        <v>24</v>
      </c>
      <c r="F8" s="11"/>
      <c r="G8" s="11"/>
      <c r="H8" s="11"/>
      <c r="I8" s="11">
        <v>29</v>
      </c>
      <c r="J8" s="91">
        <f t="shared" si="1"/>
        <v>220</v>
      </c>
      <c r="K8" s="92">
        <v>1</v>
      </c>
    </row>
    <row r="9" spans="1:11" ht="15.75" customHeight="1" thickBot="1" x14ac:dyDescent="0.25">
      <c r="A9" s="10" t="s">
        <v>10</v>
      </c>
      <c r="B9" s="11">
        <f t="shared" si="0"/>
        <v>18</v>
      </c>
      <c r="C9" s="11">
        <v>11</v>
      </c>
      <c r="D9" s="11">
        <v>1</v>
      </c>
      <c r="E9" s="11">
        <v>1</v>
      </c>
      <c r="F9" s="11"/>
      <c r="G9" s="11"/>
      <c r="H9" s="11"/>
      <c r="I9" s="11">
        <v>5</v>
      </c>
      <c r="J9" s="91">
        <f t="shared" si="1"/>
        <v>7</v>
      </c>
      <c r="K9" s="92"/>
    </row>
    <row r="10" spans="1:11" ht="15.75" customHeight="1" thickBot="1" x14ac:dyDescent="0.25">
      <c r="A10" s="10" t="s">
        <v>11</v>
      </c>
      <c r="B10" s="11">
        <f t="shared" si="0"/>
        <v>274</v>
      </c>
      <c r="C10" s="11">
        <v>73</v>
      </c>
      <c r="D10" s="11">
        <v>155</v>
      </c>
      <c r="E10" s="11">
        <v>17</v>
      </c>
      <c r="F10" s="11"/>
      <c r="G10" s="11"/>
      <c r="H10" s="11"/>
      <c r="I10" s="11">
        <v>29</v>
      </c>
      <c r="J10" s="91">
        <f t="shared" si="1"/>
        <v>201</v>
      </c>
      <c r="K10" s="92"/>
    </row>
    <row r="11" spans="1:11" ht="15.75" customHeight="1" thickBot="1" x14ac:dyDescent="0.25">
      <c r="A11" s="10" t="s">
        <v>12</v>
      </c>
      <c r="B11" s="11">
        <f t="shared" si="0"/>
        <v>338</v>
      </c>
      <c r="C11" s="11">
        <v>117</v>
      </c>
      <c r="D11" s="11">
        <v>167</v>
      </c>
      <c r="E11" s="11">
        <v>24</v>
      </c>
      <c r="F11" s="11"/>
      <c r="G11" s="11"/>
      <c r="H11" s="11"/>
      <c r="I11" s="11">
        <v>29</v>
      </c>
      <c r="J11" s="91">
        <f t="shared" si="1"/>
        <v>220</v>
      </c>
      <c r="K11" s="92">
        <v>1</v>
      </c>
    </row>
    <row r="12" spans="1:11" ht="15.75" customHeight="1" thickBot="1" x14ac:dyDescent="0.25">
      <c r="A12" s="10" t="s">
        <v>13</v>
      </c>
      <c r="B12" s="11">
        <f t="shared" si="0"/>
        <v>289</v>
      </c>
      <c r="C12" s="11">
        <v>106</v>
      </c>
      <c r="D12" s="11">
        <v>145</v>
      </c>
      <c r="E12" s="11">
        <v>20</v>
      </c>
      <c r="F12" s="11"/>
      <c r="G12" s="11"/>
      <c r="H12" s="11"/>
      <c r="I12" s="11">
        <v>18</v>
      </c>
      <c r="J12" s="91">
        <f t="shared" si="1"/>
        <v>183</v>
      </c>
      <c r="K12" s="92"/>
    </row>
    <row r="13" spans="1:11" ht="15.75" customHeight="1" thickBot="1" x14ac:dyDescent="0.25">
      <c r="A13" s="10" t="s">
        <v>125</v>
      </c>
      <c r="B13" s="11">
        <f t="shared" si="0"/>
        <v>271</v>
      </c>
      <c r="C13" s="11">
        <v>101</v>
      </c>
      <c r="D13" s="11">
        <v>136</v>
      </c>
      <c r="E13" s="11">
        <v>18</v>
      </c>
      <c r="F13" s="11"/>
      <c r="G13" s="11"/>
      <c r="H13" s="11"/>
      <c r="I13" s="11">
        <v>16</v>
      </c>
      <c r="J13" s="91">
        <f t="shared" si="1"/>
        <v>170</v>
      </c>
      <c r="K13" s="92"/>
    </row>
    <row r="14" spans="1:11" ht="26.25" customHeight="1" thickBot="1" x14ac:dyDescent="0.25">
      <c r="A14" s="10" t="s">
        <v>115</v>
      </c>
      <c r="B14" s="11">
        <f t="shared" si="0"/>
        <v>13</v>
      </c>
      <c r="C14" s="11">
        <v>5</v>
      </c>
      <c r="D14" s="11">
        <v>5</v>
      </c>
      <c r="E14" s="11">
        <v>1</v>
      </c>
      <c r="F14" s="11"/>
      <c r="G14" s="11"/>
      <c r="H14" s="11"/>
      <c r="I14" s="11">
        <v>2</v>
      </c>
      <c r="J14" s="91">
        <f t="shared" si="1"/>
        <v>8</v>
      </c>
      <c r="K14" s="92"/>
    </row>
    <row r="15" spans="1:11" ht="15.75" customHeight="1" thickBot="1" x14ac:dyDescent="0.25">
      <c r="A15" s="10" t="s">
        <v>16</v>
      </c>
      <c r="B15" s="11">
        <f t="shared" si="0"/>
        <v>5</v>
      </c>
      <c r="C15" s="11"/>
      <c r="D15" s="11">
        <v>5</v>
      </c>
      <c r="E15" s="11"/>
      <c r="F15" s="11"/>
      <c r="G15" s="11"/>
      <c r="H15" s="11"/>
      <c r="I15" s="11"/>
      <c r="J15" s="91">
        <f t="shared" si="1"/>
        <v>5</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130</v>
      </c>
      <c r="B20" s="177"/>
      <c r="C20" s="8"/>
      <c r="D20" s="177" t="s">
        <v>131</v>
      </c>
      <c r="E20" s="177"/>
      <c r="F20" s="177"/>
      <c r="G20" s="177"/>
      <c r="H20" s="177"/>
      <c r="I20" s="177"/>
    </row>
    <row r="21" spans="1:9" ht="15" customHeight="1" x14ac:dyDescent="0.25">
      <c r="A21" s="177" t="s">
        <v>132</v>
      </c>
      <c r="B21" s="177"/>
      <c r="C21" s="8"/>
      <c r="D21" s="177" t="s">
        <v>133</v>
      </c>
      <c r="E21" s="177"/>
      <c r="F21" s="177"/>
      <c r="G21" s="177"/>
      <c r="H21" s="177"/>
      <c r="I21" s="177"/>
    </row>
    <row r="22" spans="1:9" ht="15" customHeight="1" x14ac:dyDescent="0.25">
      <c r="A22" s="177" t="s">
        <v>134</v>
      </c>
      <c r="B22" s="177"/>
      <c r="C22" s="8"/>
      <c r="D22" s="177" t="s">
        <v>135</v>
      </c>
      <c r="E22" s="177"/>
      <c r="F22" s="177"/>
      <c r="G22" s="177"/>
      <c r="H22" s="177"/>
      <c r="I22" s="177"/>
    </row>
    <row r="23" spans="1:9" ht="15" customHeight="1" x14ac:dyDescent="0.25">
      <c r="A23" s="177" t="s">
        <v>136</v>
      </c>
      <c r="B23" s="177"/>
      <c r="C23" s="8"/>
      <c r="D23" s="177" t="s">
        <v>137</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Saginaw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9569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5.6432229073048381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54</v>
      </c>
      <c r="Q7" s="42">
        <f>C6-C7</f>
        <v>9515</v>
      </c>
      <c r="R7" s="42">
        <f t="shared" ref="R7:R15" si="5">SUM(N7:Q7)</f>
        <v>9569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117</v>
      </c>
      <c r="D8" s="34">
        <f>IF((AND(C67&gt;0,C8&gt;0)),(C8/C67),0)</f>
        <v>216.66666666666666</v>
      </c>
      <c r="E8" s="33">
        <f>'Data Entry'!I8</f>
        <v>29</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29</v>
      </c>
      <c r="O8" s="42">
        <f>((D67*L67)-E8)+0.05</f>
        <v>-28.95</v>
      </c>
      <c r="P8" s="42">
        <f t="shared" si="4"/>
        <v>117</v>
      </c>
      <c r="Q8" s="42">
        <f>(C$67*L67)-C8</f>
        <v>-63</v>
      </c>
      <c r="R8" s="42">
        <f t="shared" si="5"/>
        <v>54.05</v>
      </c>
      <c r="S8" s="30">
        <f t="shared" si="6"/>
        <v>131561376.61612502</v>
      </c>
      <c r="T8" s="30">
        <f t="shared" si="7"/>
        <v>-36246.690000000519</v>
      </c>
      <c r="U8" s="31">
        <f t="shared" si="8"/>
        <v>-3629.6107759390757</v>
      </c>
    </row>
    <row r="9" spans="2:21" ht="18" customHeight="1" x14ac:dyDescent="0.25">
      <c r="B9" s="32" t="str">
        <f>'Data Entry'!A9</f>
        <v xml:space="preserve">4. Cases Diverted </v>
      </c>
      <c r="C9" s="33">
        <f>'Data Entry'!C9</f>
        <v>11</v>
      </c>
      <c r="D9" s="34">
        <f>IF((AND(C68&gt;0,C9&gt;0)),((C9/C68)),0)</f>
        <v>9.4017094017094021</v>
      </c>
      <c r="E9" s="33">
        <f>'Data Entry'!I9</f>
        <v>5</v>
      </c>
      <c r="F9" s="34">
        <f>IF((AND($E$9&gt;0,$D$68&gt;0)),(($E$9/$D$68)),0)</f>
        <v>17.241379310344829</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5</v>
      </c>
      <c r="O9" s="42">
        <f>(D$68*L68)-E9</f>
        <v>23.999999999999996</v>
      </c>
      <c r="P9" s="42">
        <f t="shared" si="4"/>
        <v>11</v>
      </c>
      <c r="Q9" s="42">
        <f>(C$68*L68)-C9</f>
        <v>106</v>
      </c>
      <c r="R9" s="42">
        <f t="shared" si="5"/>
        <v>146</v>
      </c>
      <c r="S9" s="30">
        <f t="shared" si="6"/>
        <v>10330376.000000004</v>
      </c>
      <c r="T9" s="30">
        <f t="shared" si="7"/>
        <v>7057439.9999999991</v>
      </c>
      <c r="U9" s="31">
        <f t="shared" si="8"/>
        <v>1.4637568296719499</v>
      </c>
    </row>
    <row r="10" spans="2:21" ht="18" customHeight="1" x14ac:dyDescent="0.25">
      <c r="B10" s="32" t="str">
        <f>'Data Entry'!A10</f>
        <v>5. Cases Involving Secure Detention</v>
      </c>
      <c r="C10" s="33">
        <f>'Data Entry'!C10</f>
        <v>73</v>
      </c>
      <c r="D10" s="34">
        <f>IF(((AND(C68&gt;0,C10&gt;0))),(C10/(C68)),0)</f>
        <v>62.393162393162399</v>
      </c>
      <c r="E10" s="33">
        <f>'Data Entry'!I10</f>
        <v>29</v>
      </c>
      <c r="F10" s="34">
        <f>IF(((AND($E$10&gt;0,$D$68&gt;0))),($E$10/($D$68)),0)</f>
        <v>100</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29</v>
      </c>
      <c r="O10" s="42">
        <f>(D$68*L68)-E10</f>
        <v>0</v>
      </c>
      <c r="P10" s="42">
        <f t="shared" si="4"/>
        <v>73</v>
      </c>
      <c r="Q10" s="42">
        <f>(C$68*L68)-C10</f>
        <v>44</v>
      </c>
      <c r="R10" s="42">
        <f t="shared" si="5"/>
        <v>146</v>
      </c>
      <c r="S10" s="30">
        <f t="shared" si="6"/>
        <v>237713696</v>
      </c>
      <c r="T10" s="30">
        <f t="shared" si="7"/>
        <v>15227784</v>
      </c>
      <c r="U10" s="31">
        <f t="shared" si="8"/>
        <v>15.610524551701022</v>
      </c>
    </row>
    <row r="11" spans="2:21" ht="18" customHeight="1" x14ac:dyDescent="0.25">
      <c r="B11" s="32" t="str">
        <f>'Data Entry'!A11</f>
        <v>6. Cases Petitioned (Charge Filed)</v>
      </c>
      <c r="C11" s="33">
        <f>'Data Entry'!C11</f>
        <v>117</v>
      </c>
      <c r="D11" s="34">
        <f>IF(((AND(C68&gt;0,C11&gt;0))),(C11/(C68)),0)</f>
        <v>100</v>
      </c>
      <c r="E11" s="33">
        <f>'Data Entry'!I11</f>
        <v>29</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29</v>
      </c>
      <c r="O11" s="42">
        <f>(D$68*L68)-E11</f>
        <v>0</v>
      </c>
      <c r="P11" s="42">
        <f t="shared" si="4"/>
        <v>117</v>
      </c>
      <c r="Q11" s="42">
        <f>(C$68*L68)-C11</f>
        <v>0</v>
      </c>
      <c r="R11" s="42">
        <f t="shared" si="5"/>
        <v>146</v>
      </c>
      <c r="S11" s="30">
        <f t="shared" si="6"/>
        <v>0</v>
      </c>
      <c r="T11" s="30">
        <f t="shared" si="7"/>
        <v>0</v>
      </c>
      <c r="U11" s="31" t="str">
        <f t="shared" si="8"/>
        <v>- -</v>
      </c>
    </row>
    <row r="12" spans="2:21" ht="18" customHeight="1" x14ac:dyDescent="0.25">
      <c r="B12" s="32" t="str">
        <f>'Data Entry'!A12</f>
        <v>7. Cases Resulting in Delinquent Findings</v>
      </c>
      <c r="C12" s="33">
        <f>'Data Entry'!C12</f>
        <v>106</v>
      </c>
      <c r="D12" s="34">
        <f>IF(((AND(C69&gt;0,C12&gt;0))),(C12/(C69)),0)</f>
        <v>90.598290598290603</v>
      </c>
      <c r="E12" s="33">
        <f>'Data Entry'!I12</f>
        <v>18</v>
      </c>
      <c r="F12" s="34">
        <f>IF(((AND($D$69&gt;0,$E$12&gt;0))),(E12/(D69)),0)</f>
        <v>62.068965517241381</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18</v>
      </c>
      <c r="O12" s="42">
        <f>(D69*L69)-E12</f>
        <v>10.999999999999996</v>
      </c>
      <c r="P12" s="42">
        <f t="shared" si="4"/>
        <v>106</v>
      </c>
      <c r="Q12" s="42">
        <f>(C69*L69)-C12</f>
        <v>11</v>
      </c>
      <c r="R12" s="42">
        <f t="shared" si="5"/>
        <v>146</v>
      </c>
      <c r="S12" s="30">
        <f t="shared" si="6"/>
        <v>136805503.99999985</v>
      </c>
      <c r="T12" s="30">
        <f t="shared" si="7"/>
        <v>9256103.9999999981</v>
      </c>
      <c r="U12" s="31">
        <f t="shared" si="8"/>
        <v>14.780030993601615</v>
      </c>
    </row>
    <row r="13" spans="2:21" ht="18" customHeight="1" x14ac:dyDescent="0.25">
      <c r="B13" s="32" t="str">
        <f>'Data Entry'!A13</f>
        <v>8. Cases Resulting in Probation Placement</v>
      </c>
      <c r="C13" s="33">
        <f>'Data Entry'!C13</f>
        <v>101</v>
      </c>
      <c r="D13" s="34">
        <f>IF(((AND(C70&gt;0,C13&gt;0))),(C13/(C70)),0)</f>
        <v>95.283018867924525</v>
      </c>
      <c r="E13" s="33">
        <f>'Data Entry'!I13</f>
        <v>16</v>
      </c>
      <c r="F13" s="34">
        <f>IF(((AND($D$70&gt;0,$E$13&gt;0))),($E$13/($D$70)),0)</f>
        <v>88.888888888888886</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16</v>
      </c>
      <c r="O13" s="42">
        <f>(D70*L70)-E13</f>
        <v>2</v>
      </c>
      <c r="P13" s="42">
        <f t="shared" si="4"/>
        <v>101</v>
      </c>
      <c r="Q13" s="42">
        <f>(C70*L70)-C13</f>
        <v>5</v>
      </c>
      <c r="R13" s="42">
        <f t="shared" si="5"/>
        <v>124</v>
      </c>
      <c r="S13" s="30">
        <f t="shared" si="6"/>
        <v>1845616</v>
      </c>
      <c r="T13" s="30">
        <f t="shared" si="7"/>
        <v>1562652</v>
      </c>
      <c r="U13" s="31">
        <f t="shared" si="8"/>
        <v>1.1810793446013572</v>
      </c>
    </row>
    <row r="14" spans="2:21" ht="30.75" customHeight="1" x14ac:dyDescent="0.25">
      <c r="B14" s="32" t="str">
        <f>'Data Entry'!A14</f>
        <v xml:space="preserve">9. Cases Resulting in Confinement in Secure Juvenile Correctional Facilities </v>
      </c>
      <c r="C14" s="33">
        <f>'Data Entry'!C14</f>
        <v>5</v>
      </c>
      <c r="D14" s="34">
        <f>IF(((AND(C70&gt;0,C14&gt;0))), ((C14/(C70))),0)</f>
        <v>4.7169811320754711</v>
      </c>
      <c r="E14" s="33">
        <f>'Data Entry'!I14</f>
        <v>2</v>
      </c>
      <c r="F14" s="34">
        <f>IF(((AND($D$70&gt;0,$E$14&gt;0))), (($E$14/($D$70))),0)</f>
        <v>11.111111111111111</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2</v>
      </c>
      <c r="O14" s="42">
        <f>(D70*L70)-E14</f>
        <v>16</v>
      </c>
      <c r="P14" s="42">
        <f t="shared" si="4"/>
        <v>5</v>
      </c>
      <c r="Q14" s="42">
        <f>(C70*L70)-C14</f>
        <v>101</v>
      </c>
      <c r="R14" s="42">
        <f t="shared" si="5"/>
        <v>124</v>
      </c>
      <c r="S14" s="30">
        <f t="shared" si="6"/>
        <v>1845616</v>
      </c>
      <c r="T14" s="30">
        <f t="shared" si="7"/>
        <v>1562652</v>
      </c>
      <c r="U14" s="31">
        <f t="shared" si="8"/>
        <v>1.1810793446013572</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28.999999999999996</v>
      </c>
      <c r="P15" s="42">
        <f t="shared" si="4"/>
        <v>0</v>
      </c>
      <c r="Q15" s="42">
        <f>(C69*L69)-C15</f>
        <v>117</v>
      </c>
      <c r="R15" s="42">
        <f t="shared" si="5"/>
        <v>146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9.5690000000000008</v>
      </c>
      <c r="D42" s="56">
        <f>E6/1000</f>
        <v>0</v>
      </c>
      <c r="E42" s="56">
        <f>MAX(C42:D42)</f>
        <v>9.5690000000000008</v>
      </c>
      <c r="G42" s="1" t="str">
        <f>B42</f>
        <v>per 1000 youth</v>
      </c>
      <c r="L42" s="57">
        <v>1000</v>
      </c>
      <c r="M42" s="57"/>
      <c r="R42" s="49"/>
    </row>
    <row r="43" spans="2:18" ht="15" hidden="1" customHeight="1" x14ac:dyDescent="0.25">
      <c r="B43" s="49" t="s">
        <v>87</v>
      </c>
      <c r="C43" s="56">
        <f>C7/100</f>
        <v>0.54</v>
      </c>
      <c r="D43" s="56">
        <f>E7/100</f>
        <v>0</v>
      </c>
      <c r="E43" s="56">
        <f>MAX(C43:D43,0)</f>
        <v>0.54</v>
      </c>
      <c r="G43" s="1" t="str">
        <f>B43</f>
        <v>per 100 arrests</v>
      </c>
      <c r="L43" s="57">
        <v>100</v>
      </c>
      <c r="M43" s="57"/>
      <c r="R43" s="49"/>
    </row>
    <row r="44" spans="2:18" ht="15" hidden="1" customHeight="1" x14ac:dyDescent="0.25">
      <c r="B44" s="49" t="s">
        <v>88</v>
      </c>
      <c r="C44" s="56">
        <f>C8/100</f>
        <v>1.17</v>
      </c>
      <c r="D44" s="56">
        <f>E8/100</f>
        <v>0.28999999999999998</v>
      </c>
      <c r="E44" s="56">
        <f>MAX(C44:D44,0)</f>
        <v>1.17</v>
      </c>
      <c r="G44" s="1" t="str">
        <f>B44</f>
        <v>per 100 referrals</v>
      </c>
      <c r="L44" s="57">
        <v>100</v>
      </c>
      <c r="M44" s="57"/>
      <c r="R44" s="49"/>
    </row>
    <row r="45" spans="2:18" ht="15" hidden="1" customHeight="1" x14ac:dyDescent="0.25">
      <c r="B45" s="49" t="s">
        <v>89</v>
      </c>
      <c r="C45" s="49">
        <f>C11/100</f>
        <v>1.17</v>
      </c>
      <c r="D45" s="49">
        <f>E11/100</f>
        <v>0.28999999999999998</v>
      </c>
      <c r="E45" s="56">
        <f>MAX(C45:D45,0)</f>
        <v>1.17</v>
      </c>
      <c r="G45" s="1" t="str">
        <f>B45</f>
        <v>per 100 youth petitioned</v>
      </c>
      <c r="L45" s="57">
        <v>100</v>
      </c>
      <c r="M45" s="57"/>
      <c r="R45" s="49"/>
    </row>
    <row r="46" spans="2:18" ht="15" hidden="1" customHeight="1" x14ac:dyDescent="0.25">
      <c r="B46" s="49" t="s">
        <v>90</v>
      </c>
      <c r="C46" s="49">
        <f>C12/100</f>
        <v>1.06</v>
      </c>
      <c r="D46" s="49">
        <f>E12/100</f>
        <v>0.18</v>
      </c>
      <c r="E46" s="56">
        <f>MAX(C46:D46)</f>
        <v>1.06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9.5690000000000008</v>
      </c>
      <c r="D48" s="56">
        <f>D42</f>
        <v>0</v>
      </c>
      <c r="E48" s="56">
        <f>MAX(C48:D48)</f>
        <v>9.5690000000000008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1.17</v>
      </c>
      <c r="D50" s="49">
        <f t="shared" si="9"/>
        <v>0.28999999999999998</v>
      </c>
      <c r="E50" s="49">
        <f>MAX(C50:D50)</f>
        <v>1.17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1.17</v>
      </c>
      <c r="D51" s="49">
        <f>IF(($E45&gt;0),D45,D44)</f>
        <v>0.28999999999999998</v>
      </c>
      <c r="E51" s="49">
        <f>MAX(C51:D51)</f>
        <v>1.17</v>
      </c>
      <c r="G51" s="1" t="str">
        <f>G45</f>
        <v>per 100 youth petitioned</v>
      </c>
      <c r="L51" s="58">
        <f>IF(($E45&gt;0),L45,L44)</f>
        <v>100</v>
      </c>
      <c r="M51" s="58"/>
    </row>
    <row r="52" spans="2:18" ht="15" hidden="1" customHeight="1" x14ac:dyDescent="0.25">
      <c r="B52" s="49" t="str">
        <f>IF(($E46&gt;0),B46,B45)</f>
        <v>per 100 youth found delinquent</v>
      </c>
      <c r="C52" s="49">
        <f>IF(($E46&gt;0),C46,C45)</f>
        <v>1.06</v>
      </c>
      <c r="D52" s="49">
        <f>IF(($E46&gt;0),D46,D45)</f>
        <v>0.18</v>
      </c>
      <c r="E52" s="56">
        <f>MAX(C52:D52)</f>
        <v>1.06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9.5690000000000008</v>
      </c>
      <c r="D54" s="56">
        <f>D48</f>
        <v>0</v>
      </c>
      <c r="E54" s="56">
        <f>MAX(C54:D54)</f>
        <v>9.5690000000000008</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x14ac:dyDescent="0.25">
      <c r="B56" s="49" t="str">
        <f t="shared" si="10"/>
        <v>per 100 referrals</v>
      </c>
      <c r="C56" s="49">
        <f t="shared" si="10"/>
        <v>1.17</v>
      </c>
      <c r="D56" s="49">
        <f t="shared" si="10"/>
        <v>0.28999999999999998</v>
      </c>
      <c r="E56" s="49">
        <f>MAX(C56:D56)</f>
        <v>1.17</v>
      </c>
      <c r="G56" s="1" t="str">
        <f>G50</f>
        <v>per 100 referrals</v>
      </c>
      <c r="L56" s="58">
        <f>IF(($E50&gt;0),L50,L49)</f>
        <v>100</v>
      </c>
      <c r="M56" s="58"/>
    </row>
    <row r="57" spans="2:18" ht="15" hidden="1" customHeight="1" x14ac:dyDescent="0.25">
      <c r="B57" s="49" t="str">
        <f>IF(($E51&gt;0),B51,B49)</f>
        <v>per 100 youth petitioned</v>
      </c>
      <c r="C57" s="49">
        <f>IF(($E51&gt;0),C51,C50)</f>
        <v>1.17</v>
      </c>
      <c r="D57" s="49">
        <f>IF(($E51&gt;0),D51,D50)</f>
        <v>0.28999999999999998</v>
      </c>
      <c r="E57" s="49">
        <f>MAX(C57:D57)</f>
        <v>1.17</v>
      </c>
      <c r="G57" s="1" t="str">
        <f>G51</f>
        <v>per 100 youth petitioned</v>
      </c>
      <c r="L57" s="58">
        <f>IF(($E51&gt;0),L51,L50)</f>
        <v>100</v>
      </c>
      <c r="M57" s="58"/>
    </row>
    <row r="58" spans="2:18" ht="15" hidden="1" customHeight="1" x14ac:dyDescent="0.25">
      <c r="B58" s="49" t="str">
        <f>IF(($E52&gt;0),B52,B51)</f>
        <v>per 100 youth found delinquent</v>
      </c>
      <c r="C58" s="49">
        <f>IF(($E52&gt;0),C52,C51)</f>
        <v>1.06</v>
      </c>
      <c r="D58" s="49">
        <f>IF(($E52&gt;0),D52,D51)</f>
        <v>0.18</v>
      </c>
      <c r="E58" s="56">
        <f>MAX(C58:D58)</f>
        <v>1.06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9.5690000000000008</v>
      </c>
      <c r="D60" s="56">
        <f>D54</f>
        <v>0</v>
      </c>
      <c r="E60" s="56">
        <f>MAX(C60:D60)</f>
        <v>9.5690000000000008</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x14ac:dyDescent="0.25">
      <c r="B62" s="49" t="str">
        <f t="shared" si="11"/>
        <v>per 100 referrals</v>
      </c>
      <c r="C62" s="49">
        <f t="shared" si="11"/>
        <v>1.17</v>
      </c>
      <c r="D62" s="49">
        <f t="shared" si="11"/>
        <v>0.28999999999999998</v>
      </c>
      <c r="E62" s="49">
        <f>MAX(C62:D62)</f>
        <v>1.17</v>
      </c>
      <c r="G62" s="1" t="str">
        <f>G56</f>
        <v>per 100 referrals</v>
      </c>
      <c r="L62" s="58">
        <f>IF(($E56&gt;0),L56,L55)</f>
        <v>100</v>
      </c>
      <c r="M62" s="58"/>
    </row>
    <row r="63" spans="2:18" ht="15" hidden="1" customHeight="1" x14ac:dyDescent="0.25">
      <c r="B63" s="49" t="str">
        <f>IF(($E57&gt;0),B57,B55)</f>
        <v>per 100 youth petitioned</v>
      </c>
      <c r="C63" s="49">
        <f>IF(($E57&gt;0),C57,C56)</f>
        <v>1.17</v>
      </c>
      <c r="D63" s="49">
        <f>IF(($E57&gt;0),D57,D56)</f>
        <v>0.28999999999999998</v>
      </c>
      <c r="E63" s="49">
        <f>MAX(C63:D63)</f>
        <v>1.17</v>
      </c>
      <c r="G63" s="1" t="str">
        <f>G57</f>
        <v>per 100 youth petitioned</v>
      </c>
      <c r="L63" s="58">
        <f>IF(($E57&gt;0),L57,L56)</f>
        <v>100</v>
      </c>
      <c r="M63" s="58"/>
    </row>
    <row r="64" spans="2:18" ht="15" hidden="1" customHeight="1" x14ac:dyDescent="0.25">
      <c r="B64" s="49" t="str">
        <f>IF(($E58&gt;0),B58,B57)</f>
        <v>per 100 youth found delinquent</v>
      </c>
      <c r="C64" s="49">
        <f>IF(($E58&gt;0),C58,C57)</f>
        <v>1.06</v>
      </c>
      <c r="D64" s="49">
        <f>IF(($E58&gt;0),D58,D57)</f>
        <v>0.18</v>
      </c>
      <c r="E64" s="56">
        <f>MAX(C64:D64)</f>
        <v>1.06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9.5690000000000008</v>
      </c>
      <c r="D66" s="56">
        <f>D60</f>
        <v>0</v>
      </c>
      <c r="E66" s="56">
        <f>MAX(C66:D66)</f>
        <v>9.5690000000000008</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1.17</v>
      </c>
      <c r="D68" s="49">
        <f t="shared" si="12"/>
        <v>0.28999999999999998</v>
      </c>
      <c r="E68" s="49">
        <f>MAX(C68:D68)</f>
        <v>1.17</v>
      </c>
      <c r="G68" s="1" t="str">
        <f>G62</f>
        <v>per 100 referrals</v>
      </c>
      <c r="L68" s="58">
        <f>IF(($E62&gt;0),L62,L61)</f>
        <v>100</v>
      </c>
      <c r="M68" s="58">
        <f>IF((B68=G68),1,2)</f>
        <v>1</v>
      </c>
    </row>
    <row r="69" spans="2:13" ht="15" hidden="1" customHeight="1" x14ac:dyDescent="0.25">
      <c r="B69" s="49" t="str">
        <f>IF(($E63&gt;0),B63,B61)</f>
        <v>per 100 youth petitioned</v>
      </c>
      <c r="C69" s="49">
        <f>IF(($E63&gt;0),C63,C62)</f>
        <v>1.17</v>
      </c>
      <c r="D69" s="49">
        <f>IF(($E63&gt;0),D63,D62)</f>
        <v>0.28999999999999998</v>
      </c>
      <c r="E69" s="49">
        <f>MAX(C69:D69)</f>
        <v>1.17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1.06</v>
      </c>
      <c r="D70" s="49">
        <f>IF(($E64&gt;0),D64,D63)</f>
        <v>0.18</v>
      </c>
      <c r="E70" s="56">
        <f>MAX(C70:D70)</f>
        <v>1.06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Saginaw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9569</v>
      </c>
      <c r="D6" s="34"/>
      <c r="E6" s="33">
        <f>'Data Entry'!J6</f>
        <v>6483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5.6432229073048381</v>
      </c>
      <c r="E7" s="33">
        <f>'Data Entry'!J7</f>
        <v>110</v>
      </c>
      <c r="F7" s="34">
        <f>IF((AND($E$7&gt;0,$D$66&gt;0)),($E$7/$D$66),0)</f>
        <v>16.967453339503319</v>
      </c>
      <c r="G7" s="39">
        <f t="shared" ref="G7:G15" si="0">IF(L$6=100,"*",IF(M7=FALSE,"--",IF(K7=20,"**",($F7/$D7))))</f>
        <v>3.0066955741797643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110</v>
      </c>
      <c r="O7" s="42">
        <f>E6-E7</f>
        <v>6373</v>
      </c>
      <c r="P7" s="42">
        <f t="shared" ref="P7:P15" si="4">C7</f>
        <v>54</v>
      </c>
      <c r="Q7" s="42">
        <f>C6-C7</f>
        <v>9515</v>
      </c>
      <c r="R7" s="42">
        <f t="shared" ref="R7:R15" si="5">SUM(N7:Q7)</f>
        <v>16052</v>
      </c>
      <c r="S7" s="30">
        <f t="shared" ref="S7:S15" si="6">R7*((((N7*Q7)-(O7*P7))^2))</f>
        <v>7921942750507328</v>
      </c>
      <c r="T7" s="30">
        <f t="shared" ref="T7:T15" si="7">(N7+O7)*(P7+Q7)*(N7+P7)*(O7+Q7)</f>
        <v>161642535977664</v>
      </c>
      <c r="U7" s="31">
        <f t="shared" ref="U7:U15" si="8">IF((S7&gt;0),S7/T7,"- -")</f>
        <v>49.009022919573553</v>
      </c>
    </row>
    <row r="8" spans="2:21" ht="18" customHeight="1" x14ac:dyDescent="0.25">
      <c r="B8" s="32" t="str">
        <f>'Data Entry'!A8</f>
        <v>3. Refer to Juvenile Court</v>
      </c>
      <c r="C8" s="33">
        <f>'Data Entry'!C8</f>
        <v>117</v>
      </c>
      <c r="D8" s="34">
        <f>IF((AND(C67&gt;0,C8&gt;0)),(C8/C67),0)</f>
        <v>216.66666666666666</v>
      </c>
      <c r="E8" s="33">
        <f>'Data Entry'!J8</f>
        <v>220</v>
      </c>
      <c r="F8" s="34">
        <f>IF((AND($E$8&gt;0,$D$67&gt;0)),($E8/$D67),0)</f>
        <v>199.99999999999997</v>
      </c>
      <c r="G8" s="39">
        <f t="shared" si="0"/>
        <v>0.92307692307692302</v>
      </c>
      <c r="H8" s="40"/>
      <c r="I8" s="41"/>
      <c r="J8" s="40">
        <f>IF((ABS($U8)&gt;Defaults!D$7),1,2)</f>
        <v>2</v>
      </c>
      <c r="K8" s="39">
        <f>IF((AND(N8&gt;Defaults!B$12,(N8+O8)&gt;Defaults!B$13, P8 &gt; Defaults!B$12, (P8+Q8) &gt; Defaults!B$13)),1,20)</f>
        <v>1</v>
      </c>
      <c r="L8" s="1">
        <f t="shared" si="1"/>
        <v>2</v>
      </c>
      <c r="M8" s="1" t="b">
        <f t="shared" si="2"/>
        <v>1</v>
      </c>
      <c r="N8" s="42">
        <f t="shared" si="3"/>
        <v>220</v>
      </c>
      <c r="O8" s="42">
        <f>((D67*L67)-E8)+0.05</f>
        <v>-109.94999999999999</v>
      </c>
      <c r="P8" s="42">
        <f t="shared" si="4"/>
        <v>117</v>
      </c>
      <c r="Q8" s="42">
        <f>(C$67*L67)-C8</f>
        <v>-63</v>
      </c>
      <c r="R8" s="42">
        <f t="shared" si="5"/>
        <v>164.05</v>
      </c>
      <c r="S8" s="30">
        <f t="shared" si="6"/>
        <v>162691210.35112572</v>
      </c>
      <c r="T8" s="30">
        <f t="shared" si="7"/>
        <v>-346365218.20499998</v>
      </c>
      <c r="U8" s="31">
        <f t="shared" si="8"/>
        <v>-0.46971001070562224</v>
      </c>
    </row>
    <row r="9" spans="2:21" ht="18" customHeight="1" x14ac:dyDescent="0.25">
      <c r="B9" s="32" t="str">
        <f>'Data Entry'!A9</f>
        <v xml:space="preserve">4. Cases Diverted </v>
      </c>
      <c r="C9" s="33">
        <f>'Data Entry'!C9</f>
        <v>11</v>
      </c>
      <c r="D9" s="34">
        <f>IF((AND(C68&gt;0,C9&gt;0)),((C9/C68)),0)</f>
        <v>9.4017094017094021</v>
      </c>
      <c r="E9" s="33">
        <f>'Data Entry'!J9</f>
        <v>7</v>
      </c>
      <c r="F9" s="34">
        <f>IF((AND($E$9&gt;0,$D$68&gt;0)),(($E$9/$D$68)),0)</f>
        <v>3.1818181818181817</v>
      </c>
      <c r="G9" s="39">
        <f t="shared" si="0"/>
        <v>0.3384297520661157</v>
      </c>
      <c r="H9" s="40"/>
      <c r="I9" s="41"/>
      <c r="J9" s="40">
        <f>IF((ABS($U9)&gt;Defaults!D$7),1,2)</f>
        <v>1</v>
      </c>
      <c r="K9" s="39">
        <f>IF((AND(N9&gt;Defaults!B$12,(N9+O9)&gt;Defaults!B$13, P9 &gt; Defaults!B$12, (P9+Q9) &gt; Defaults!B$13)),1,20)</f>
        <v>1</v>
      </c>
      <c r="L9" s="1">
        <f t="shared" si="1"/>
        <v>1</v>
      </c>
      <c r="M9" s="1" t="b">
        <f t="shared" si="2"/>
        <v>1</v>
      </c>
      <c r="N9" s="42">
        <f t="shared" si="3"/>
        <v>7</v>
      </c>
      <c r="O9" s="42">
        <f>(D$68*L68)-E9</f>
        <v>213.00000000000003</v>
      </c>
      <c r="P9" s="42">
        <f t="shared" si="4"/>
        <v>11</v>
      </c>
      <c r="Q9" s="42">
        <f>(C$68*L68)-C9</f>
        <v>106</v>
      </c>
      <c r="R9" s="42">
        <f t="shared" si="5"/>
        <v>337</v>
      </c>
      <c r="S9" s="30">
        <f t="shared" si="6"/>
        <v>863798737.00000048</v>
      </c>
      <c r="T9" s="30">
        <f t="shared" si="7"/>
        <v>147799080.00000003</v>
      </c>
      <c r="U9" s="31">
        <f t="shared" si="8"/>
        <v>5.8444121370714912</v>
      </c>
    </row>
    <row r="10" spans="2:21" ht="18" customHeight="1" x14ac:dyDescent="0.25">
      <c r="B10" s="32" t="str">
        <f>'Data Entry'!A10</f>
        <v>5. Cases Involving Secure Detention</v>
      </c>
      <c r="C10" s="33">
        <f>'Data Entry'!C10</f>
        <v>73</v>
      </c>
      <c r="D10" s="34">
        <f>IF(((AND(C68&gt;0,C10&gt;0))),(C10/(C68)),0)</f>
        <v>62.393162393162399</v>
      </c>
      <c r="E10" s="33">
        <f>'Data Entry'!J10</f>
        <v>201</v>
      </c>
      <c r="F10" s="34">
        <f>IF(((AND($E$10&gt;0,$D$68&gt;0))),($E$10/($D$68)),0)</f>
        <v>91.36363636363636</v>
      </c>
      <c r="G10" s="39">
        <f t="shared" si="0"/>
        <v>1.4643212951432127</v>
      </c>
      <c r="H10" s="40"/>
      <c r="I10" s="41"/>
      <c r="J10" s="40">
        <f>IF((ABS($U10)&gt;Defaults!D$7),1,2)</f>
        <v>1</v>
      </c>
      <c r="K10" s="39">
        <f>IF((AND(N10&gt;Defaults!B$12,(N10+O10)&gt;Defaults!B$13, P10 &gt; Defaults!B$12, (P10+Q10) &gt; Defaults!B$13)),1,20)</f>
        <v>1</v>
      </c>
      <c r="L10" s="1">
        <f t="shared" si="1"/>
        <v>1</v>
      </c>
      <c r="M10" s="1" t="b">
        <f t="shared" si="2"/>
        <v>1</v>
      </c>
      <c r="N10" s="42">
        <f t="shared" si="3"/>
        <v>201</v>
      </c>
      <c r="O10" s="42">
        <f>(D$68*L68)-E10</f>
        <v>19.000000000000028</v>
      </c>
      <c r="P10" s="42">
        <f t="shared" si="4"/>
        <v>73</v>
      </c>
      <c r="Q10" s="42">
        <f>(C$68*L68)-C10</f>
        <v>44</v>
      </c>
      <c r="R10" s="42">
        <f t="shared" si="5"/>
        <v>337</v>
      </c>
      <c r="S10" s="30">
        <f t="shared" si="6"/>
        <v>18739508112.999989</v>
      </c>
      <c r="T10" s="30">
        <f t="shared" si="7"/>
        <v>444323880.00000024</v>
      </c>
      <c r="U10" s="31">
        <f t="shared" si="8"/>
        <v>42.175334157146764</v>
      </c>
    </row>
    <row r="11" spans="2:21" ht="18" customHeight="1" x14ac:dyDescent="0.25">
      <c r="B11" s="32" t="str">
        <f>'Data Entry'!A11</f>
        <v>6. Cases Petitioned (Charge Filed)</v>
      </c>
      <c r="C11" s="33">
        <f>'Data Entry'!C11</f>
        <v>117</v>
      </c>
      <c r="D11" s="34">
        <f>IF(((AND(C68&gt;0,C11&gt;0))),(C11/(C68)),0)</f>
        <v>100</v>
      </c>
      <c r="E11" s="33">
        <f>'Data Entry'!J11</f>
        <v>220</v>
      </c>
      <c r="F11" s="34">
        <f>IF(((AND($E$11&gt;0,$D$68&gt;0))),($E$11/($D$68)),0)</f>
        <v>99.999999999999986</v>
      </c>
      <c r="G11" s="39" t="str">
        <f t="shared" si="0"/>
        <v>--</v>
      </c>
      <c r="H11" s="40"/>
      <c r="I11" s="41"/>
      <c r="J11" s="40" t="e">
        <f>IF((ABS($U11)&gt;Defaults!D$7),1,2)</f>
        <v>#VALUE!</v>
      </c>
      <c r="K11" s="39">
        <f>IF((AND(N11&gt;Defaults!B$12,(N11+O11)&gt;Defaults!B$13, P11 &gt; Defaults!B$12, (P11+Q11) &gt; Defaults!B$13)),1,20)</f>
        <v>1</v>
      </c>
      <c r="L11" s="1" t="e">
        <f t="shared" si="1"/>
        <v>#VALUE!</v>
      </c>
      <c r="M11" s="1" t="b">
        <f t="shared" si="2"/>
        <v>0</v>
      </c>
      <c r="N11" s="42">
        <f t="shared" si="3"/>
        <v>220</v>
      </c>
      <c r="O11" s="42">
        <f>(D$68*L68)-E11</f>
        <v>0</v>
      </c>
      <c r="P11" s="42">
        <f t="shared" si="4"/>
        <v>117</v>
      </c>
      <c r="Q11" s="42">
        <f>(C$68*L68)-C11</f>
        <v>0</v>
      </c>
      <c r="R11" s="42">
        <f t="shared" si="5"/>
        <v>337</v>
      </c>
      <c r="S11" s="30">
        <f t="shared" si="6"/>
        <v>0</v>
      </c>
      <c r="T11" s="30">
        <f t="shared" si="7"/>
        <v>0</v>
      </c>
      <c r="U11" s="31" t="str">
        <f t="shared" si="8"/>
        <v>- -</v>
      </c>
    </row>
    <row r="12" spans="2:21" ht="18" customHeight="1" x14ac:dyDescent="0.25">
      <c r="B12" s="32" t="str">
        <f>'Data Entry'!A12</f>
        <v>7. Cases Resulting in Delinquent Findings</v>
      </c>
      <c r="C12" s="33">
        <f>'Data Entry'!C12</f>
        <v>106</v>
      </c>
      <c r="D12" s="34">
        <f>IF(((AND(C69&gt;0,C12&gt;0))),(C12/(C69)),0)</f>
        <v>90.598290598290603</v>
      </c>
      <c r="E12" s="33">
        <f>'Data Entry'!J12</f>
        <v>183</v>
      </c>
      <c r="F12" s="34">
        <f>IF(((AND($D$69&gt;0,$E$12&gt;0))),(E12/(D69)),0)</f>
        <v>83.181818181818173</v>
      </c>
      <c r="G12" s="39">
        <f t="shared" si="0"/>
        <v>0.91813893653516276</v>
      </c>
      <c r="H12" s="40"/>
      <c r="I12" s="41"/>
      <c r="J12" s="40">
        <f>IF((ABS($U12)&gt;Defaults!D$7),1,2)</f>
        <v>2</v>
      </c>
      <c r="K12" s="39">
        <f>IF((AND(N12&gt;Defaults!B$12,(N12+O12)&gt;Defaults!B$13, P12 &gt; Defaults!B$12, (P12+Q12) &gt; Defaults!B$13)),1,20)</f>
        <v>1</v>
      </c>
      <c r="L12" s="1">
        <f t="shared" si="1"/>
        <v>2</v>
      </c>
      <c r="M12" s="1" t="b">
        <f t="shared" si="2"/>
        <v>1</v>
      </c>
      <c r="N12" s="42">
        <f t="shared" si="3"/>
        <v>183</v>
      </c>
      <c r="O12" s="42">
        <f>(D69*L69)-E12</f>
        <v>37.000000000000028</v>
      </c>
      <c r="P12" s="42">
        <f t="shared" si="4"/>
        <v>106</v>
      </c>
      <c r="Q12" s="42">
        <f>(C69*L69)-C12</f>
        <v>11</v>
      </c>
      <c r="R12" s="42">
        <f t="shared" si="5"/>
        <v>337</v>
      </c>
      <c r="S12" s="30">
        <f t="shared" si="6"/>
        <v>1228122697.0000041</v>
      </c>
      <c r="T12" s="30">
        <f t="shared" si="7"/>
        <v>357065280.00000024</v>
      </c>
      <c r="U12" s="31">
        <f t="shared" si="8"/>
        <v>3.4394906640040812</v>
      </c>
    </row>
    <row r="13" spans="2:21" ht="18" customHeight="1" x14ac:dyDescent="0.25">
      <c r="B13" s="32" t="str">
        <f>'Data Entry'!A13</f>
        <v>8. Cases Resulting in Probation Placement</v>
      </c>
      <c r="C13" s="33">
        <f>'Data Entry'!C13</f>
        <v>101</v>
      </c>
      <c r="D13" s="34">
        <f>IF(((AND(C70&gt;0,C13&gt;0))),(C13/(C70)),0)</f>
        <v>95.283018867924525</v>
      </c>
      <c r="E13" s="33">
        <f>'Data Entry'!J13</f>
        <v>170</v>
      </c>
      <c r="F13" s="34">
        <f>IF(((AND($D$70&gt;0,$E$13&gt;0))),($E$13/($D$70)),0)</f>
        <v>92.896174863387969</v>
      </c>
      <c r="G13" s="39">
        <f t="shared" si="0"/>
        <v>0.97494995401179452</v>
      </c>
      <c r="H13" s="40"/>
      <c r="I13" s="41"/>
      <c r="J13" s="40">
        <f>IF((ABS($U13)&gt;Defaults!D$7),1,2)</f>
        <v>2</v>
      </c>
      <c r="K13" s="39">
        <f>IF((AND(N13&gt;Defaults!B$12,(N13+O13)&gt;Defaults!B$13, P13 &gt; Defaults!B$12, (P13+Q13) &gt; Defaults!B$13)),1,20)</f>
        <v>1</v>
      </c>
      <c r="L13" s="1">
        <f t="shared" si="1"/>
        <v>2</v>
      </c>
      <c r="M13" s="1" t="b">
        <f t="shared" si="2"/>
        <v>1</v>
      </c>
      <c r="N13" s="42">
        <f t="shared" si="3"/>
        <v>170</v>
      </c>
      <c r="O13" s="42">
        <f>(D70*L70)-E13</f>
        <v>13</v>
      </c>
      <c r="P13" s="42">
        <f t="shared" si="4"/>
        <v>101</v>
      </c>
      <c r="Q13" s="42">
        <f>(C70*L70)-C13</f>
        <v>5</v>
      </c>
      <c r="R13" s="42">
        <f t="shared" si="5"/>
        <v>289</v>
      </c>
      <c r="S13" s="30">
        <f t="shared" si="6"/>
        <v>61952641</v>
      </c>
      <c r="T13" s="30">
        <f t="shared" si="7"/>
        <v>94623444</v>
      </c>
      <c r="U13" s="31">
        <f t="shared" si="8"/>
        <v>0.65472824049820044</v>
      </c>
    </row>
    <row r="14" spans="2:21" ht="30.75" customHeight="1" x14ac:dyDescent="0.25">
      <c r="B14" s="32" t="str">
        <f>'Data Entry'!A14</f>
        <v xml:space="preserve">9. Cases Resulting in Confinement in Secure Juvenile Correctional Facilities </v>
      </c>
      <c r="C14" s="33">
        <f>'Data Entry'!C14</f>
        <v>5</v>
      </c>
      <c r="D14" s="34">
        <f>IF(((AND(C70&gt;0,C14&gt;0))), ((C14/(C70))),0)</f>
        <v>4.7169811320754711</v>
      </c>
      <c r="E14" s="33">
        <f>'Data Entry'!J14</f>
        <v>8</v>
      </c>
      <c r="F14" s="34">
        <f>IF(((AND($D$70&gt;0,$E$14&gt;0))), (($E$14/($D$70))),0)</f>
        <v>4.3715846994535514</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8</v>
      </c>
      <c r="O14" s="42">
        <f>(D70*L70)-E14</f>
        <v>175</v>
      </c>
      <c r="P14" s="42">
        <f t="shared" si="4"/>
        <v>5</v>
      </c>
      <c r="Q14" s="42">
        <f>(C70*L70)-C14</f>
        <v>101</v>
      </c>
      <c r="R14" s="42">
        <f t="shared" si="5"/>
        <v>289</v>
      </c>
      <c r="S14" s="30">
        <f t="shared" si="6"/>
        <v>1297321</v>
      </c>
      <c r="T14" s="30">
        <f t="shared" si="7"/>
        <v>69600024</v>
      </c>
      <c r="U14" s="31">
        <f t="shared" si="8"/>
        <v>1.8639663112759847E-2</v>
      </c>
    </row>
    <row r="15" spans="2:21" ht="15.75" customHeight="1" x14ac:dyDescent="0.25">
      <c r="B15" s="32" t="str">
        <f>'Data Entry'!A15</f>
        <v xml:space="preserve">10. Cases Transferred to Adult Court </v>
      </c>
      <c r="C15" s="33">
        <f>'Data Entry'!C15</f>
        <v>0</v>
      </c>
      <c r="D15" s="34">
        <f>IF(((AND(C69&gt;0,C15&gt;0))),((C15/(C69))),0)</f>
        <v>0</v>
      </c>
      <c r="E15" s="33">
        <f>'Data Entry'!J15</f>
        <v>5</v>
      </c>
      <c r="F15" s="34">
        <f>IF(((AND($D$69&gt;0,$E$15&gt;0))),(($E$15/($D$69))),0)</f>
        <v>2.2727272727272725</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5</v>
      </c>
      <c r="O15" s="42">
        <f>(D69*L69)-E15</f>
        <v>215.00000000000003</v>
      </c>
      <c r="P15" s="42">
        <f t="shared" si="4"/>
        <v>0</v>
      </c>
      <c r="Q15" s="42">
        <f>(C69*L69)-C15</f>
        <v>117</v>
      </c>
      <c r="R15" s="42">
        <f t="shared" si="5"/>
        <v>337</v>
      </c>
      <c r="S15" s="30">
        <f t="shared" si="6"/>
        <v>115329825</v>
      </c>
      <c r="T15" s="30">
        <f t="shared" si="7"/>
        <v>42728400.000000007</v>
      </c>
      <c r="U15" s="31">
        <f t="shared" si="8"/>
        <v>2.6991374589266153</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9.5690000000000008</v>
      </c>
      <c r="D42" s="56">
        <f>E6/1000</f>
        <v>6.4829999999999997</v>
      </c>
      <c r="E42" s="56">
        <f>MAX(C42:D42)</f>
        <v>9.5690000000000008</v>
      </c>
      <c r="G42" s="1" t="str">
        <f>B42</f>
        <v>per 1000 youth</v>
      </c>
      <c r="L42" s="57">
        <v>1000</v>
      </c>
      <c r="M42" s="57"/>
      <c r="R42" s="49"/>
    </row>
    <row r="43" spans="2:18" ht="15" hidden="1" customHeight="1" x14ac:dyDescent="0.25">
      <c r="B43" s="49" t="s">
        <v>87</v>
      </c>
      <c r="C43" s="56">
        <f>C7/100</f>
        <v>0.54</v>
      </c>
      <c r="D43" s="56">
        <f>E7/100</f>
        <v>1.1000000000000001</v>
      </c>
      <c r="E43" s="56">
        <f>MAX(C43:D43,0)</f>
        <v>1.1000000000000001</v>
      </c>
      <c r="G43" s="1" t="str">
        <f>B43</f>
        <v>per 100 arrests</v>
      </c>
      <c r="L43" s="57">
        <v>100</v>
      </c>
      <c r="M43" s="57"/>
      <c r="R43" s="49"/>
    </row>
    <row r="44" spans="2:18" ht="15" hidden="1" customHeight="1" x14ac:dyDescent="0.25">
      <c r="B44" s="49" t="s">
        <v>88</v>
      </c>
      <c r="C44" s="56">
        <f>C8/100</f>
        <v>1.17</v>
      </c>
      <c r="D44" s="56">
        <f>E8/100</f>
        <v>2.2000000000000002</v>
      </c>
      <c r="E44" s="56">
        <f>MAX(C44:D44,0)</f>
        <v>2.2000000000000002</v>
      </c>
      <c r="G44" s="1" t="str">
        <f>B44</f>
        <v>per 100 referrals</v>
      </c>
      <c r="L44" s="57">
        <v>100</v>
      </c>
      <c r="M44" s="57"/>
      <c r="R44" s="49"/>
    </row>
    <row r="45" spans="2:18" ht="15" hidden="1" customHeight="1" x14ac:dyDescent="0.25">
      <c r="B45" s="49" t="s">
        <v>89</v>
      </c>
      <c r="C45" s="49">
        <f>C11/100</f>
        <v>1.17</v>
      </c>
      <c r="D45" s="49">
        <f>E11/100</f>
        <v>2.2000000000000002</v>
      </c>
      <c r="E45" s="56">
        <f>MAX(C45:D45,0)</f>
        <v>2.2000000000000002</v>
      </c>
      <c r="G45" s="1" t="str">
        <f>B45</f>
        <v>per 100 youth petitioned</v>
      </c>
      <c r="L45" s="57">
        <v>100</v>
      </c>
      <c r="M45" s="57"/>
      <c r="R45" s="49"/>
    </row>
    <row r="46" spans="2:18" ht="15" hidden="1" customHeight="1" x14ac:dyDescent="0.25">
      <c r="B46" s="49" t="s">
        <v>90</v>
      </c>
      <c r="C46" s="49">
        <f>C12/100</f>
        <v>1.06</v>
      </c>
      <c r="D46" s="49">
        <f>E12/100</f>
        <v>1.83</v>
      </c>
      <c r="E46" s="56">
        <f>MAX(C46:D46)</f>
        <v>1.83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9.5690000000000008</v>
      </c>
      <c r="D48" s="56">
        <f>D42</f>
        <v>6.4829999999999997</v>
      </c>
      <c r="E48" s="56">
        <f>MAX(C48:D48)</f>
        <v>9.5690000000000008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1.1000000000000001</v>
      </c>
      <c r="E49" s="49">
        <f>MAX(C49:D49)</f>
        <v>1.1000000000000001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1.17</v>
      </c>
      <c r="D50" s="49">
        <f t="shared" si="9"/>
        <v>2.2000000000000002</v>
      </c>
      <c r="E50" s="49">
        <f>MAX(C50:D50)</f>
        <v>2.2000000000000002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1.17</v>
      </c>
      <c r="D51" s="49">
        <f>IF(($E45&gt;0),D45,D44)</f>
        <v>2.2000000000000002</v>
      </c>
      <c r="E51" s="49">
        <f>MAX(C51:D51)</f>
        <v>2.2000000000000002</v>
      </c>
      <c r="G51" s="1" t="str">
        <f>G45</f>
        <v>per 100 youth petitioned</v>
      </c>
      <c r="L51" s="58">
        <f>IF(($E45&gt;0),L45,L44)</f>
        <v>100</v>
      </c>
      <c r="M51" s="58"/>
    </row>
    <row r="52" spans="2:18" ht="15" hidden="1" customHeight="1" x14ac:dyDescent="0.25">
      <c r="B52" s="49" t="str">
        <f>IF(($E46&gt;0),B46,B45)</f>
        <v>per 100 youth found delinquent</v>
      </c>
      <c r="C52" s="49">
        <f>IF(($E46&gt;0),C46,C45)</f>
        <v>1.06</v>
      </c>
      <c r="D52" s="49">
        <f>IF(($E46&gt;0),D46,D45)</f>
        <v>1.83</v>
      </c>
      <c r="E52" s="56">
        <f>MAX(C52:D52)</f>
        <v>1.83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9.5690000000000008</v>
      </c>
      <c r="D54" s="56">
        <f>D48</f>
        <v>6.4829999999999997</v>
      </c>
      <c r="E54" s="56">
        <f>MAX(C54:D54)</f>
        <v>9.5690000000000008</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1.1000000000000001</v>
      </c>
      <c r="E55" s="49">
        <f>MAX(C55:D55)</f>
        <v>1.1000000000000001</v>
      </c>
      <c r="G55" s="1" t="str">
        <f>G49</f>
        <v>per 100 arrests</v>
      </c>
      <c r="L55" s="58">
        <f>IF(($E49&gt;0),L49,L48)</f>
        <v>100</v>
      </c>
      <c r="M55" s="58"/>
    </row>
    <row r="56" spans="2:18" ht="15" hidden="1" customHeight="1" x14ac:dyDescent="0.25">
      <c r="B56" s="49" t="str">
        <f t="shared" si="10"/>
        <v>per 100 referrals</v>
      </c>
      <c r="C56" s="49">
        <f t="shared" si="10"/>
        <v>1.17</v>
      </c>
      <c r="D56" s="49">
        <f t="shared" si="10"/>
        <v>2.2000000000000002</v>
      </c>
      <c r="E56" s="49">
        <f>MAX(C56:D56)</f>
        <v>2.2000000000000002</v>
      </c>
      <c r="G56" s="1" t="str">
        <f>G50</f>
        <v>per 100 referrals</v>
      </c>
      <c r="L56" s="58">
        <f>IF(($E50&gt;0),L50,L49)</f>
        <v>100</v>
      </c>
      <c r="M56" s="58"/>
    </row>
    <row r="57" spans="2:18" ht="15" hidden="1" customHeight="1" x14ac:dyDescent="0.25">
      <c r="B57" s="49" t="str">
        <f>IF(($E51&gt;0),B51,B49)</f>
        <v>per 100 youth petitioned</v>
      </c>
      <c r="C57" s="49">
        <f>IF(($E51&gt;0),C51,C50)</f>
        <v>1.17</v>
      </c>
      <c r="D57" s="49">
        <f>IF(($E51&gt;0),D51,D50)</f>
        <v>2.2000000000000002</v>
      </c>
      <c r="E57" s="49">
        <f>MAX(C57:D57)</f>
        <v>2.2000000000000002</v>
      </c>
      <c r="G57" s="1" t="str">
        <f>G51</f>
        <v>per 100 youth petitioned</v>
      </c>
      <c r="L57" s="58">
        <f>IF(($E51&gt;0),L51,L50)</f>
        <v>100</v>
      </c>
      <c r="M57" s="58"/>
    </row>
    <row r="58" spans="2:18" ht="15" hidden="1" customHeight="1" x14ac:dyDescent="0.25">
      <c r="B58" s="49" t="str">
        <f>IF(($E52&gt;0),B52,B51)</f>
        <v>per 100 youth found delinquent</v>
      </c>
      <c r="C58" s="49">
        <f>IF(($E52&gt;0),C52,C51)</f>
        <v>1.06</v>
      </c>
      <c r="D58" s="49">
        <f>IF(($E52&gt;0),D52,D51)</f>
        <v>1.83</v>
      </c>
      <c r="E58" s="56">
        <f>MAX(C58:D58)</f>
        <v>1.83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9.5690000000000008</v>
      </c>
      <c r="D60" s="56">
        <f>D54</f>
        <v>6.4829999999999997</v>
      </c>
      <c r="E60" s="56">
        <f>MAX(C60:D60)</f>
        <v>9.5690000000000008</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1.1000000000000001</v>
      </c>
      <c r="E61" s="49">
        <f>MAX(C61:D61)</f>
        <v>1.1000000000000001</v>
      </c>
      <c r="G61" s="1" t="str">
        <f>G55</f>
        <v>per 100 arrests</v>
      </c>
      <c r="L61" s="58">
        <f>IF(($E55&gt;0),L55,L54)</f>
        <v>100</v>
      </c>
      <c r="M61" s="58"/>
    </row>
    <row r="62" spans="2:18" ht="15" hidden="1" customHeight="1" x14ac:dyDescent="0.25">
      <c r="B62" s="49" t="str">
        <f t="shared" si="11"/>
        <v>per 100 referrals</v>
      </c>
      <c r="C62" s="49">
        <f t="shared" si="11"/>
        <v>1.17</v>
      </c>
      <c r="D62" s="49">
        <f t="shared" si="11"/>
        <v>2.2000000000000002</v>
      </c>
      <c r="E62" s="49">
        <f>MAX(C62:D62)</f>
        <v>2.2000000000000002</v>
      </c>
      <c r="G62" s="1" t="str">
        <f>G56</f>
        <v>per 100 referrals</v>
      </c>
      <c r="L62" s="58">
        <f>IF(($E56&gt;0),L56,L55)</f>
        <v>100</v>
      </c>
      <c r="M62" s="58"/>
    </row>
    <row r="63" spans="2:18" ht="15" hidden="1" customHeight="1" x14ac:dyDescent="0.25">
      <c r="B63" s="49" t="str">
        <f>IF(($E57&gt;0),B57,B55)</f>
        <v>per 100 youth petitioned</v>
      </c>
      <c r="C63" s="49">
        <f>IF(($E57&gt;0),C57,C56)</f>
        <v>1.17</v>
      </c>
      <c r="D63" s="49">
        <f>IF(($E57&gt;0),D57,D56)</f>
        <v>2.2000000000000002</v>
      </c>
      <c r="E63" s="49">
        <f>MAX(C63:D63)</f>
        <v>2.2000000000000002</v>
      </c>
      <c r="G63" s="1" t="str">
        <f>G57</f>
        <v>per 100 youth petitioned</v>
      </c>
      <c r="L63" s="58">
        <f>IF(($E57&gt;0),L57,L56)</f>
        <v>100</v>
      </c>
      <c r="M63" s="58"/>
    </row>
    <row r="64" spans="2:18" ht="15" hidden="1" customHeight="1" x14ac:dyDescent="0.25">
      <c r="B64" s="49" t="str">
        <f>IF(($E58&gt;0),B58,B57)</f>
        <v>per 100 youth found delinquent</v>
      </c>
      <c r="C64" s="49">
        <f>IF(($E58&gt;0),C58,C57)</f>
        <v>1.06</v>
      </c>
      <c r="D64" s="49">
        <f>IF(($E58&gt;0),D58,D57)</f>
        <v>1.83</v>
      </c>
      <c r="E64" s="56">
        <f>MAX(C64:D64)</f>
        <v>1.83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9.5690000000000008</v>
      </c>
      <c r="D66" s="56">
        <f>D60</f>
        <v>6.4829999999999997</v>
      </c>
      <c r="E66" s="56">
        <f>MAX(C66:D66)</f>
        <v>9.5690000000000008</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1.1000000000000001</v>
      </c>
      <c r="E67" s="49">
        <f>MAX(C67:D67)</f>
        <v>1.1000000000000001</v>
      </c>
      <c r="G67" s="1" t="str">
        <f>G61</f>
        <v>per 100 arrests</v>
      </c>
      <c r="L67" s="58">
        <f>IF(($E61&gt;0),L61,L60)</f>
        <v>100</v>
      </c>
      <c r="M67" s="58">
        <f>IF((B67=G67),1,2)</f>
        <v>1</v>
      </c>
    </row>
    <row r="68" spans="2:13" ht="15" hidden="1" customHeight="1" x14ac:dyDescent="0.25">
      <c r="B68" s="49" t="str">
        <f t="shared" si="12"/>
        <v>per 100 referrals</v>
      </c>
      <c r="C68" s="49">
        <f t="shared" si="12"/>
        <v>1.17</v>
      </c>
      <c r="D68" s="49">
        <f t="shared" si="12"/>
        <v>2.2000000000000002</v>
      </c>
      <c r="E68" s="49">
        <f>MAX(C68:D68)</f>
        <v>2.2000000000000002</v>
      </c>
      <c r="G68" s="1" t="str">
        <f>G62</f>
        <v>per 100 referrals</v>
      </c>
      <c r="L68" s="58">
        <f>IF(($E62&gt;0),L62,L61)</f>
        <v>100</v>
      </c>
      <c r="M68" s="58">
        <f>IF((B68=G68),1,2)</f>
        <v>1</v>
      </c>
    </row>
    <row r="69" spans="2:13" ht="15" hidden="1" customHeight="1" x14ac:dyDescent="0.25">
      <c r="B69" s="49" t="str">
        <f>IF(($E63&gt;0),B63,B61)</f>
        <v>per 100 youth petitioned</v>
      </c>
      <c r="C69" s="49">
        <f>IF(($E63&gt;0),C63,C62)</f>
        <v>1.17</v>
      </c>
      <c r="D69" s="49">
        <f>IF(($E63&gt;0),D63,D62)</f>
        <v>2.2000000000000002</v>
      </c>
      <c r="E69" s="49">
        <f>MAX(C69:D69)</f>
        <v>2.2000000000000002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1.06</v>
      </c>
      <c r="D70" s="49">
        <f>IF(($E64&gt;0),D64,D63)</f>
        <v>1.83</v>
      </c>
      <c r="E70" s="56">
        <f>MAX(C70:D70)</f>
        <v>1.83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Saginaw</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4.134753086419753</v>
      </c>
      <c r="D7" s="72">
        <f>Hispanic!G7</f>
        <v>1.4188908659549229</v>
      </c>
      <c r="E7" s="72" t="str">
        <f>Asian!G7</f>
        <v>**</v>
      </c>
      <c r="F7" s="72" t="str">
        <f>Hawaiian!G7</f>
        <v>*</v>
      </c>
      <c r="G7" s="72" t="str">
        <f>'Am Indian'!G7</f>
        <v>*</v>
      </c>
      <c r="H7" s="72" t="str">
        <f>'Other - Mixed'!G7</f>
        <v>*</v>
      </c>
      <c r="I7" s="73">
        <f>'All Minorities'!G7</f>
        <v>3.0066955741797643</v>
      </c>
      <c r="L7" s="1">
        <f>'Black or African-American'!L7</f>
        <v>1</v>
      </c>
      <c r="M7" s="1">
        <f>Hispanic!L7</f>
        <v>2</v>
      </c>
      <c r="N7" s="1">
        <f>Asian!L7</f>
        <v>40</v>
      </c>
      <c r="O7" s="1" t="e">
        <f>Hawaiian!L7</f>
        <v>#VALUE!</v>
      </c>
      <c r="P7" s="1">
        <f>'Am Indian'!L7</f>
        <v>139</v>
      </c>
      <c r="Q7" s="1" t="e">
        <f>'Other - Mixed'!L7</f>
        <v>#VALUE!</v>
      </c>
      <c r="R7" s="1">
        <f>'All Minorities'!L7</f>
        <v>1</v>
      </c>
    </row>
    <row r="8" spans="2:18" ht="15" customHeight="1" x14ac:dyDescent="0.25">
      <c r="B8" s="71" t="s">
        <v>9</v>
      </c>
      <c r="C8" s="72">
        <f>'Black or African-American'!$G8</f>
        <v>0.84699915469146236</v>
      </c>
      <c r="D8" s="72" t="str">
        <f>Hispanic!G8</f>
        <v>**</v>
      </c>
      <c r="E8" s="72" t="str">
        <f>Asian!G8</f>
        <v>**</v>
      </c>
      <c r="F8" s="72" t="str">
        <f>Hawaiian!G8</f>
        <v>*</v>
      </c>
      <c r="G8" s="72" t="str">
        <f>'Am Indian'!G8</f>
        <v>*</v>
      </c>
      <c r="H8" s="72" t="str">
        <f>'Other - Mixed'!G8</f>
        <v>*</v>
      </c>
      <c r="I8" s="73">
        <f>'All Minorities'!G8</f>
        <v>0.92307692307692302</v>
      </c>
      <c r="L8" s="1">
        <f>'Black or African-American'!L8</f>
        <v>2</v>
      </c>
      <c r="M8" s="1">
        <f>Hispanic!L8</f>
        <v>20</v>
      </c>
      <c r="N8" s="1">
        <f>Asian!L8</f>
        <v>40</v>
      </c>
      <c r="O8" s="1">
        <f>Hawaiian!L8</f>
        <v>139</v>
      </c>
      <c r="P8" s="1">
        <f>'Am Indian'!L8</f>
        <v>139</v>
      </c>
      <c r="Q8" s="1">
        <f>'Other - Mixed'!L8</f>
        <v>119</v>
      </c>
      <c r="R8" s="1">
        <f>'All Minorities'!L8</f>
        <v>2</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f>'All Minorities'!G9</f>
        <v>0.3384297520661157</v>
      </c>
      <c r="L9" s="1">
        <f>'Black or African-American'!L9</f>
        <v>20</v>
      </c>
      <c r="M9" s="1">
        <f>Hispanic!L9</f>
        <v>40</v>
      </c>
      <c r="N9" s="1" t="e">
        <f>Asian!L9</f>
        <v>#VALUE!</v>
      </c>
      <c r="O9" s="1" t="e">
        <f>Hawaiian!L9</f>
        <v>#VALUE!</v>
      </c>
      <c r="P9" s="1" t="e">
        <f>'Am Indian'!L9</f>
        <v>#VALUE!</v>
      </c>
      <c r="Q9" s="1">
        <f>'Other - Mixed'!L9</f>
        <v>139</v>
      </c>
      <c r="R9" s="1">
        <f>'All Minorities'!L9</f>
        <v>1</v>
      </c>
    </row>
    <row r="10" spans="2:18" ht="15" customHeight="1" x14ac:dyDescent="0.25">
      <c r="B10" s="71" t="s">
        <v>11</v>
      </c>
      <c r="C10" s="72">
        <f>'Black or African-American'!$G10</f>
        <v>1.4875727996062669</v>
      </c>
      <c r="D10" s="72" t="str">
        <f>Hispanic!G10</f>
        <v>**</v>
      </c>
      <c r="E10" s="72" t="str">
        <f>Asian!G10</f>
        <v>--</v>
      </c>
      <c r="F10" s="72" t="str">
        <f>Hawaiian!G10</f>
        <v>*</v>
      </c>
      <c r="G10" s="72" t="str">
        <f>'Am Indian'!G10</f>
        <v>*</v>
      </c>
      <c r="H10" s="72" t="str">
        <f>'Other - Mixed'!G10</f>
        <v>*</v>
      </c>
      <c r="I10" s="73">
        <f>'All Minorities'!G10</f>
        <v>1.4643212951432127</v>
      </c>
      <c r="L10" s="1">
        <f>'Black or African-American'!L10</f>
        <v>1</v>
      </c>
      <c r="M10" s="1">
        <f>Hispanic!L10</f>
        <v>40</v>
      </c>
      <c r="N10" s="1" t="e">
        <f>Asian!L10</f>
        <v>#VALUE!</v>
      </c>
      <c r="O10" s="1" t="e">
        <f>Hawaiian!L10</f>
        <v>#VALUE!</v>
      </c>
      <c r="P10" s="1" t="e">
        <f>'Am Indian'!L10</f>
        <v>#VALUE!</v>
      </c>
      <c r="Q10" s="1">
        <f>'Other - Mixed'!L10</f>
        <v>119</v>
      </c>
      <c r="R10" s="1">
        <f>'All Minorities'!L10</f>
        <v>1</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f>'Black or African-American'!$G12</f>
        <v>0.95836628629533382</v>
      </c>
      <c r="D12" s="72" t="str">
        <f>Hispanic!G12</f>
        <v>**</v>
      </c>
      <c r="E12" s="72" t="str">
        <f>Asian!G12</f>
        <v>--</v>
      </c>
      <c r="F12" s="72" t="str">
        <f>Hawaiian!G12</f>
        <v>*</v>
      </c>
      <c r="G12" s="72" t="str">
        <f>'Am Indian'!G12</f>
        <v>*</v>
      </c>
      <c r="H12" s="72" t="str">
        <f>'Other - Mixed'!G12</f>
        <v>*</v>
      </c>
      <c r="I12" s="73">
        <f>'All Minorities'!G12</f>
        <v>0.91813893653516276</v>
      </c>
      <c r="L12" s="1">
        <f>'Black or African-American'!L12</f>
        <v>2</v>
      </c>
      <c r="M12" s="1">
        <f>Hispanic!L12</f>
        <v>40</v>
      </c>
      <c r="N12" s="1" t="e">
        <f>Asian!L12</f>
        <v>#VALUE!</v>
      </c>
      <c r="O12" s="1" t="e">
        <f>Hawaiian!L12</f>
        <v>#VALUE!</v>
      </c>
      <c r="P12" s="1" t="e">
        <f>'Am Indian'!L12</f>
        <v>#VALUE!</v>
      </c>
      <c r="Q12" s="1">
        <f>'Other - Mixed'!L12</f>
        <v>119</v>
      </c>
      <c r="R12" s="1">
        <f>'All Minorities'!L12</f>
        <v>2</v>
      </c>
    </row>
    <row r="13" spans="2:18" ht="15" customHeight="1" x14ac:dyDescent="0.25">
      <c r="B13" s="71" t="s">
        <v>14</v>
      </c>
      <c r="C13" s="72">
        <f>'Black or African-American'!$G13</f>
        <v>0.98436326391259832</v>
      </c>
      <c r="D13" s="72" t="str">
        <f>Hispanic!G13</f>
        <v>**</v>
      </c>
      <c r="E13" s="72" t="str">
        <f>Asian!G13</f>
        <v>--</v>
      </c>
      <c r="F13" s="72" t="str">
        <f>Hawaiian!G13</f>
        <v>*</v>
      </c>
      <c r="G13" s="72" t="str">
        <f>'Am Indian'!G13</f>
        <v>*</v>
      </c>
      <c r="H13" s="72" t="str">
        <f>'Other - Mixed'!G13</f>
        <v>*</v>
      </c>
      <c r="I13" s="73">
        <f>'All Minorities'!G13</f>
        <v>0.97494995401179452</v>
      </c>
      <c r="L13" s="1">
        <f>'Black or African-American'!L13</f>
        <v>2</v>
      </c>
      <c r="M13" s="1">
        <f>Hispanic!L13</f>
        <v>40</v>
      </c>
      <c r="N13" s="1" t="e">
        <f>Asian!L13</f>
        <v>#VALUE!</v>
      </c>
      <c r="O13" s="1" t="e">
        <f>Hawaiian!L13</f>
        <v>#VALUE!</v>
      </c>
      <c r="P13" s="1" t="e">
        <f>'Am Indian'!L13</f>
        <v>#VALUE!</v>
      </c>
      <c r="Q13" s="1">
        <f>'Other - Mixed'!L13</f>
        <v>139</v>
      </c>
      <c r="R13" s="1">
        <f>'All Minorities'!L13</f>
        <v>2</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16052</v>
      </c>
      <c r="D3" s="57">
        <f>'Data Entry'!C6</f>
        <v>9569</v>
      </c>
      <c r="E3" s="57">
        <f>'Data Entry'!D6</f>
        <v>3900</v>
      </c>
      <c r="F3" s="57">
        <f>'Data Entry'!E6</f>
        <v>2248</v>
      </c>
      <c r="G3" s="57">
        <f>'Data Entry'!F6</f>
        <v>252</v>
      </c>
      <c r="H3" s="57">
        <f>'Data Entry'!G6</f>
        <v>0</v>
      </c>
      <c r="I3" s="57">
        <f>'Data Entry'!H6</f>
        <v>83</v>
      </c>
      <c r="J3" s="57">
        <f>'Data Entry'!I6</f>
        <v>0</v>
      </c>
      <c r="K3" s="57">
        <f>'Data Entry'!J6</f>
        <v>6483</v>
      </c>
    </row>
    <row r="4" spans="2:11" ht="15" customHeight="1" x14ac:dyDescent="0.25">
      <c r="B4" s="16" t="s">
        <v>8</v>
      </c>
      <c r="C4" s="1">
        <f>IF((C$3&gt;0),(1000*('Data Entry'!B7/'Data Entry'!B$6)), 0)</f>
        <v>10.279092947919262</v>
      </c>
      <c r="D4" s="1">
        <f>IF((D$3&gt;0),(1000*('Data Entry'!C7/'Data Entry'!C$6)), 0)</f>
        <v>5.643222907304839</v>
      </c>
      <c r="E4" s="1">
        <f>IF((E$3&gt;0),(1000*('Data Entry'!D7/'Data Entry'!D$6)), 0)</f>
        <v>23.333333333333336</v>
      </c>
      <c r="F4" s="1">
        <f>IF((F$3&gt;0),(1000*('Data Entry'!E7/'Data Entry'!E$6)), 0)</f>
        <v>8.007117437722421</v>
      </c>
      <c r="G4" s="1">
        <f>IF((G$3&gt;0),(1000*('Data Entry'!F7/'Data Entry'!F$6)), 0)</f>
        <v>0</v>
      </c>
      <c r="H4" s="1">
        <f>IF((H$3&gt;0),(1000*('Data Entry'!G7/'Data Entry'!G$6)), 0)</f>
        <v>0</v>
      </c>
      <c r="I4" s="1">
        <f>IF((I$3&gt;0),(1000*('Data Entry'!H7/'Data Entry'!H$6)), 0)</f>
        <v>12.048192771084338</v>
      </c>
      <c r="J4" s="1">
        <f>IF((J$3&gt;0),(1000*('Data Entry'!I7/'Data Entry'!I$6)), 0)</f>
        <v>0</v>
      </c>
      <c r="K4" s="1">
        <f>IF((K$3&gt;0),(1000*('Data Entry'!J7/'Data Entry'!J$6)), 0)</f>
        <v>16.967453339503315</v>
      </c>
    </row>
    <row r="5" spans="2:11" ht="15" customHeight="1" x14ac:dyDescent="0.25">
      <c r="B5" s="16" t="s">
        <v>9</v>
      </c>
      <c r="C5" s="1">
        <f>IF((C$3&gt;0),(1000*('Data Entry'!B8/'Data Entry'!B$6)), 0)</f>
        <v>21.056566159980065</v>
      </c>
      <c r="D5" s="1">
        <f>IF((D$3&gt;0),(1000*('Data Entry'!C8/'Data Entry'!C$6)), 0)</f>
        <v>12.226982965827149</v>
      </c>
      <c r="E5" s="1">
        <f>IF((E$3&gt;0),(1000*('Data Entry'!D8/'Data Entry'!D$6)), 0)</f>
        <v>42.820512820512825</v>
      </c>
      <c r="F5" s="1">
        <f>IF((F$3&gt;0),(1000*('Data Entry'!E8/'Data Entry'!E$6)), 0)</f>
        <v>10.676156583629894</v>
      </c>
      <c r="G5" s="1">
        <f>IF((G$3&gt;0),(1000*('Data Entry'!F8/'Data Entry'!F$6)), 0)</f>
        <v>0</v>
      </c>
      <c r="H5" s="1">
        <f>IF((H$3&gt;0),(1000*('Data Entry'!G8/'Data Entry'!G$6)), 0)</f>
        <v>0</v>
      </c>
      <c r="I5" s="1">
        <f>IF((I$3&gt;0),(1000*('Data Entry'!H8/'Data Entry'!H$6)), 0)</f>
        <v>0</v>
      </c>
      <c r="J5" s="1">
        <f>IF((J$3&gt;0),(1000*('Data Entry'!I8/'Data Entry'!I$6)), 0)</f>
        <v>0</v>
      </c>
      <c r="K5" s="1">
        <f>IF((K$3&gt;0),(1000*('Data Entry'!J8/'Data Entry'!J$6)), 0)</f>
        <v>33.93490667900663</v>
      </c>
    </row>
    <row r="6" spans="2:11" ht="15" customHeight="1" x14ac:dyDescent="0.25">
      <c r="B6" s="16" t="s">
        <v>10</v>
      </c>
      <c r="C6" s="1">
        <f>IF((C$3&gt;0),(1000*('Data Entry'!B9/'Data Entry'!B$6)), 0)</f>
        <v>1.121355594318465</v>
      </c>
      <c r="D6" s="1">
        <f>IF((D$3&gt;0),(1000*('Data Entry'!C9/'Data Entry'!C$6)), 0)</f>
        <v>1.1495454070435782</v>
      </c>
      <c r="E6" s="1">
        <f>IF((E$3&gt;0),(1000*('Data Entry'!D9/'Data Entry'!D$6)), 0)</f>
        <v>0.25641025641025639</v>
      </c>
      <c r="F6" s="1">
        <f>IF((F$3&gt;0),(1000*('Data Entry'!E9/'Data Entry'!E$6)), 0)</f>
        <v>0.44483985765124551</v>
      </c>
      <c r="G6" s="1">
        <f>IF((G$3&gt;0),(1000*('Data Entry'!F9/'Data Entry'!F$6)), 0)</f>
        <v>0</v>
      </c>
      <c r="H6" s="1">
        <f>IF((H$3&gt;0),(1000*('Data Entry'!G9/'Data Entry'!G$6)), 0)</f>
        <v>0</v>
      </c>
      <c r="I6" s="1">
        <f>IF((I$3&gt;0),(1000*('Data Entry'!H9/'Data Entry'!H$6)), 0)</f>
        <v>0</v>
      </c>
      <c r="J6" s="1">
        <f>IF((J$3&gt;0),(1000*('Data Entry'!I9/'Data Entry'!I$6)), 0)</f>
        <v>0</v>
      </c>
      <c r="K6" s="1">
        <f>IF((K$3&gt;0),(1000*('Data Entry'!J9/'Data Entry'!J$6)), 0)</f>
        <v>1.0797470306956656</v>
      </c>
    </row>
    <row r="7" spans="2:11" ht="15" customHeight="1" x14ac:dyDescent="0.25">
      <c r="B7" s="16" t="s">
        <v>11</v>
      </c>
      <c r="C7" s="1">
        <f>IF((C$3&gt;0),(1000*('Data Entry'!B10/'Data Entry'!B$6)), 0)</f>
        <v>17.069524046847743</v>
      </c>
      <c r="D7" s="1">
        <f>IF((D$3&gt;0),(1000*('Data Entry'!C10/'Data Entry'!C$6)), 0)</f>
        <v>7.6288013376528374</v>
      </c>
      <c r="E7" s="1">
        <f>IF((E$3&gt;0),(1000*('Data Entry'!D10/'Data Entry'!D$6)), 0)</f>
        <v>39.743589743589745</v>
      </c>
      <c r="F7" s="1">
        <f>IF((F$3&gt;0),(1000*('Data Entry'!E10/'Data Entry'!E$6)), 0)</f>
        <v>7.5622775800711741</v>
      </c>
      <c r="G7" s="1">
        <f>IF((G$3&gt;0),(1000*('Data Entry'!F10/'Data Entry'!F$6)), 0)</f>
        <v>0</v>
      </c>
      <c r="H7" s="1">
        <f>IF((H$3&gt;0),(1000*('Data Entry'!G10/'Data Entry'!G$6)), 0)</f>
        <v>0</v>
      </c>
      <c r="I7" s="1">
        <f>IF((I$3&gt;0),(1000*('Data Entry'!H10/'Data Entry'!H$6)), 0)</f>
        <v>0</v>
      </c>
      <c r="J7" s="1">
        <f>IF((J$3&gt;0),(1000*('Data Entry'!I10/'Data Entry'!I$6)), 0)</f>
        <v>0</v>
      </c>
      <c r="K7" s="1">
        <f>IF((K$3&gt;0),(1000*('Data Entry'!J10/'Data Entry'!J$6)), 0)</f>
        <v>31.004164738546969</v>
      </c>
    </row>
    <row r="8" spans="2:11" ht="15" customHeight="1" x14ac:dyDescent="0.25">
      <c r="B8" s="16" t="s">
        <v>95</v>
      </c>
      <c r="C8" s="1">
        <f>IF((C$3&gt;0),(1000*('Data Entry'!B11/'Data Entry'!B$6)), 0)</f>
        <v>21.056566159980065</v>
      </c>
      <c r="D8" s="1">
        <f>IF((D$3&gt;0),(1000*('Data Entry'!C11/'Data Entry'!C$6)), 0)</f>
        <v>12.226982965827149</v>
      </c>
      <c r="E8" s="1">
        <f>IF((E$3&gt;0),(1000*('Data Entry'!D11/'Data Entry'!D$6)), 0)</f>
        <v>42.820512820512825</v>
      </c>
      <c r="F8" s="1">
        <f>IF((F$3&gt;0),(1000*('Data Entry'!E11/'Data Entry'!E$6)), 0)</f>
        <v>10.676156583629894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33.93490667900663</v>
      </c>
    </row>
    <row r="9" spans="2:11" ht="15" customHeight="1" x14ac:dyDescent="0.25">
      <c r="B9" s="16" t="s">
        <v>13</v>
      </c>
      <c r="C9" s="1">
        <f>IF((C$3&gt;0),(1000*('Data Entry'!B12/'Data Entry'!B$6)), 0)</f>
        <v>18.003987042113131</v>
      </c>
      <c r="D9" s="1">
        <f>IF((D$3&gt;0),(1000*('Data Entry'!C12/'Data Entry'!C$6)), 0)</f>
        <v>11.077437558783572</v>
      </c>
      <c r="E9" s="1">
        <f>IF((E$3&gt;0),(1000*('Data Entry'!D12/'Data Entry'!D$6)), 0)</f>
        <v>37.179487179487182</v>
      </c>
      <c r="F9" s="1">
        <f>IF((F$3&gt;0),(1000*('Data Entry'!E12/'Data Entry'!E$6)), 0)</f>
        <v>8.8967971530249113</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28.227672373900973</v>
      </c>
    </row>
    <row r="10" spans="2:11" ht="15" customHeight="1" x14ac:dyDescent="0.25">
      <c r="B10" s="16" t="s">
        <v>14</v>
      </c>
      <c r="C10" s="1">
        <f>IF((C$3&gt;0),(1000*('Data Entry'!B13/'Data Entry'!B$6)), 0)</f>
        <v>16.882631447794669</v>
      </c>
      <c r="D10" s="1">
        <f>IF((D$3&gt;0),(1000*('Data Entry'!C13/'Data Entry'!C$6)), 0)</f>
        <v>10.554916919218309</v>
      </c>
      <c r="E10" s="1">
        <f>IF((E$3&gt;0),(1000*('Data Entry'!D13/'Data Entry'!D$6)), 0)</f>
        <v>34.871794871794869</v>
      </c>
      <c r="F10" s="1">
        <f>IF((F$3&gt;0),(1000*('Data Entry'!E13/'Data Entry'!E$6)), 0)</f>
        <v>8.007117437722421</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26.222427888323306</v>
      </c>
    </row>
    <row r="11" spans="2:11" ht="25.5" customHeight="1" x14ac:dyDescent="0.25">
      <c r="B11" s="16" t="s">
        <v>15</v>
      </c>
      <c r="C11" s="1">
        <f>IF((C$3&gt;0),(1000*('Data Entry'!B14/'Data Entry'!B$6)), 0)</f>
        <v>0.8098679292300025</v>
      </c>
      <c r="D11" s="1">
        <f>IF((D$3&gt;0),(1000*('Data Entry'!C14/'Data Entry'!C$6)), 0)</f>
        <v>0.52252063956526273</v>
      </c>
      <c r="E11" s="1">
        <f>IF((E$3&gt;0),(1000*('Data Entry'!D14/'Data Entry'!D$6)), 0)</f>
        <v>1.2820512820512822</v>
      </c>
      <c r="F11" s="1">
        <f>IF((F$3&gt;0),(1000*('Data Entry'!E14/'Data Entry'!E$6)), 0)</f>
        <v>0.44483985765124551</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1.2339966065093322</v>
      </c>
    </row>
    <row r="12" spans="2:11" ht="15" customHeight="1" x14ac:dyDescent="0.25">
      <c r="B12" s="16" t="s">
        <v>16</v>
      </c>
      <c r="C12" s="1">
        <f>IF((C$3&gt;0),(1000*('Data Entry'!B15/'Data Entry'!B$6)), 0)</f>
        <v>0.31148766508846248</v>
      </c>
      <c r="D12" s="1">
        <f>IF((D$3&gt;0),(1000*('Data Entry'!C15/'Data Entry'!C$6)), 0)</f>
        <v>0</v>
      </c>
      <c r="E12" s="1">
        <f>IF((E$3&gt;0),(1000*('Data Entry'!D15/'Data Entry'!D$6)), 0)</f>
        <v>1.2820512820512822</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0.77124787906833248</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Saginaw</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4.134753086419753</v>
      </c>
      <c r="E19" s="72">
        <f t="shared" si="1"/>
        <v>1.4188908659549229</v>
      </c>
      <c r="F19" s="72" t="str">
        <f t="shared" si="1"/>
        <v>--</v>
      </c>
      <c r="G19" s="72" t="str">
        <f t="shared" si="1"/>
        <v>--</v>
      </c>
      <c r="H19" s="72">
        <f t="shared" si="1"/>
        <v>2.1349843819723335</v>
      </c>
      <c r="I19" s="72" t="str">
        <f t="shared" si="1"/>
        <v>--</v>
      </c>
      <c r="J19" s="73">
        <f t="shared" si="1"/>
        <v>3.006695574179763</v>
      </c>
    </row>
    <row r="20" spans="2:10" ht="15" customHeight="1" x14ac:dyDescent="0.25">
      <c r="B20" s="71" t="s">
        <v>9</v>
      </c>
      <c r="C20" s="72">
        <f t="shared" ref="C20:J27" si="2">IF(AND(($D5&gt;0),(D5&gt;0)), (D5/$D5),"--")</f>
        <v>1</v>
      </c>
      <c r="D20" s="72">
        <f t="shared" si="2"/>
        <v>3.5021323690554467</v>
      </c>
      <c r="E20" s="72">
        <f t="shared" si="2"/>
        <v>0.87316360981841412</v>
      </c>
      <c r="F20" s="72" t="str">
        <f t="shared" si="2"/>
        <v>--</v>
      </c>
      <c r="G20" s="72" t="str">
        <f t="shared" si="2"/>
        <v>--</v>
      </c>
      <c r="H20" s="72" t="str">
        <f t="shared" si="2"/>
        <v>--</v>
      </c>
      <c r="I20" s="72" t="str">
        <f t="shared" si="2"/>
        <v>--</v>
      </c>
      <c r="J20" s="73">
        <f t="shared" si="2"/>
        <v>2.7754112992428586</v>
      </c>
    </row>
    <row r="21" spans="2:10" ht="15" customHeight="1" x14ac:dyDescent="0.25">
      <c r="B21" s="71" t="s">
        <v>10</v>
      </c>
      <c r="C21" s="72">
        <f t="shared" si="2"/>
        <v>1</v>
      </c>
      <c r="D21" s="72">
        <f t="shared" si="2"/>
        <v>0.22305361305361304</v>
      </c>
      <c r="E21" s="72">
        <f t="shared" si="2"/>
        <v>0.38697023616952436</v>
      </c>
      <c r="F21" s="72" t="str">
        <f t="shared" si="2"/>
        <v>--</v>
      </c>
      <c r="G21" s="72" t="str">
        <f t="shared" si="2"/>
        <v>--</v>
      </c>
      <c r="H21" s="72" t="str">
        <f t="shared" si="2"/>
        <v>--</v>
      </c>
      <c r="I21" s="72" t="str">
        <f t="shared" si="2"/>
        <v>--</v>
      </c>
      <c r="J21" s="73">
        <f t="shared" si="2"/>
        <v>0.93928175788425672</v>
      </c>
    </row>
    <row r="22" spans="2:10" ht="15" customHeight="1" x14ac:dyDescent="0.25">
      <c r="B22" s="71" t="s">
        <v>11</v>
      </c>
      <c r="C22" s="72">
        <f t="shared" si="2"/>
        <v>1</v>
      </c>
      <c r="D22" s="72">
        <f t="shared" si="2"/>
        <v>5.2096768528275375</v>
      </c>
      <c r="E22" s="72">
        <f t="shared" si="2"/>
        <v>0.99127992005069954</v>
      </c>
      <c r="F22" s="72" t="str">
        <f t="shared" si="2"/>
        <v>--</v>
      </c>
      <c r="G22" s="72" t="str">
        <f t="shared" si="2"/>
        <v>--</v>
      </c>
      <c r="H22" s="72" t="str">
        <f t="shared" si="2"/>
        <v>--</v>
      </c>
      <c r="I22" s="72" t="str">
        <f t="shared" si="2"/>
        <v>--</v>
      </c>
      <c r="J22" s="73">
        <f t="shared" si="2"/>
        <v>4.0640938682624101</v>
      </c>
    </row>
    <row r="23" spans="2:10" ht="15" customHeight="1" x14ac:dyDescent="0.25">
      <c r="B23" s="71" t="s">
        <v>95</v>
      </c>
      <c r="C23" s="72">
        <f t="shared" si="2"/>
        <v>1</v>
      </c>
      <c r="D23" s="72">
        <f t="shared" si="2"/>
        <v>3.5021323690554467</v>
      </c>
      <c r="E23" s="72">
        <f t="shared" si="2"/>
        <v>0.87316360981841412</v>
      </c>
      <c r="F23" s="72" t="str">
        <f t="shared" si="2"/>
        <v>--</v>
      </c>
      <c r="G23" s="72" t="str">
        <f t="shared" si="2"/>
        <v>--</v>
      </c>
      <c r="H23" s="72" t="str">
        <f t="shared" si="2"/>
        <v>--</v>
      </c>
      <c r="I23" s="72" t="str">
        <f t="shared" si="2"/>
        <v>--</v>
      </c>
      <c r="J23" s="73">
        <f t="shared" si="2"/>
        <v>2.7754112992428586</v>
      </c>
    </row>
    <row r="24" spans="2:10" ht="15" customHeight="1" x14ac:dyDescent="0.25">
      <c r="B24" s="71" t="s">
        <v>13</v>
      </c>
      <c r="C24" s="72">
        <f t="shared" si="2"/>
        <v>1</v>
      </c>
      <c r="D24" s="72">
        <f t="shared" si="2"/>
        <v>3.3563255926463476</v>
      </c>
      <c r="E24" s="72">
        <f t="shared" si="2"/>
        <v>0.80314577318203184</v>
      </c>
      <c r="F24" s="72" t="str">
        <f t="shared" si="2"/>
        <v>--</v>
      </c>
      <c r="G24" s="72" t="str">
        <f t="shared" si="2"/>
        <v>--</v>
      </c>
      <c r="H24" s="72" t="str">
        <f t="shared" si="2"/>
        <v>--</v>
      </c>
      <c r="I24" s="72" t="str">
        <f t="shared" si="2"/>
        <v>--</v>
      </c>
      <c r="J24" s="73">
        <f t="shared" si="2"/>
        <v>2.548213178734513</v>
      </c>
    </row>
    <row r="25" spans="2:10" ht="15" customHeight="1" x14ac:dyDescent="0.25">
      <c r="B25" s="71" t="s">
        <v>14</v>
      </c>
      <c r="C25" s="72">
        <f t="shared" si="2"/>
        <v>1</v>
      </c>
      <c r="D25" s="72">
        <f t="shared" si="2"/>
        <v>3.3038436151307438</v>
      </c>
      <c r="E25" s="72">
        <f t="shared" si="2"/>
        <v>0.75861491843134499</v>
      </c>
      <c r="F25" s="72" t="str">
        <f t="shared" si="2"/>
        <v>--</v>
      </c>
      <c r="G25" s="72" t="str">
        <f t="shared" si="2"/>
        <v>--</v>
      </c>
      <c r="H25" s="72" t="str">
        <f t="shared" si="2"/>
        <v>--</v>
      </c>
      <c r="I25" s="72" t="str">
        <f t="shared" si="2"/>
        <v>--</v>
      </c>
      <c r="J25" s="73">
        <f t="shared" si="2"/>
        <v>2.4843803214194624</v>
      </c>
    </row>
    <row r="26" spans="2:10" ht="25.5" customHeight="1" x14ac:dyDescent="0.25">
      <c r="B26" s="71" t="s">
        <v>15</v>
      </c>
      <c r="C26" s="72">
        <f t="shared" si="2"/>
        <v>1</v>
      </c>
      <c r="D26" s="72">
        <f t="shared" si="2"/>
        <v>2.453589743589744</v>
      </c>
      <c r="E26" s="72">
        <f t="shared" si="2"/>
        <v>0.85133451957295381</v>
      </c>
      <c r="F26" s="72" t="str">
        <f t="shared" si="2"/>
        <v>--</v>
      </c>
      <c r="G26" s="72" t="str">
        <f t="shared" si="2"/>
        <v>--</v>
      </c>
      <c r="H26" s="72" t="str">
        <f t="shared" si="2"/>
        <v>--</v>
      </c>
      <c r="I26" s="72" t="str">
        <f t="shared" si="2"/>
        <v>--</v>
      </c>
      <c r="J26" s="73">
        <f t="shared" si="2"/>
        <v>2.3616227055375605</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Saginaw</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9569</v>
      </c>
      <c r="D7" s="105">
        <f>'Data Entry'!D6</f>
        <v>3900</v>
      </c>
      <c r="E7" s="106"/>
      <c r="F7" s="107">
        <f>'Data Entry'!E6</f>
        <v>2248</v>
      </c>
      <c r="G7" s="106"/>
      <c r="H7" s="107">
        <f>'Data Entry'!F6</f>
        <v>252</v>
      </c>
      <c r="I7" s="106"/>
      <c r="J7" s="107">
        <f>'Data Entry'!G6</f>
        <v>0</v>
      </c>
      <c r="K7" s="106"/>
      <c r="L7" s="107">
        <f>'Data Entry'!H6</f>
        <v>83</v>
      </c>
      <c r="M7" s="106"/>
      <c r="N7" s="107">
        <f>'Data Entry'!I6</f>
        <v>0</v>
      </c>
      <c r="O7" s="106"/>
      <c r="P7" s="107">
        <f>'Data Entry'!J6</f>
        <v>6483</v>
      </c>
      <c r="Q7" s="108"/>
    </row>
    <row r="8" spans="2:26" s="1" customFormat="1" ht="15" customHeight="1" x14ac:dyDescent="0.3">
      <c r="B8" s="149" t="s">
        <v>8</v>
      </c>
      <c r="C8" s="104">
        <f>'Data Entry'!C7</f>
        <v>54</v>
      </c>
      <c r="D8" s="105">
        <f>'Data Entry'!D7</f>
        <v>91</v>
      </c>
      <c r="E8" s="106">
        <f>'Black or African-American'!$G7</f>
        <v>4.134753086419753</v>
      </c>
      <c r="F8" s="107">
        <f>'Data Entry'!E7</f>
        <v>18</v>
      </c>
      <c r="G8" s="106">
        <f>Hispanic!G7</f>
        <v>1.4188908659549229</v>
      </c>
      <c r="H8" s="107">
        <f>'Data Entry'!F7</f>
        <v>0</v>
      </c>
      <c r="I8" s="106" t="str">
        <f>Asian!G7</f>
        <v>**</v>
      </c>
      <c r="J8" s="107">
        <f>'Data Entry'!G7</f>
        <v>0</v>
      </c>
      <c r="K8" s="106" t="str">
        <f>Hawaiian!G7</f>
        <v>*</v>
      </c>
      <c r="L8" s="107">
        <f>'Data Entry'!H7</f>
        <v>1</v>
      </c>
      <c r="M8" s="106" t="str">
        <f>'Am Indian'!G7</f>
        <v>*</v>
      </c>
      <c r="N8" s="107">
        <f>'Data Entry'!I7</f>
        <v>0</v>
      </c>
      <c r="O8" s="106" t="str">
        <f>'Other - Mixed'!G7</f>
        <v>*</v>
      </c>
      <c r="P8" s="107">
        <f>'Data Entry'!J7</f>
        <v>110</v>
      </c>
      <c r="Q8" s="108">
        <f>'All Minorities'!G7</f>
        <v>3.0066955741797643</v>
      </c>
      <c r="R8"/>
      <c r="T8" s="1">
        <f>'Black or African-American'!L7</f>
        <v>1</v>
      </c>
      <c r="U8" s="1">
        <f>Hispanic!L7</f>
        <v>2</v>
      </c>
      <c r="V8" s="1">
        <f>Asian!L7</f>
        <v>40</v>
      </c>
      <c r="W8" s="1" t="e">
        <f>Hawaiian!L7</f>
        <v>#VALUE!</v>
      </c>
      <c r="X8" s="1">
        <f>'Am Indian'!L7</f>
        <v>139</v>
      </c>
      <c r="Y8" s="1" t="e">
        <f>'Other - Mixed'!L7</f>
        <v>#VALUE!</v>
      </c>
      <c r="Z8" s="1">
        <f>'All Minorities'!L7</f>
        <v>1</v>
      </c>
    </row>
    <row r="9" spans="2:26" s="1" customFormat="1" ht="15" customHeight="1" x14ac:dyDescent="0.3">
      <c r="B9" s="149" t="s">
        <v>126</v>
      </c>
      <c r="C9" s="104">
        <f>'Data Entry'!C8</f>
        <v>117</v>
      </c>
      <c r="D9" s="109">
        <f>'Data Entry'!D8</f>
        <v>167</v>
      </c>
      <c r="E9" s="110">
        <f>'Black or African-American'!$G8</f>
        <v>0.84699915469146236</v>
      </c>
      <c r="F9" s="111">
        <f>'Data Entry'!E8</f>
        <v>24</v>
      </c>
      <c r="G9" s="110" t="str">
        <f>Hispanic!G8</f>
        <v>**</v>
      </c>
      <c r="H9" s="111">
        <f>'Data Entry'!F8</f>
        <v>0</v>
      </c>
      <c r="I9" s="110" t="str">
        <f>Asian!G8</f>
        <v>**</v>
      </c>
      <c r="J9" s="111">
        <f>'Data Entry'!G8</f>
        <v>0</v>
      </c>
      <c r="K9" s="110" t="str">
        <f>Hawaiian!G8</f>
        <v>*</v>
      </c>
      <c r="L9" s="111">
        <f>'Data Entry'!H8</f>
        <v>0</v>
      </c>
      <c r="M9" s="110" t="str">
        <f>'Am Indian'!G8</f>
        <v>*</v>
      </c>
      <c r="N9" s="111">
        <f>'Data Entry'!I8</f>
        <v>29</v>
      </c>
      <c r="O9" s="110" t="str">
        <f>'Other - Mixed'!G8</f>
        <v>*</v>
      </c>
      <c r="P9" s="111">
        <f>'Data Entry'!J8</f>
        <v>220</v>
      </c>
      <c r="Q9" s="112">
        <f>'All Minorities'!G8</f>
        <v>0.92307692307692302</v>
      </c>
      <c r="R9"/>
      <c r="T9" s="1">
        <f>'Black or African-American'!L8</f>
        <v>2</v>
      </c>
      <c r="U9" s="1">
        <f>Hispanic!L8</f>
        <v>20</v>
      </c>
      <c r="V9" s="1">
        <f>Asian!L8</f>
        <v>40</v>
      </c>
      <c r="W9" s="1">
        <f>Hawaiian!L8</f>
        <v>139</v>
      </c>
      <c r="X9" s="1">
        <f>'Am Indian'!L8</f>
        <v>139</v>
      </c>
      <c r="Y9" s="1">
        <f>'Other - Mixed'!L8</f>
        <v>119</v>
      </c>
      <c r="Z9" s="1">
        <f>'All Minorities'!L8</f>
        <v>2</v>
      </c>
    </row>
    <row r="10" spans="2:26" s="1" customFormat="1" ht="15" customHeight="1" x14ac:dyDescent="0.3">
      <c r="B10" s="149" t="s">
        <v>10</v>
      </c>
      <c r="C10" s="104">
        <f>'Data Entry'!C9</f>
        <v>11</v>
      </c>
      <c r="D10" s="113">
        <f>'Data Entry'!D9</f>
        <v>1</v>
      </c>
      <c r="E10" s="114" t="str">
        <f>'Black or African-American'!$G9</f>
        <v>**</v>
      </c>
      <c r="F10" s="115">
        <f>'Data Entry'!E9</f>
        <v>1</v>
      </c>
      <c r="G10" s="114" t="str">
        <f>Hispanic!G9</f>
        <v>**</v>
      </c>
      <c r="H10" s="115">
        <f>'Data Entry'!F9</f>
        <v>0</v>
      </c>
      <c r="I10" s="114" t="str">
        <f>Asian!G9</f>
        <v>--</v>
      </c>
      <c r="J10" s="115">
        <f>'Data Entry'!G9</f>
        <v>0</v>
      </c>
      <c r="K10" s="114" t="str">
        <f>Hawaiian!G9</f>
        <v>*</v>
      </c>
      <c r="L10" s="115">
        <f>'Data Entry'!H9</f>
        <v>0</v>
      </c>
      <c r="M10" s="114" t="str">
        <f>'Am Indian'!G9</f>
        <v>*</v>
      </c>
      <c r="N10" s="115">
        <f>'Data Entry'!I9</f>
        <v>5</v>
      </c>
      <c r="O10" s="114" t="str">
        <f>'Other - Mixed'!G9</f>
        <v>*</v>
      </c>
      <c r="P10" s="115">
        <f>'Data Entry'!J9</f>
        <v>7</v>
      </c>
      <c r="Q10" s="116">
        <f>'All Minorities'!G9</f>
        <v>0.3384297520661157</v>
      </c>
      <c r="R10"/>
      <c r="T10" s="1">
        <f>'Black or African-American'!L9</f>
        <v>20</v>
      </c>
      <c r="U10" s="1">
        <f>Hispanic!L9</f>
        <v>40</v>
      </c>
      <c r="V10" s="1" t="e">
        <f>Asian!L9</f>
        <v>#VALUE!</v>
      </c>
      <c r="W10" s="1" t="e">
        <f>Hawaiian!L9</f>
        <v>#VALUE!</v>
      </c>
      <c r="X10" s="1" t="e">
        <f>'Am Indian'!L9</f>
        <v>#VALUE!</v>
      </c>
      <c r="Y10" s="1">
        <f>'Other - Mixed'!L9</f>
        <v>139</v>
      </c>
      <c r="Z10" s="1">
        <f>'All Minorities'!L9</f>
        <v>1</v>
      </c>
    </row>
    <row r="11" spans="2:26" s="1" customFormat="1" ht="15" customHeight="1" x14ac:dyDescent="0.3">
      <c r="B11" s="149" t="s">
        <v>11</v>
      </c>
      <c r="C11" s="104">
        <f>'Data Entry'!C10</f>
        <v>73</v>
      </c>
      <c r="D11" s="109">
        <f>'Data Entry'!D10</f>
        <v>155</v>
      </c>
      <c r="E11" s="110">
        <f>'Black or African-American'!$G10</f>
        <v>1.4875727996062669</v>
      </c>
      <c r="F11" s="111">
        <f>'Data Entry'!E10</f>
        <v>17</v>
      </c>
      <c r="G11" s="110" t="str">
        <f>Hispanic!G10</f>
        <v>**</v>
      </c>
      <c r="H11" s="111">
        <f>'Data Entry'!F10</f>
        <v>0</v>
      </c>
      <c r="I11" s="110" t="str">
        <f>Asian!G10</f>
        <v>--</v>
      </c>
      <c r="J11" s="111">
        <f>'Data Entry'!G10</f>
        <v>0</v>
      </c>
      <c r="K11" s="110" t="str">
        <f>Hawaiian!G10</f>
        <v>*</v>
      </c>
      <c r="L11" s="111">
        <f>'Data Entry'!H10</f>
        <v>0</v>
      </c>
      <c r="M11" s="110" t="str">
        <f>'Am Indian'!G10</f>
        <v>*</v>
      </c>
      <c r="N11" s="111">
        <f>'Data Entry'!I10</f>
        <v>29</v>
      </c>
      <c r="O11" s="110" t="str">
        <f>'Other - Mixed'!G10</f>
        <v>*</v>
      </c>
      <c r="P11" s="111">
        <f>'Data Entry'!J10</f>
        <v>201</v>
      </c>
      <c r="Q11" s="112">
        <f>'All Minorities'!G10</f>
        <v>1.4643212951432127</v>
      </c>
      <c r="R11"/>
      <c r="T11" s="1">
        <f>'Black or African-American'!L10</f>
        <v>1</v>
      </c>
      <c r="U11" s="1">
        <f>Hispanic!L10</f>
        <v>40</v>
      </c>
      <c r="V11" s="1" t="e">
        <f>Asian!L10</f>
        <v>#VALUE!</v>
      </c>
      <c r="W11" s="1" t="e">
        <f>Hawaiian!L10</f>
        <v>#VALUE!</v>
      </c>
      <c r="X11" s="1" t="e">
        <f>'Am Indian'!L10</f>
        <v>#VALUE!</v>
      </c>
      <c r="Y11" s="1">
        <f>'Other - Mixed'!L10</f>
        <v>119</v>
      </c>
      <c r="Z11" s="1">
        <f>'All Minorities'!L10</f>
        <v>1</v>
      </c>
    </row>
    <row r="12" spans="2:26" s="1" customFormat="1" ht="15" customHeight="1" x14ac:dyDescent="0.3">
      <c r="B12" s="149" t="s">
        <v>95</v>
      </c>
      <c r="C12" s="104">
        <f>'Data Entry'!C11</f>
        <v>117</v>
      </c>
      <c r="D12" s="113">
        <f>'Data Entry'!D11</f>
        <v>167</v>
      </c>
      <c r="E12" s="114" t="str">
        <f>'Black or African-American'!$G11</f>
        <v>--</v>
      </c>
      <c r="F12" s="115">
        <f>'Data Entry'!E11</f>
        <v>24</v>
      </c>
      <c r="G12" s="114" t="str">
        <f>Hispanic!G11</f>
        <v>--</v>
      </c>
      <c r="H12" s="115">
        <f>'Data Entry'!F11</f>
        <v>0</v>
      </c>
      <c r="I12" s="114" t="str">
        <f>Asian!G11</f>
        <v>--</v>
      </c>
      <c r="J12" s="115">
        <f>'Data Entry'!G11</f>
        <v>0</v>
      </c>
      <c r="K12" s="114" t="str">
        <f>Hawaiian!G11</f>
        <v>*</v>
      </c>
      <c r="L12" s="115">
        <f>'Data Entry'!H11</f>
        <v>0</v>
      </c>
      <c r="M12" s="114" t="str">
        <f>'Am Indian'!G11</f>
        <v>*</v>
      </c>
      <c r="N12" s="115">
        <f>'Data Entry'!I11</f>
        <v>29</v>
      </c>
      <c r="O12" s="114" t="str">
        <f>'Other - Mixed'!G11</f>
        <v>*</v>
      </c>
      <c r="P12" s="115">
        <f>'Data Entry'!J11</f>
        <v>220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106</v>
      </c>
      <c r="D13" s="109">
        <f>'Data Entry'!D12</f>
        <v>145</v>
      </c>
      <c r="E13" s="110">
        <f>'Black or African-American'!$G12</f>
        <v>0.95836628629533382</v>
      </c>
      <c r="F13" s="111">
        <f>'Data Entry'!E12</f>
        <v>20</v>
      </c>
      <c r="G13" s="110" t="str">
        <f>Hispanic!G12</f>
        <v>**</v>
      </c>
      <c r="H13" s="111">
        <f>'Data Entry'!F12</f>
        <v>0</v>
      </c>
      <c r="I13" s="110" t="str">
        <f>Asian!G12</f>
        <v>--</v>
      </c>
      <c r="J13" s="111">
        <f>'Data Entry'!G12</f>
        <v>0</v>
      </c>
      <c r="K13" s="110" t="str">
        <f>Hawaiian!G12</f>
        <v>*</v>
      </c>
      <c r="L13" s="111">
        <f>'Data Entry'!H12</f>
        <v>0</v>
      </c>
      <c r="M13" s="110" t="str">
        <f>'Am Indian'!G12</f>
        <v>*</v>
      </c>
      <c r="N13" s="111">
        <f>'Data Entry'!I12</f>
        <v>18</v>
      </c>
      <c r="O13" s="110" t="str">
        <f>'Other - Mixed'!G12</f>
        <v>*</v>
      </c>
      <c r="P13" s="111">
        <f>'Data Entry'!J12</f>
        <v>183</v>
      </c>
      <c r="Q13" s="112">
        <f>'All Minorities'!G12</f>
        <v>0.91813893653516276</v>
      </c>
      <c r="R13"/>
      <c r="T13" s="1">
        <f>'Black or African-American'!L12</f>
        <v>2</v>
      </c>
      <c r="U13" s="1">
        <f>Hispanic!L12</f>
        <v>40</v>
      </c>
      <c r="V13" s="1" t="e">
        <f>Asian!L12</f>
        <v>#VALUE!</v>
      </c>
      <c r="W13" s="1" t="e">
        <f>Hawaiian!L12</f>
        <v>#VALUE!</v>
      </c>
      <c r="X13" s="1" t="e">
        <f>'Am Indian'!L12</f>
        <v>#VALUE!</v>
      </c>
      <c r="Y13" s="1">
        <f>'Other - Mixed'!L12</f>
        <v>119</v>
      </c>
      <c r="Z13" s="1">
        <f>'All Minorities'!L12</f>
        <v>2</v>
      </c>
    </row>
    <row r="14" spans="2:26" s="1" customFormat="1" ht="15" customHeight="1" x14ac:dyDescent="0.3">
      <c r="B14" s="149" t="s">
        <v>125</v>
      </c>
      <c r="C14" s="104">
        <f>'Data Entry'!C13</f>
        <v>101</v>
      </c>
      <c r="D14" s="113">
        <f>'Data Entry'!D13</f>
        <v>136</v>
      </c>
      <c r="E14" s="114">
        <f>'Black or African-American'!$G13</f>
        <v>0.98436326391259832</v>
      </c>
      <c r="F14" s="115">
        <f>'Data Entry'!E13</f>
        <v>18</v>
      </c>
      <c r="G14" s="114" t="str">
        <f>Hispanic!G13</f>
        <v>**</v>
      </c>
      <c r="H14" s="115">
        <f>'Data Entry'!F13</f>
        <v>0</v>
      </c>
      <c r="I14" s="114" t="str">
        <f>Asian!G13</f>
        <v>--</v>
      </c>
      <c r="J14" s="115">
        <f>'Data Entry'!G13</f>
        <v>0</v>
      </c>
      <c r="K14" s="114" t="str">
        <f>Hawaiian!G13</f>
        <v>*</v>
      </c>
      <c r="L14" s="115">
        <f>'Data Entry'!H13</f>
        <v>0</v>
      </c>
      <c r="M14" s="114" t="str">
        <f>'Am Indian'!G13</f>
        <v>*</v>
      </c>
      <c r="N14" s="115">
        <f>'Data Entry'!I13</f>
        <v>16</v>
      </c>
      <c r="O14" s="114" t="str">
        <f>'Other - Mixed'!G13</f>
        <v>*</v>
      </c>
      <c r="P14" s="115">
        <f>'Data Entry'!J13</f>
        <v>170</v>
      </c>
      <c r="Q14" s="116">
        <f>'All Minorities'!G13</f>
        <v>0.97494995401179452</v>
      </c>
      <c r="R14"/>
      <c r="T14" s="1">
        <f>'Black or African-American'!L13</f>
        <v>2</v>
      </c>
      <c r="U14" s="1">
        <f>Hispanic!L13</f>
        <v>40</v>
      </c>
      <c r="V14" s="1" t="e">
        <f>Asian!L13</f>
        <v>#VALUE!</v>
      </c>
      <c r="W14" s="1" t="e">
        <f>Hawaiian!L13</f>
        <v>#VALUE!</v>
      </c>
      <c r="X14" s="1" t="e">
        <f>'Am Indian'!L13</f>
        <v>#VALUE!</v>
      </c>
      <c r="Y14" s="1">
        <f>'Other - Mixed'!L13</f>
        <v>139</v>
      </c>
      <c r="Z14" s="1">
        <f>'All Minorities'!L13</f>
        <v>2</v>
      </c>
    </row>
    <row r="15" spans="2:26" s="1" customFormat="1" ht="33" x14ac:dyDescent="0.3">
      <c r="B15" s="151" t="s">
        <v>115</v>
      </c>
      <c r="C15" s="104">
        <f>'Data Entry'!C14</f>
        <v>5</v>
      </c>
      <c r="D15" s="109">
        <f>'Data Entry'!D14</f>
        <v>5</v>
      </c>
      <c r="E15" s="110" t="str">
        <f>'Black or African-American'!$G14</f>
        <v>**</v>
      </c>
      <c r="F15" s="111">
        <f>'Data Entry'!E14</f>
        <v>1</v>
      </c>
      <c r="G15" s="110" t="str">
        <f>Hispanic!G14</f>
        <v>**</v>
      </c>
      <c r="H15" s="111">
        <f>'Data Entry'!F14</f>
        <v>0</v>
      </c>
      <c r="I15" s="110" t="str">
        <f>Asian!G14</f>
        <v>--</v>
      </c>
      <c r="J15" s="111">
        <f>'Data Entry'!G14</f>
        <v>0</v>
      </c>
      <c r="K15" s="110" t="str">
        <f>Hawaiian!G14</f>
        <v>*</v>
      </c>
      <c r="L15" s="111">
        <f>'Data Entry'!H14</f>
        <v>0</v>
      </c>
      <c r="M15" s="110" t="str">
        <f>'Am Indian'!G14</f>
        <v>*</v>
      </c>
      <c r="N15" s="111">
        <f>'Data Entry'!I14</f>
        <v>2</v>
      </c>
      <c r="O15" s="110" t="str">
        <f>'Other - Mixed'!G14</f>
        <v>*</v>
      </c>
      <c r="P15" s="111">
        <f>'Data Entry'!J14</f>
        <v>8</v>
      </c>
      <c r="Q15" s="112"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5</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5</v>
      </c>
      <c r="Q16" s="120"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Saginaw County Juvenile Court</v>
      </c>
      <c r="E27" s="1" t="str">
        <f>'Data Entry'!D20</f>
        <v>Item 4.Diversion: Saginaw County Juvenile Court</v>
      </c>
      <c r="I27" s="97"/>
      <c r="J27" s="97"/>
    </row>
    <row r="28" spans="2:18" ht="12.75" customHeight="1" x14ac:dyDescent="0.25">
      <c r="B28" s="1" t="str">
        <f>'Data Entry'!A21</f>
        <v>Item 5.Detention: Saginaw County Juvenile Court</v>
      </c>
      <c r="E28" s="1" t="str">
        <f>'Data Entry'!D21</f>
        <v>Item 6.Petitioned: Saginaw County Juvenile Court</v>
      </c>
      <c r="I28" s="97"/>
      <c r="J28" s="97"/>
    </row>
    <row r="29" spans="2:18" ht="12.75" customHeight="1" x14ac:dyDescent="0.25">
      <c r="B29" s="1" t="str">
        <f>'Data Entry'!A22</f>
        <v>Item 7.Delinquent: Saginaw County Juvenile Court</v>
      </c>
      <c r="E29" s="1" t="str">
        <f>'Data Entry'!D22</f>
        <v>Item 8.Probation: Saginaw County Juvenile Court</v>
      </c>
      <c r="I29" s="97"/>
      <c r="J29" s="97"/>
    </row>
    <row r="30" spans="2:18" ht="12.75" customHeight="1" x14ac:dyDescent="0.25">
      <c r="B30" s="1" t="str">
        <f>'Data Entry'!A23</f>
        <v>Item 9.Confinement: Saginaw County Juvenile Court</v>
      </c>
      <c r="E30" s="1" t="str">
        <f>'Data Entry'!D23</f>
        <v>Item 10.Transferred: Saginaw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Saginaw</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Saginaw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N=5</v>
      </c>
      <c r="B7" s="157">
        <f>'Data Entry'!D15/'Data Entry'!B15</f>
        <v>1</v>
      </c>
      <c r="C7" s="157">
        <f>'Data Entry'!E15/'Data Entry'!B15</f>
        <v>0</v>
      </c>
      <c r="D7" s="157">
        <f>'Data Entry'!F15/'Data Entry'!B15</f>
        <v>0</v>
      </c>
      <c r="E7" s="157">
        <f>'Data Entry'!G15/'Data Entry'!B15</f>
        <v>0</v>
      </c>
      <c r="F7" s="157">
        <f>'Data Entry'!H15/'Data Entry'!B15</f>
        <v>0</v>
      </c>
      <c r="G7" s="157">
        <f>'Data Entry'!I15/'Data Entry'!B15</f>
        <v>0</v>
      </c>
      <c r="H7" s="157">
        <f>SUM(D7:G7)/'Data Entry'!B15</f>
        <v>0</v>
      </c>
      <c r="I7" s="157">
        <f>'Data Entry'!C15/'Data Entry'!B15</f>
        <v>0</v>
      </c>
      <c r="K7" s="97" t="str">
        <f t="shared" ref="K7:K14" si="0">A7</f>
        <v>Waivers, total N=5</v>
      </c>
      <c r="L7">
        <f>I14/(SUM(B14:G14))</f>
        <v>1.4760141909609747</v>
      </c>
    </row>
    <row r="8" spans="1:12" ht="25.5" customHeight="1" x14ac:dyDescent="0.2">
      <c r="A8" s="158" t="str">
        <f>CONCATENATE("Confinement, total N=", 'Data Entry'!B14)</f>
        <v>Confinement, total N=13</v>
      </c>
      <c r="B8" s="157">
        <f>'Data Entry'!D14/'Data Entry'!B14</f>
        <v>0.38461538461538464</v>
      </c>
      <c r="C8" s="157">
        <f>'Data Entry'!E14/'Data Entry'!B14</f>
        <v>7.6923076923076927E-2</v>
      </c>
      <c r="D8" s="157">
        <f>'Data Entry'!F14/'Data Entry'!B14</f>
        <v>0</v>
      </c>
      <c r="E8" s="157">
        <f>'Data Entry'!G14/'Data Entry'!B14</f>
        <v>0</v>
      </c>
      <c r="F8" s="157">
        <f>'Data Entry'!H14/'Data Entry'!B14</f>
        <v>0</v>
      </c>
      <c r="G8" s="157">
        <f>'Data Entry'!I14/'Data Entry'!B14</f>
        <v>0.15384615384615385</v>
      </c>
      <c r="H8" s="157">
        <f>SUM(D8:G8)/'Data Entry'!B14</f>
        <v>1.183431952662722E-2</v>
      </c>
      <c r="I8" s="157">
        <f>'Data Entry'!C14/'Data Entry'!B14</f>
        <v>0.38461538461538464</v>
      </c>
      <c r="K8" s="97" t="str">
        <f>A8</f>
        <v>Confinement, total N=13</v>
      </c>
      <c r="L8">
        <f>I14/(SUM(B14:G14))</f>
        <v>1.4760141909609747</v>
      </c>
    </row>
    <row r="9" spans="1:12" x14ac:dyDescent="0.2">
      <c r="A9" s="132" t="str">
        <f>CONCATENATE("Delinquent Findings, total N=", 'Data Entry'!B12)</f>
        <v>Delinquent Findings, total N=289</v>
      </c>
      <c r="B9" s="157">
        <f>'Data Entry'!D12/'Data Entry'!B12</f>
        <v>0.5017301038062284</v>
      </c>
      <c r="C9" s="157">
        <f>'Data Entry'!E12/'Data Entry'!B12</f>
        <v>6.9204152249134954E-2</v>
      </c>
      <c r="D9" s="157">
        <f>'Data Entry'!F12/'Data Entry'!B12</f>
        <v>0</v>
      </c>
      <c r="E9" s="157">
        <f>'Data Entry'!G12/'Data Entry'!B12</f>
        <v>0</v>
      </c>
      <c r="F9" s="157">
        <f>'Data Entry'!H12/'Data Entry'!B12</f>
        <v>0</v>
      </c>
      <c r="G9" s="157">
        <f>'Data Entry'!I12/'Data Entry'!B12</f>
        <v>6.228373702422145E-2</v>
      </c>
      <c r="H9" s="157">
        <f>SUM(D9:G9)/'Data Entry'!B12</f>
        <v>2.1551466098346524E-4</v>
      </c>
      <c r="I9" s="157">
        <f>'Data Entry'!C12/'Data Entry'!B12</f>
        <v>0.36678200692041524</v>
      </c>
      <c r="K9" s="97" t="str">
        <f t="shared" si="0"/>
        <v>Delinquent Findings, total N=289</v>
      </c>
      <c r="L9">
        <f>I14/(SUM(B14:G14))</f>
        <v>1.4760141909609747</v>
      </c>
    </row>
    <row r="10" spans="1:12" x14ac:dyDescent="0.2">
      <c r="A10" s="132" t="str">
        <f>CONCATENATE("Petitions, total N=", 'Data Entry'!B11)</f>
        <v>Petitions, total N=338</v>
      </c>
      <c r="B10" s="157">
        <f>'Data Entry'!D11/'Data Entry'!B11</f>
        <v>0.49408284023668642</v>
      </c>
      <c r="C10" s="157">
        <f>'Data Entry'!E11/'Data Entry'!B11</f>
        <v>7.1005917159763315E-2</v>
      </c>
      <c r="D10" s="157">
        <f>'Data Entry'!F11/'Data Entry'!B11</f>
        <v>0</v>
      </c>
      <c r="E10" s="157">
        <f>'Data Entry'!G11/'Data Entry'!B11</f>
        <v>0</v>
      </c>
      <c r="F10" s="157">
        <f>'Data Entry'!H11/'Data Entry'!B11</f>
        <v>0</v>
      </c>
      <c r="G10" s="157">
        <f>'Data Entry'!I11/'Data Entry'!B11</f>
        <v>8.5798816568047331E-2</v>
      </c>
      <c r="H10" s="157">
        <f>SUM(D10:G10)/'Data Entry'!B11</f>
        <v>2.5384265256818737E-4</v>
      </c>
      <c r="I10" s="157">
        <f>'Data Entry'!C11/'Data Entry'!B11</f>
        <v>0.34615384615384615</v>
      </c>
      <c r="K10" s="97" t="str">
        <f t="shared" si="0"/>
        <v>Petitions, total N=338</v>
      </c>
      <c r="L10">
        <f>I14/(SUM(B14:G14))</f>
        <v>1.4760141909609747</v>
      </c>
    </row>
    <row r="11" spans="1:12" x14ac:dyDescent="0.2">
      <c r="A11" s="132" t="str">
        <f>CONCATENATE("Detentions, total N=", 'Data Entry'!B10)</f>
        <v>Detentions, total N=274</v>
      </c>
      <c r="B11" s="157">
        <f>'Data Entry'!D10/'Data Entry'!B10</f>
        <v>0.56569343065693434</v>
      </c>
      <c r="C11" s="157">
        <f>'Data Entry'!E10/'Data Entry'!B10</f>
        <v>6.2043795620437957E-2</v>
      </c>
      <c r="D11" s="157">
        <f>'Data Entry'!F10/'Data Entry'!B10</f>
        <v>0</v>
      </c>
      <c r="E11" s="157">
        <f>'Data Entry'!G10/'Data Entry'!B10</f>
        <v>0</v>
      </c>
      <c r="F11" s="157">
        <f>'Data Entry'!H10/'Data Entry'!B10</f>
        <v>0</v>
      </c>
      <c r="G11" s="157">
        <f>'Data Entry'!I10/'Data Entry'!B10</f>
        <v>0.10583941605839416</v>
      </c>
      <c r="H11" s="157">
        <f>SUM(D11:G11)/'Data Entry'!B10</f>
        <v>3.8627524108902976E-4</v>
      </c>
      <c r="I11" s="157">
        <f>'Data Entry'!C10/'Data Entry'!B10</f>
        <v>0.26642335766423358</v>
      </c>
      <c r="K11" s="97" t="str">
        <f t="shared" si="0"/>
        <v>Detentions, total N=274</v>
      </c>
      <c r="L11">
        <f>I14/(SUM(B14:G14))</f>
        <v>1.4760141909609747</v>
      </c>
    </row>
    <row r="12" spans="1:12" x14ac:dyDescent="0.2">
      <c r="A12" s="132" t="str">
        <f>CONCATENATE("Referrals, total N=", 'Data Entry'!B8)</f>
        <v>Referrals, total N=338</v>
      </c>
      <c r="B12" s="157">
        <f>'Data Entry'!D8/'Data Entry'!B8</f>
        <v>0.49408284023668642</v>
      </c>
      <c r="C12" s="157">
        <f>'Data Entry'!E8/'Data Entry'!B8</f>
        <v>7.1005917159763315E-2</v>
      </c>
      <c r="D12" s="157">
        <f>'Data Entry'!F8/'Data Entry'!B8</f>
        <v>0</v>
      </c>
      <c r="E12" s="157">
        <f>'Data Entry'!G8/'Data Entry'!B8</f>
        <v>0</v>
      </c>
      <c r="F12" s="157">
        <f>'Data Entry'!H8/'Data Entry'!B8</f>
        <v>0</v>
      </c>
      <c r="G12" s="157">
        <f>'Data Entry'!I8/'Data Entry'!B8</f>
        <v>8.5798816568047331E-2</v>
      </c>
      <c r="H12" s="157">
        <f>SUM(D12:G12)/'Data Entry'!B8</f>
        <v>2.5384265256818737E-4</v>
      </c>
      <c r="I12" s="157">
        <f>'Data Entry'!C8/'Data Entry'!B8</f>
        <v>0.34615384615384615</v>
      </c>
      <c r="K12" s="97" t="str">
        <f t="shared" si="0"/>
        <v>Referrals, total N=338</v>
      </c>
      <c r="L12">
        <f>I14/(SUM(B14:G14))</f>
        <v>1.4760141909609747</v>
      </c>
    </row>
    <row r="13" spans="1:12" x14ac:dyDescent="0.2">
      <c r="A13" s="132" t="str">
        <f>CONCATENATE("Arrests, total N=", 'Data Entry'!B7)</f>
        <v>Arrests, total N=165</v>
      </c>
      <c r="B13" s="157">
        <f>'Data Entry'!D7/'Data Entry'!B7</f>
        <v>0.55151515151515151</v>
      </c>
      <c r="C13" s="157">
        <f>'Data Entry'!E7/'Data Entry'!B7</f>
        <v>0.10909090909090909</v>
      </c>
      <c r="D13" s="157">
        <f>'Data Entry'!F7/'Data Entry'!B7</f>
        <v>0</v>
      </c>
      <c r="E13" s="157">
        <f>'Data Entry'!G7/'Data Entry'!B7</f>
        <v>0</v>
      </c>
      <c r="F13" s="157">
        <f>'Data Entry'!H7/'Data Entry'!B7</f>
        <v>6.0606060606060606E-3</v>
      </c>
      <c r="G13" s="157">
        <f>'Data Entry'!I7/'Data Entry'!B7</f>
        <v>0</v>
      </c>
      <c r="H13" s="157">
        <f>SUM(D13:G13)/'Data Entry'!B7</f>
        <v>3.6730945821854914E-5</v>
      </c>
      <c r="I13" s="157">
        <f>'Data Entry'!C7/'Data Entry'!B7</f>
        <v>0.32727272727272727</v>
      </c>
      <c r="K13" s="97" t="str">
        <f t="shared" si="0"/>
        <v>Arrests, total N=165</v>
      </c>
      <c r="L13">
        <f>I14/(SUM(B14:G14))</f>
        <v>1.4760141909609747</v>
      </c>
    </row>
    <row r="14" spans="1:12" x14ac:dyDescent="0.2">
      <c r="A14" s="132" t="str">
        <f>CONCATENATE("Population, total N=", 'Data Entry'!B6)</f>
        <v>Population, total N=16052</v>
      </c>
      <c r="B14" s="157">
        <f>'Data Entry'!D6/'Data Entry'!B6</f>
        <v>0.24296037876900076</v>
      </c>
      <c r="C14" s="157">
        <f>'Data Entry'!E6/'Data Entry'!B6</f>
        <v>0.14004485422377275</v>
      </c>
      <c r="D14" s="157">
        <f>'Data Entry'!F6/'Data Entry'!B6</f>
        <v>1.5698978320458509E-2</v>
      </c>
      <c r="E14" s="157">
        <f>'Data Entry'!G6/'Data Entry'!B6</f>
        <v>0</v>
      </c>
      <c r="F14" s="157">
        <f>'Data Entry'!H6/'Data Entry'!B6</f>
        <v>5.1706952404684771E-3</v>
      </c>
      <c r="G14" s="157">
        <f>'Data Entry'!I6/'Data Entry'!B6</f>
        <v>0</v>
      </c>
      <c r="H14" s="157">
        <f>SUM(D14:G14)/'Data Entry'!B6</f>
        <v>1.3001291777303132E-6</v>
      </c>
      <c r="I14" s="157">
        <f>'Data Entry'!C6/'Data Entry'!B6</f>
        <v>0.59612509344629949</v>
      </c>
      <c r="K14" s="97" t="str">
        <f t="shared" si="0"/>
        <v>Population, total N=16052</v>
      </c>
      <c r="L14">
        <f>I14/(SUM(B14:G14))</f>
        <v>1.4760141909609747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Saginaw</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9569</v>
      </c>
      <c r="D7" s="105">
        <f>'Data Entry'!D6</f>
        <v>3900</v>
      </c>
      <c r="E7" s="106"/>
      <c r="F7" s="107">
        <f>'Data Entry'!E6</f>
        <v>2248</v>
      </c>
      <c r="G7" s="106"/>
      <c r="H7" s="107">
        <f>'Data Entry'!F6</f>
        <v>252</v>
      </c>
      <c r="I7" s="106"/>
      <c r="J7" s="107">
        <f>'Data Entry'!J6</f>
        <v>6483</v>
      </c>
      <c r="K7" s="108"/>
    </row>
    <row r="8" spans="2:30" s="1" customFormat="1" ht="15" customHeight="1" x14ac:dyDescent="0.3">
      <c r="B8" s="125" t="s">
        <v>8</v>
      </c>
      <c r="C8" s="104">
        <f>'Data Entry'!C7</f>
        <v>54</v>
      </c>
      <c r="D8" s="105">
        <f>'Data Entry'!D7</f>
        <v>91</v>
      </c>
      <c r="E8" s="106">
        <f>'Black or African-American'!$G7</f>
        <v>4.134753086419753</v>
      </c>
      <c r="F8" s="107">
        <f>'Data Entry'!E7</f>
        <v>18</v>
      </c>
      <c r="G8" s="106">
        <f>Hispanic!G7</f>
        <v>1.4188908659549229</v>
      </c>
      <c r="H8" s="107">
        <f>'Data Entry'!F7</f>
        <v>0</v>
      </c>
      <c r="I8" s="106" t="str">
        <f>Asian!G7</f>
        <v>**</v>
      </c>
      <c r="J8" s="107">
        <f>'Data Entry'!J7</f>
        <v>110</v>
      </c>
      <c r="K8" s="108">
        <f>'All Minorities'!G7</f>
        <v>3.0066955741797643</v>
      </c>
      <c r="L8"/>
      <c r="N8" s="1">
        <f>'Black or African-American'!L7</f>
        <v>1</v>
      </c>
      <c r="O8" s="1">
        <f>Hispanic!L7</f>
        <v>2</v>
      </c>
      <c r="P8" s="1">
        <f>Asian!L7</f>
        <v>40</v>
      </c>
      <c r="Q8" s="1" t="e">
        <f>Hawaiian!L7</f>
        <v>#VALUE!</v>
      </c>
      <c r="R8" s="1">
        <f>'Am Indian'!L7</f>
        <v>139</v>
      </c>
      <c r="S8" s="1" t="e">
        <f>'Other - Mixed'!L7</f>
        <v>#VALUE!</v>
      </c>
      <c r="T8" s="1">
        <f>'All Minorities'!L7</f>
        <v>1</v>
      </c>
    </row>
    <row r="9" spans="2:30" s="1" customFormat="1" ht="15" customHeight="1" x14ac:dyDescent="0.3">
      <c r="B9" s="125" t="s">
        <v>126</v>
      </c>
      <c r="C9" s="104">
        <f>'Data Entry'!C8</f>
        <v>117</v>
      </c>
      <c r="D9" s="109">
        <f>'Data Entry'!D8</f>
        <v>167</v>
      </c>
      <c r="E9" s="110">
        <f>'Black or African-American'!$G8</f>
        <v>0.84699915469146236</v>
      </c>
      <c r="F9" s="111">
        <f>'Data Entry'!E8</f>
        <v>24</v>
      </c>
      <c r="G9" s="110" t="str">
        <f>Hispanic!G8</f>
        <v>**</v>
      </c>
      <c r="H9" s="111">
        <f>'Data Entry'!F8</f>
        <v>0</v>
      </c>
      <c r="I9" s="110" t="str">
        <f>Asian!G8</f>
        <v>**</v>
      </c>
      <c r="J9" s="111">
        <f>'Data Entry'!J8</f>
        <v>220</v>
      </c>
      <c r="K9" s="112">
        <f>'All Minorities'!G8</f>
        <v>0.92307692307692302</v>
      </c>
      <c r="L9"/>
      <c r="N9" s="1">
        <f>'Black or African-American'!L8</f>
        <v>2</v>
      </c>
      <c r="O9" s="1">
        <f>Hispanic!L8</f>
        <v>20</v>
      </c>
      <c r="P9" s="1">
        <f>Asian!L8</f>
        <v>40</v>
      </c>
      <c r="Q9" s="1">
        <f>Hawaiian!L8</f>
        <v>139</v>
      </c>
      <c r="R9" s="1">
        <f>'Am Indian'!L8</f>
        <v>139</v>
      </c>
      <c r="S9" s="1">
        <f>'Other - Mixed'!L8</f>
        <v>119</v>
      </c>
      <c r="T9" s="1">
        <f>'All Minorities'!L8</f>
        <v>2</v>
      </c>
    </row>
    <row r="10" spans="2:30" s="1" customFormat="1" ht="15" customHeight="1" x14ac:dyDescent="0.3">
      <c r="B10" s="125" t="s">
        <v>10</v>
      </c>
      <c r="C10" s="104">
        <f>'Data Entry'!C9</f>
        <v>11</v>
      </c>
      <c r="D10" s="113">
        <f>'Data Entry'!D9</f>
        <v>1</v>
      </c>
      <c r="E10" s="114" t="str">
        <f>'Black or African-American'!$G9</f>
        <v>**</v>
      </c>
      <c r="F10" s="115">
        <f>'Data Entry'!E9</f>
        <v>1</v>
      </c>
      <c r="G10" s="114" t="str">
        <f>Hispanic!G9</f>
        <v>**</v>
      </c>
      <c r="H10" s="115">
        <f>'Data Entry'!F9</f>
        <v>0</v>
      </c>
      <c r="I10" s="114" t="str">
        <f>Asian!G9</f>
        <v>--</v>
      </c>
      <c r="J10" s="115">
        <f>'Data Entry'!J9</f>
        <v>7</v>
      </c>
      <c r="K10" s="116">
        <f>'All Minorities'!G9</f>
        <v>0.3384297520661157</v>
      </c>
      <c r="L10"/>
      <c r="N10" s="1">
        <f>'Black or African-American'!L9</f>
        <v>20</v>
      </c>
      <c r="O10" s="1">
        <f>Hispanic!L9</f>
        <v>40</v>
      </c>
      <c r="P10" s="1" t="e">
        <f>Asian!L9</f>
        <v>#VALUE!</v>
      </c>
      <c r="Q10" s="1" t="e">
        <f>Hawaiian!L9</f>
        <v>#VALUE!</v>
      </c>
      <c r="R10" s="1" t="e">
        <f>'Am Indian'!L9</f>
        <v>#VALUE!</v>
      </c>
      <c r="S10" s="1">
        <f>'Other - Mixed'!L9</f>
        <v>139</v>
      </c>
      <c r="T10" s="1">
        <f>'All Minorities'!L9</f>
        <v>1</v>
      </c>
    </row>
    <row r="11" spans="2:30" s="1" customFormat="1" ht="15" customHeight="1" x14ac:dyDescent="0.3">
      <c r="B11" s="125" t="s">
        <v>11</v>
      </c>
      <c r="C11" s="104">
        <f>'Data Entry'!C10</f>
        <v>73</v>
      </c>
      <c r="D11" s="109">
        <f>'Data Entry'!D10</f>
        <v>155</v>
      </c>
      <c r="E11" s="110">
        <f>'Black or African-American'!$G10</f>
        <v>1.4875727996062669</v>
      </c>
      <c r="F11" s="111">
        <f>'Data Entry'!E10</f>
        <v>17</v>
      </c>
      <c r="G11" s="110" t="str">
        <f>Hispanic!G10</f>
        <v>**</v>
      </c>
      <c r="H11" s="111">
        <f>'Data Entry'!F10</f>
        <v>0</v>
      </c>
      <c r="I11" s="110" t="str">
        <f>Asian!G10</f>
        <v>--</v>
      </c>
      <c r="J11" s="111">
        <f>'Data Entry'!J10</f>
        <v>201</v>
      </c>
      <c r="K11" s="112">
        <f>'All Minorities'!G10</f>
        <v>1.4643212951432127</v>
      </c>
      <c r="L11"/>
      <c r="N11" s="1">
        <f>'Black or African-American'!L10</f>
        <v>1</v>
      </c>
      <c r="O11" s="1">
        <f>Hispanic!L10</f>
        <v>40</v>
      </c>
      <c r="P11" s="1" t="e">
        <f>Asian!L10</f>
        <v>#VALUE!</v>
      </c>
      <c r="Q11" s="1" t="e">
        <f>Hawaiian!L10</f>
        <v>#VALUE!</v>
      </c>
      <c r="R11" s="1" t="e">
        <f>'Am Indian'!L10</f>
        <v>#VALUE!</v>
      </c>
      <c r="S11" s="1">
        <f>'Other - Mixed'!L10</f>
        <v>119</v>
      </c>
      <c r="T11" s="1">
        <f>'All Minorities'!L10</f>
        <v>1</v>
      </c>
    </row>
    <row r="12" spans="2:30" s="1" customFormat="1" ht="15" customHeight="1" x14ac:dyDescent="0.3">
      <c r="B12" s="125" t="s">
        <v>95</v>
      </c>
      <c r="C12" s="104">
        <f>'Data Entry'!C11</f>
        <v>117</v>
      </c>
      <c r="D12" s="113">
        <f>'Data Entry'!D11</f>
        <v>167</v>
      </c>
      <c r="E12" s="114" t="str">
        <f>'Black or African-American'!$G11</f>
        <v>--</v>
      </c>
      <c r="F12" s="115">
        <f>'Data Entry'!E11</f>
        <v>24</v>
      </c>
      <c r="G12" s="114" t="str">
        <f>Hispanic!G11</f>
        <v>--</v>
      </c>
      <c r="H12" s="115">
        <f>'Data Entry'!F11</f>
        <v>0</v>
      </c>
      <c r="I12" s="114" t="str">
        <f>Asian!G11</f>
        <v>--</v>
      </c>
      <c r="J12" s="115">
        <f>'Data Entry'!J11</f>
        <v>220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106</v>
      </c>
      <c r="D13" s="109">
        <f>'Data Entry'!D12</f>
        <v>145</v>
      </c>
      <c r="E13" s="110">
        <f>'Black or African-American'!$G12</f>
        <v>0.95836628629533382</v>
      </c>
      <c r="F13" s="111">
        <f>'Data Entry'!E12</f>
        <v>20</v>
      </c>
      <c r="G13" s="110" t="str">
        <f>Hispanic!G12</f>
        <v>**</v>
      </c>
      <c r="H13" s="111">
        <f>'Data Entry'!F12</f>
        <v>0</v>
      </c>
      <c r="I13" s="110" t="str">
        <f>Asian!G12</f>
        <v>--</v>
      </c>
      <c r="J13" s="111">
        <f>'Data Entry'!J12</f>
        <v>183</v>
      </c>
      <c r="K13" s="112">
        <f>'All Minorities'!G12</f>
        <v>0.91813893653516276</v>
      </c>
      <c r="L13"/>
      <c r="N13" s="1">
        <f>'Black or African-American'!L12</f>
        <v>2</v>
      </c>
      <c r="O13" s="1">
        <f>Hispanic!L12</f>
        <v>40</v>
      </c>
      <c r="P13" s="1" t="e">
        <f>Asian!L12</f>
        <v>#VALUE!</v>
      </c>
      <c r="Q13" s="1" t="e">
        <f>Hawaiian!L12</f>
        <v>#VALUE!</v>
      </c>
      <c r="R13" s="1" t="e">
        <f>'Am Indian'!L12</f>
        <v>#VALUE!</v>
      </c>
      <c r="S13" s="1">
        <f>'Other - Mixed'!L12</f>
        <v>119</v>
      </c>
      <c r="T13" s="1">
        <f>'All Minorities'!L12</f>
        <v>2</v>
      </c>
      <c r="W13" s="135"/>
      <c r="X13" s="135"/>
      <c r="Y13" s="135"/>
      <c r="Z13" s="135"/>
      <c r="AA13" s="135"/>
      <c r="AB13" s="135"/>
      <c r="AC13" s="135"/>
      <c r="AD13" s="135"/>
    </row>
    <row r="14" spans="2:30" s="1" customFormat="1" ht="15" customHeight="1" x14ac:dyDescent="0.3">
      <c r="B14" s="125" t="s">
        <v>14</v>
      </c>
      <c r="C14" s="104">
        <f>'Data Entry'!C13</f>
        <v>101</v>
      </c>
      <c r="D14" s="113">
        <f>'Data Entry'!D13</f>
        <v>136</v>
      </c>
      <c r="E14" s="114">
        <f>'Black or African-American'!$G13</f>
        <v>0.98436326391259832</v>
      </c>
      <c r="F14" s="115">
        <f>'Data Entry'!E13</f>
        <v>18</v>
      </c>
      <c r="G14" s="114" t="str">
        <f>Hispanic!G13</f>
        <v>**</v>
      </c>
      <c r="H14" s="115">
        <f>'Data Entry'!F13</f>
        <v>0</v>
      </c>
      <c r="I14" s="114" t="str">
        <f>Asian!G13</f>
        <v>--</v>
      </c>
      <c r="J14" s="115">
        <f>'Data Entry'!J13</f>
        <v>170</v>
      </c>
      <c r="K14" s="116">
        <f>'All Minorities'!G13</f>
        <v>0.97494995401179452</v>
      </c>
      <c r="L14"/>
      <c r="N14" s="1">
        <f>'Black or African-American'!L13</f>
        <v>2</v>
      </c>
      <c r="O14" s="1">
        <f>Hispanic!L13</f>
        <v>40</v>
      </c>
      <c r="P14" s="1" t="e">
        <f>Asian!L13</f>
        <v>#VALUE!</v>
      </c>
      <c r="Q14" s="1" t="e">
        <f>Hawaiian!L13</f>
        <v>#VALUE!</v>
      </c>
      <c r="R14" s="1" t="e">
        <f>'Am Indian'!L13</f>
        <v>#VALUE!</v>
      </c>
      <c r="S14" s="1">
        <f>'Other - Mixed'!L13</f>
        <v>139</v>
      </c>
      <c r="T14" s="1">
        <f>'All Minorities'!L13</f>
        <v>2</v>
      </c>
      <c r="W14" s="135"/>
      <c r="X14" s="135"/>
      <c r="Y14" s="135"/>
      <c r="Z14" s="135"/>
      <c r="AA14" s="135"/>
      <c r="AB14" s="135"/>
      <c r="AC14" s="135"/>
      <c r="AD14" s="135"/>
    </row>
    <row r="15" spans="2:30" s="1" customFormat="1" ht="33" x14ac:dyDescent="0.3">
      <c r="B15" s="130" t="s">
        <v>115</v>
      </c>
      <c r="C15" s="104">
        <f>'Data Entry'!C14</f>
        <v>5</v>
      </c>
      <c r="D15" s="109">
        <f>'Data Entry'!D14</f>
        <v>5</v>
      </c>
      <c r="E15" s="110" t="str">
        <f>'Black or African-American'!$G14</f>
        <v>**</v>
      </c>
      <c r="F15" s="111">
        <f>'Data Entry'!E14</f>
        <v>1</v>
      </c>
      <c r="G15" s="110" t="str">
        <f>Hispanic!G14</f>
        <v>**</v>
      </c>
      <c r="H15" s="111">
        <f>'Data Entry'!F14</f>
        <v>0</v>
      </c>
      <c r="I15" s="110" t="str">
        <f>Asian!G14</f>
        <v>--</v>
      </c>
      <c r="J15" s="111">
        <f>'Data Entry'!J14</f>
        <v>8</v>
      </c>
      <c r="K15" s="112"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5</v>
      </c>
      <c r="E16" s="118" t="str">
        <f>'Black or African-American'!$G15</f>
        <v>**</v>
      </c>
      <c r="F16" s="119">
        <f>'Data Entry'!E15</f>
        <v>0</v>
      </c>
      <c r="G16" s="118" t="str">
        <f>Hispanic!G15</f>
        <v>--</v>
      </c>
      <c r="H16" s="119">
        <f>'Data Entry'!F15</f>
        <v>0</v>
      </c>
      <c r="I16" s="118" t="str">
        <f>Asian!G15</f>
        <v>--</v>
      </c>
      <c r="J16" s="119">
        <f>'Data Entry'!J15</f>
        <v>5</v>
      </c>
      <c r="K16" s="120"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112</v>
      </c>
      <c r="C19" s="208"/>
      <c r="D19" s="208"/>
      <c r="E19" s="208"/>
      <c r="F19" s="208"/>
      <c r="G19" s="208"/>
      <c r="H19" s="208"/>
      <c r="I19" s="209"/>
      <c r="J19" s="210"/>
      <c r="K19" s="211"/>
    </row>
    <row r="20" spans="2:30" ht="15.75" x14ac:dyDescent="0.3">
      <c r="B20" s="160" t="s">
        <v>117</v>
      </c>
      <c r="C20" s="215" t="s">
        <v>53</v>
      </c>
      <c r="D20" s="216"/>
      <c r="E20" s="199" t="s">
        <v>56</v>
      </c>
      <c r="F20" s="200"/>
      <c r="G20" s="200"/>
      <c r="H20" s="200"/>
      <c r="I20" s="200"/>
      <c r="J20" s="200"/>
      <c r="K20" s="161" t="s">
        <v>57</v>
      </c>
    </row>
    <row r="21" spans="2:30" ht="15" customHeight="1" x14ac:dyDescent="0.3">
      <c r="B21" s="162" t="s">
        <v>118</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Saginaw County Juvenile Court</v>
      </c>
      <c r="E27" s="1" t="str">
        <f>'Data Entry'!D20</f>
        <v>Item 4.Diversion: Saginaw County Juvenile Court</v>
      </c>
      <c r="I27" s="97"/>
    </row>
    <row r="28" spans="2:30" ht="12.75" customHeight="1" x14ac:dyDescent="0.25">
      <c r="B28" s="1" t="str">
        <f>'Data Entry'!A21</f>
        <v>Item 5.Detention: Saginaw County Juvenile Court</v>
      </c>
      <c r="E28" s="1" t="str">
        <f>'Data Entry'!D21</f>
        <v>Item 6.Petitioned: Saginaw County Juvenile Court</v>
      </c>
      <c r="I28" s="97"/>
    </row>
    <row r="29" spans="2:30" ht="12.75" customHeight="1" x14ac:dyDescent="0.25">
      <c r="B29" s="1" t="str">
        <f>'Data Entry'!A22</f>
        <v>Item 7.Delinquent: Saginaw County Juvenile Court</v>
      </c>
      <c r="E29" s="1" t="str">
        <f>'Data Entry'!D22</f>
        <v>Item 8.Probation: Saginaw County Juvenile Court</v>
      </c>
      <c r="I29" s="97"/>
    </row>
    <row r="30" spans="2:30" ht="12.75" customHeight="1" x14ac:dyDescent="0.25">
      <c r="B30" s="1" t="str">
        <f>'Data Entry'!A23</f>
        <v>Item 9.Confinement: Saginaw County Juvenile Court</v>
      </c>
      <c r="E30" s="1" t="str">
        <f>'Data Entry'!D23</f>
        <v>Item 10.Transferred: Saginaw County Juvenile Court</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Saginaw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9569</v>
      </c>
      <c r="D6" s="34"/>
      <c r="E6" s="33">
        <f>'Data Entry'!D6</f>
        <v>3900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5.6432229073048381</v>
      </c>
      <c r="E7" s="33">
        <f>'Data Entry'!D7</f>
        <v>91</v>
      </c>
      <c r="F7" s="34">
        <f>IF((AND($E$7&gt;0,$D$66&gt;0)),($E$7/$D$66),0)</f>
        <v>23.333333333333332</v>
      </c>
      <c r="G7" s="39">
        <f>IF(L$6=100,"*",IF(M7=FALSE,"--",IF(K7=20,"**",($F7/$D7))))</f>
        <v>4.134753086419753</v>
      </c>
      <c r="H7" s="40"/>
      <c r="I7" s="41"/>
      <c r="J7" s="40">
        <f>IF((ABS($U7)&gt;Defaults!D$7),1,2)</f>
        <v>1</v>
      </c>
      <c r="K7" s="39">
        <f>IF((AND(N7&gt;Defaults!B$12,(N7+O7)&gt;Defaults!B$13, P7 &gt; Defaults!B$12, (P7+Q7) &gt; Defaults!B$13)),1,20)</f>
        <v>1</v>
      </c>
      <c r="L7" s="1">
        <f>(J7*K7+L$6)-1</f>
        <v>1</v>
      </c>
      <c r="M7" s="1" t="b">
        <f t="shared" ref="M7:M15" si="0">(ISNUMBER(J7))</f>
        <v>1</v>
      </c>
      <c r="N7" s="42">
        <f t="shared" ref="N7:N15" si="1">E7</f>
        <v>91</v>
      </c>
      <c r="O7" s="42">
        <f>E6-E7</f>
        <v>3809</v>
      </c>
      <c r="P7" s="42">
        <f t="shared" ref="P7:P15" si="2">C7</f>
        <v>54</v>
      </c>
      <c r="Q7" s="42">
        <f>C6-C7</f>
        <v>9515</v>
      </c>
      <c r="R7" s="42">
        <f t="shared" ref="R7:R15" si="3">SUM(N7:Q7)</f>
        <v>13469</v>
      </c>
      <c r="S7" s="30">
        <f t="shared" ref="S7:S15" si="4">R7*((((N7*Q7)-(O7*P7))^2))</f>
        <v>5870279286880229</v>
      </c>
      <c r="T7" s="30">
        <f t="shared" ref="T7:T15" si="5">(N7+O7)*(P7+Q7)*(N7+P7)*(O7+Q7)</f>
        <v>72099754818000</v>
      </c>
      <c r="U7" s="31">
        <f t="shared" ref="U7:U15" si="6">IF((S7&gt;0),S7/T7,"- -")</f>
        <v>81.418852279018978</v>
      </c>
    </row>
    <row r="8" spans="2:21" ht="18" customHeight="1" x14ac:dyDescent="0.25">
      <c r="B8" s="32" t="str">
        <f>'Data Entry'!A8</f>
        <v>3. Refer to Juvenile Court</v>
      </c>
      <c r="C8" s="33">
        <f>'Data Entry'!C8</f>
        <v>117</v>
      </c>
      <c r="D8" s="34">
        <f>IF((AND(C67&gt;0,C8&gt;0)),(C8/C67),0)</f>
        <v>216.66666666666666</v>
      </c>
      <c r="E8" s="33">
        <f>'Data Entry'!D8</f>
        <v>167</v>
      </c>
      <c r="F8" s="34">
        <f>IF((AND($E$8&gt;0,$D$67&gt;0)),($E8/$D67),0)</f>
        <v>183.5164835164835</v>
      </c>
      <c r="G8" s="39">
        <f t="shared" ref="G8:G15" si="7">IF(L$6=100,"*",IF(M8=FALSE,"--",IF(K8=20,"**",($F8/$D8))))</f>
        <v>0.84699915469146236</v>
      </c>
      <c r="H8" s="40"/>
      <c r="I8" s="41"/>
      <c r="J8" s="40">
        <f>IF((ABS($U8)&gt;Defaults!D$7),1,2)</f>
        <v>2</v>
      </c>
      <c r="K8" s="39">
        <f>IF((AND(N8&gt;Defaults!B$12,(N8+O8)&gt;Defaults!B$13, P8 &gt; Defaults!B$12, (P8+Q8) &gt; Defaults!B$13)),1,20)</f>
        <v>1</v>
      </c>
      <c r="L8" s="1">
        <f t="shared" ref="L8:L15" si="8">(J8*K8+L$6)-1</f>
        <v>2</v>
      </c>
      <c r="M8" s="1" t="b">
        <f t="shared" si="0"/>
        <v>1</v>
      </c>
      <c r="N8" s="42">
        <f t="shared" si="1"/>
        <v>167</v>
      </c>
      <c r="O8" s="42">
        <f>((D67*L67)-E8)+0.05</f>
        <v>-75.95</v>
      </c>
      <c r="P8" s="42">
        <f t="shared" si="2"/>
        <v>117</v>
      </c>
      <c r="Q8" s="42">
        <f>(C$67*L67)-C8</f>
        <v>-63</v>
      </c>
      <c r="R8" s="42">
        <f t="shared" si="3"/>
        <v>145.05000000000001</v>
      </c>
      <c r="S8" s="30">
        <f t="shared" si="4"/>
        <v>387680142.48862523</v>
      </c>
      <c r="T8" s="30">
        <f t="shared" si="5"/>
        <v>-194021832.06</v>
      </c>
      <c r="U8" s="31">
        <f t="shared" si="6"/>
        <v>-1.9981263880073952</v>
      </c>
    </row>
    <row r="9" spans="2:21" ht="18" customHeight="1" x14ac:dyDescent="0.25">
      <c r="B9" s="32" t="str">
        <f>'Data Entry'!A9</f>
        <v xml:space="preserve">4. Cases Diverted </v>
      </c>
      <c r="C9" s="33">
        <f>'Data Entry'!C9</f>
        <v>11</v>
      </c>
      <c r="D9" s="34">
        <f>IF((AND(C68&gt;0,C9&gt;0)),((C9/C68)),0)</f>
        <v>9.4017094017094021</v>
      </c>
      <c r="E9" s="33">
        <f>'Data Entry'!D9</f>
        <v>1</v>
      </c>
      <c r="F9" s="34">
        <f>IF((AND($E$9&gt;0,$D$68&gt;0)),(($E$9/$D$68)),0)</f>
        <v>0.5988023952095809</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1</v>
      </c>
      <c r="O9" s="42">
        <f>(D$68*L68)-E9</f>
        <v>166</v>
      </c>
      <c r="P9" s="42">
        <f t="shared" si="2"/>
        <v>11</v>
      </c>
      <c r="Q9" s="42">
        <f>(C$68*L68)-C9</f>
        <v>106</v>
      </c>
      <c r="R9" s="42">
        <f t="shared" si="3"/>
        <v>284</v>
      </c>
      <c r="S9" s="30">
        <f t="shared" si="4"/>
        <v>840185600</v>
      </c>
      <c r="T9" s="30">
        <f t="shared" si="5"/>
        <v>63775296</v>
      </c>
      <c r="U9" s="31">
        <f t="shared" si="6"/>
        <v>13.174154456296055</v>
      </c>
    </row>
    <row r="10" spans="2:21" ht="18" customHeight="1" x14ac:dyDescent="0.25">
      <c r="B10" s="32" t="str">
        <f>'Data Entry'!A10</f>
        <v>5. Cases Involving Secure Detention</v>
      </c>
      <c r="C10" s="33">
        <f>'Data Entry'!C10</f>
        <v>73</v>
      </c>
      <c r="D10" s="34">
        <f>IF(((AND(C68&gt;0,C10&gt;0))),(C10/(C68)),0)</f>
        <v>62.393162393162399</v>
      </c>
      <c r="E10" s="33">
        <f>'Data Entry'!D10</f>
        <v>155</v>
      </c>
      <c r="F10" s="34">
        <f>IF(((AND($E$10&gt;0,$D$68&gt;0))),($E$10/($D$68)),0)</f>
        <v>92.814371257485035</v>
      </c>
      <c r="G10" s="39">
        <f t="shared" si="7"/>
        <v>1.4875727996062669</v>
      </c>
      <c r="H10" s="40"/>
      <c r="I10" s="41"/>
      <c r="J10" s="40">
        <f>IF((ABS($U10)&gt;Defaults!D$7),1,2)</f>
        <v>1</v>
      </c>
      <c r="K10" s="39">
        <f>IF((AND(N10&gt;Defaults!B$12,(N10+O10)&gt;Defaults!B$13, P10 &gt; Defaults!B$12, (P10+Q10) &gt; Defaults!B$13)),1,20)</f>
        <v>1</v>
      </c>
      <c r="L10" s="1">
        <f t="shared" si="8"/>
        <v>1</v>
      </c>
      <c r="M10" s="1" t="b">
        <f t="shared" si="0"/>
        <v>1</v>
      </c>
      <c r="N10" s="42">
        <f t="shared" si="1"/>
        <v>155</v>
      </c>
      <c r="O10" s="42">
        <f>(D$68*L68)-E10</f>
        <v>12</v>
      </c>
      <c r="P10" s="42">
        <f t="shared" si="2"/>
        <v>73</v>
      </c>
      <c r="Q10" s="42">
        <f>(C$68*L68)-C10</f>
        <v>44</v>
      </c>
      <c r="R10" s="42">
        <f t="shared" si="3"/>
        <v>284</v>
      </c>
      <c r="S10" s="30">
        <f t="shared" si="4"/>
        <v>10034042624</v>
      </c>
      <c r="T10" s="30">
        <f t="shared" si="5"/>
        <v>249473952</v>
      </c>
      <c r="U10" s="31">
        <f t="shared" si="6"/>
        <v>40.22080278745895</v>
      </c>
    </row>
    <row r="11" spans="2:21" ht="18" customHeight="1" x14ac:dyDescent="0.25">
      <c r="B11" s="32" t="str">
        <f>'Data Entry'!A11</f>
        <v>6. Cases Petitioned (Charge Filed)</v>
      </c>
      <c r="C11" s="33">
        <f>'Data Entry'!C11</f>
        <v>117</v>
      </c>
      <c r="D11" s="34">
        <f>IF(((AND(C68&gt;0,C11&gt;0))),(C11/(C68)),0)</f>
        <v>100</v>
      </c>
      <c r="E11" s="33">
        <f>'Data Entry'!D11</f>
        <v>167</v>
      </c>
      <c r="F11" s="34">
        <f>IF(((AND($E$11&gt;0,$D$68&gt;0))),($E$11/($D$68)),0)</f>
        <v>100</v>
      </c>
      <c r="G11" s="39" t="str">
        <f t="shared" si="7"/>
        <v>--</v>
      </c>
      <c r="H11" s="40"/>
      <c r="I11" s="41"/>
      <c r="J11" s="40" t="e">
        <f>IF((ABS($U11)&gt;Defaults!D$7),1,2)</f>
        <v>#VALUE!</v>
      </c>
      <c r="K11" s="39">
        <f>IF((AND(N11&gt;Defaults!B$12,(N11+O11)&gt;Defaults!B$13, P11 &gt; Defaults!B$12, (P11+Q11) &gt; Defaults!B$13)),1,20)</f>
        <v>1</v>
      </c>
      <c r="L11" s="1" t="e">
        <f t="shared" si="8"/>
        <v>#VALUE!</v>
      </c>
      <c r="M11" s="1" t="b">
        <f t="shared" si="0"/>
        <v>0</v>
      </c>
      <c r="N11" s="42">
        <f t="shared" si="1"/>
        <v>167</v>
      </c>
      <c r="O11" s="42">
        <f>(D$68*L68)-E11</f>
        <v>0</v>
      </c>
      <c r="P11" s="42">
        <f t="shared" si="2"/>
        <v>117</v>
      </c>
      <c r="Q11" s="42">
        <f>(C$68*L68)-C11</f>
        <v>0</v>
      </c>
      <c r="R11" s="42">
        <f t="shared" si="3"/>
        <v>284</v>
      </c>
      <c r="S11" s="30">
        <f t="shared" si="4"/>
        <v>0</v>
      </c>
      <c r="T11" s="30">
        <f t="shared" si="5"/>
        <v>0</v>
      </c>
      <c r="U11" s="31" t="str">
        <f t="shared" si="6"/>
        <v>- -</v>
      </c>
    </row>
    <row r="12" spans="2:21" ht="18" customHeight="1" x14ac:dyDescent="0.25">
      <c r="B12" s="32" t="str">
        <f>'Data Entry'!A12</f>
        <v>7. Cases Resulting in Delinquent Findings</v>
      </c>
      <c r="C12" s="33">
        <f>'Data Entry'!C12</f>
        <v>106</v>
      </c>
      <c r="D12" s="34">
        <f>IF(((AND(C69&gt;0,C12&gt;0))),(C12/(C69)),0)</f>
        <v>90.598290598290603</v>
      </c>
      <c r="E12" s="33">
        <f>'Data Entry'!D12</f>
        <v>145</v>
      </c>
      <c r="F12" s="34">
        <f>IF(((AND($D$69&gt;0,$E$12&gt;0))),(E12/(D69)),0)</f>
        <v>86.82634730538922</v>
      </c>
      <c r="G12" s="39">
        <f t="shared" si="7"/>
        <v>0.95836628629533382</v>
      </c>
      <c r="H12" s="40"/>
      <c r="I12" s="41"/>
      <c r="J12" s="40">
        <f>IF((ABS($U12)&gt;Defaults!D$7),1,2)</f>
        <v>2</v>
      </c>
      <c r="K12" s="39">
        <f>IF((AND(N12&gt;Defaults!B$12,(N12+O12)&gt;Defaults!B$13, P12 &gt; Defaults!B$12, (P12+Q12) &gt; Defaults!B$13)),1,20)</f>
        <v>1</v>
      </c>
      <c r="L12" s="1">
        <f t="shared" si="8"/>
        <v>2</v>
      </c>
      <c r="M12" s="1" t="b">
        <f t="shared" si="0"/>
        <v>1</v>
      </c>
      <c r="N12" s="42">
        <f t="shared" si="1"/>
        <v>145</v>
      </c>
      <c r="O12" s="42">
        <f>(D69*L69)-E12</f>
        <v>22</v>
      </c>
      <c r="P12" s="42">
        <f t="shared" si="2"/>
        <v>106</v>
      </c>
      <c r="Q12" s="42">
        <f>(C69*L69)-C12</f>
        <v>11</v>
      </c>
      <c r="R12" s="42">
        <f t="shared" si="3"/>
        <v>284</v>
      </c>
      <c r="S12" s="30">
        <f t="shared" si="4"/>
        <v>154259996</v>
      </c>
      <c r="T12" s="30">
        <f t="shared" si="5"/>
        <v>161841537</v>
      </c>
      <c r="U12" s="31">
        <f t="shared" si="6"/>
        <v>0.95315454153157231</v>
      </c>
    </row>
    <row r="13" spans="2:21" ht="18" customHeight="1" x14ac:dyDescent="0.25">
      <c r="B13" s="32" t="str">
        <f>'Data Entry'!A13</f>
        <v>8. Cases Resulting in Probation Placement</v>
      </c>
      <c r="C13" s="33">
        <f>'Data Entry'!C13</f>
        <v>101</v>
      </c>
      <c r="D13" s="34">
        <f>IF(((AND(C70&gt;0,C13&gt;0))),(C13/(C70)),0)</f>
        <v>95.283018867924525</v>
      </c>
      <c r="E13" s="33">
        <f>'Data Entry'!D13</f>
        <v>136</v>
      </c>
      <c r="F13" s="34">
        <f>IF(((AND($D$70&gt;0,$E$13&gt;0))),($E$13/($D$70)),0)</f>
        <v>93.793103448275872</v>
      </c>
      <c r="G13" s="39">
        <f t="shared" si="7"/>
        <v>0.98436326391259832</v>
      </c>
      <c r="H13" s="40"/>
      <c r="I13" s="41"/>
      <c r="J13" s="40">
        <f>IF((ABS($U13)&gt;Defaults!D$7),1,2)</f>
        <v>2</v>
      </c>
      <c r="K13" s="39">
        <f>IF((AND(N13&gt;Defaults!B$12,(N13+O13)&gt;Defaults!B$13, P13 &gt; Defaults!B$12, (P13+Q13) &gt; Defaults!B$13)),1,20)</f>
        <v>1</v>
      </c>
      <c r="L13" s="1">
        <f t="shared" si="8"/>
        <v>2</v>
      </c>
      <c r="M13" s="1" t="b">
        <f t="shared" si="0"/>
        <v>1</v>
      </c>
      <c r="N13" s="42">
        <f t="shared" si="1"/>
        <v>136</v>
      </c>
      <c r="O13" s="42">
        <f>(D70*L70)-E13</f>
        <v>9</v>
      </c>
      <c r="P13" s="42">
        <f t="shared" si="2"/>
        <v>101</v>
      </c>
      <c r="Q13" s="42">
        <f>(C70*L70)-C13</f>
        <v>5</v>
      </c>
      <c r="R13" s="42">
        <f t="shared" si="3"/>
        <v>251</v>
      </c>
      <c r="S13" s="30">
        <f t="shared" si="4"/>
        <v>13162691</v>
      </c>
      <c r="T13" s="30">
        <f t="shared" si="5"/>
        <v>50997660</v>
      </c>
      <c r="U13" s="31">
        <f t="shared" si="6"/>
        <v>0.25810382280285016</v>
      </c>
    </row>
    <row r="14" spans="2:21" ht="30.75" customHeight="1" x14ac:dyDescent="0.25">
      <c r="B14" s="32" t="str">
        <f>'Data Entry'!A14</f>
        <v xml:space="preserve">9. Cases Resulting in Confinement in Secure Juvenile Correctional Facilities </v>
      </c>
      <c r="C14" s="33">
        <f>'Data Entry'!C14</f>
        <v>5</v>
      </c>
      <c r="D14" s="34">
        <f>IF(((AND(C70&gt;0,C14&gt;0))), ((C14/(C70))),0)</f>
        <v>4.7169811320754711</v>
      </c>
      <c r="E14" s="33">
        <f>'Data Entry'!D14</f>
        <v>5</v>
      </c>
      <c r="F14" s="34">
        <f>IF(((AND($D$70&gt;0,$E$14&gt;0))), (($E$14/($D$70))),0)</f>
        <v>3.4482758620689657</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5</v>
      </c>
      <c r="O14" s="42">
        <f>(D70*L70)-E14</f>
        <v>140</v>
      </c>
      <c r="P14" s="42">
        <f t="shared" si="2"/>
        <v>5</v>
      </c>
      <c r="Q14" s="42">
        <f>(C70*L70)-C14</f>
        <v>101</v>
      </c>
      <c r="R14" s="42">
        <f t="shared" si="3"/>
        <v>251</v>
      </c>
      <c r="S14" s="30">
        <f t="shared" si="4"/>
        <v>9544275</v>
      </c>
      <c r="T14" s="30">
        <f t="shared" si="5"/>
        <v>37041700</v>
      </c>
      <c r="U14" s="31">
        <f t="shared" si="6"/>
        <v>0.25766298523015951</v>
      </c>
    </row>
    <row r="15" spans="2:21" ht="15.75" customHeight="1" x14ac:dyDescent="0.25">
      <c r="B15" s="32" t="str">
        <f>'Data Entry'!A15</f>
        <v xml:space="preserve">10. Cases Transferred to Adult Court </v>
      </c>
      <c r="C15" s="33">
        <f>'Data Entry'!C15</f>
        <v>0</v>
      </c>
      <c r="D15" s="34">
        <f>IF(((AND(C69&gt;0,C15&gt;0))),((C15/(C69))),0)</f>
        <v>0</v>
      </c>
      <c r="E15" s="33">
        <f>'Data Entry'!D15</f>
        <v>5</v>
      </c>
      <c r="F15" s="34">
        <f>IF(((AND($D$69&gt;0,$E$15&gt;0))),(($E$15/($D$69))),0)</f>
        <v>2.9940119760479043</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5</v>
      </c>
      <c r="O15" s="42">
        <f>(D69*L69)-E15</f>
        <v>162</v>
      </c>
      <c r="P15" s="42">
        <f t="shared" si="2"/>
        <v>0</v>
      </c>
      <c r="Q15" s="42">
        <f>(C69*L69)-C15</f>
        <v>117</v>
      </c>
      <c r="R15" s="42">
        <f t="shared" si="3"/>
        <v>284</v>
      </c>
      <c r="S15" s="30">
        <f t="shared" si="4"/>
        <v>97191900</v>
      </c>
      <c r="T15" s="30">
        <f t="shared" si="5"/>
        <v>27256905</v>
      </c>
      <c r="U15" s="31">
        <f t="shared" si="6"/>
        <v>3.5657716824415684</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9.5690000000000008</v>
      </c>
      <c r="D42" s="56">
        <f>E6/1000</f>
        <v>3.9</v>
      </c>
      <c r="E42" s="56">
        <f>MAX(C42:D42)</f>
        <v>9.5690000000000008</v>
      </c>
      <c r="G42" s="1" t="str">
        <f>B42</f>
        <v>per 1000 youth</v>
      </c>
      <c r="L42" s="57">
        <v>1000</v>
      </c>
      <c r="M42" s="57"/>
      <c r="R42" s="49"/>
    </row>
    <row r="43" spans="2:18" ht="15" hidden="1" customHeight="1" x14ac:dyDescent="0.25">
      <c r="B43" s="49" t="s">
        <v>87</v>
      </c>
      <c r="C43" s="56">
        <f>C7/100</f>
        <v>0.54</v>
      </c>
      <c r="D43" s="56">
        <f>E7/100</f>
        <v>0.91</v>
      </c>
      <c r="E43" s="56">
        <f>MAX(C43:D43,0)</f>
        <v>0.91</v>
      </c>
      <c r="G43" s="1" t="str">
        <f>B43</f>
        <v>per 100 arrests</v>
      </c>
      <c r="L43" s="57">
        <v>100</v>
      </c>
      <c r="M43" s="57"/>
      <c r="R43" s="49"/>
    </row>
    <row r="44" spans="2:18" ht="15" hidden="1" customHeight="1" x14ac:dyDescent="0.25">
      <c r="B44" s="49" t="s">
        <v>88</v>
      </c>
      <c r="C44" s="56">
        <f>C8/100</f>
        <v>1.17</v>
      </c>
      <c r="D44" s="56">
        <f>E8/100</f>
        <v>1.67</v>
      </c>
      <c r="E44" s="56">
        <f>MAX(C44:D44,0)</f>
        <v>1.67</v>
      </c>
      <c r="G44" s="1" t="str">
        <f>B44</f>
        <v>per 100 referrals</v>
      </c>
      <c r="L44" s="57">
        <v>100</v>
      </c>
      <c r="M44" s="57"/>
      <c r="R44" s="49"/>
    </row>
    <row r="45" spans="2:18" ht="15" hidden="1" customHeight="1" x14ac:dyDescent="0.25">
      <c r="B45" s="49" t="s">
        <v>89</v>
      </c>
      <c r="C45" s="49">
        <f>C11/100</f>
        <v>1.17</v>
      </c>
      <c r="D45" s="49">
        <f>E11/100</f>
        <v>1.67</v>
      </c>
      <c r="E45" s="56">
        <f>MAX(C45:D45,0)</f>
        <v>1.67</v>
      </c>
      <c r="G45" s="1" t="str">
        <f>B45</f>
        <v>per 100 youth petitioned</v>
      </c>
      <c r="L45" s="57">
        <v>100</v>
      </c>
      <c r="M45" s="57"/>
      <c r="R45" s="49"/>
    </row>
    <row r="46" spans="2:18" ht="15" hidden="1" customHeight="1" x14ac:dyDescent="0.25">
      <c r="B46" s="49" t="s">
        <v>90</v>
      </c>
      <c r="C46" s="49">
        <f>C12/100</f>
        <v>1.06</v>
      </c>
      <c r="D46" s="49">
        <f>E12/100</f>
        <v>1.45</v>
      </c>
      <c r="E46" s="56">
        <f>MAX(C46:D46)</f>
        <v>1.45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9.5690000000000008</v>
      </c>
      <c r="D48" s="56">
        <f>D42</f>
        <v>3.9</v>
      </c>
      <c r="E48" s="56">
        <f>MAX(C48:D48)</f>
        <v>9.5690000000000008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0.54</v>
      </c>
      <c r="D49" s="49">
        <f t="shared" si="9"/>
        <v>0.91</v>
      </c>
      <c r="E49" s="49">
        <f>MAX(C49:D49)</f>
        <v>0.91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1.17</v>
      </c>
      <c r="D50" s="49">
        <f t="shared" si="9"/>
        <v>1.67</v>
      </c>
      <c r="E50" s="49">
        <f>MAX(C50:D50)</f>
        <v>1.67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1.17</v>
      </c>
      <c r="D51" s="49">
        <f>IF(($E45&gt;0),D45,D44)</f>
        <v>1.67</v>
      </c>
      <c r="E51" s="49">
        <f>MAX(C51:D51)</f>
        <v>1.67</v>
      </c>
      <c r="G51" s="1" t="str">
        <f>G45</f>
        <v>per 100 youth petitioned</v>
      </c>
      <c r="L51" s="58">
        <f>IF(($E45&gt;0),L45,L44)</f>
        <v>100</v>
      </c>
      <c r="M51" s="58"/>
    </row>
    <row r="52" spans="2:18" ht="15" hidden="1" customHeight="1" x14ac:dyDescent="0.25">
      <c r="B52" s="49" t="str">
        <f>IF(($E46&gt;0),B46,B45)</f>
        <v>per 100 youth found delinquent</v>
      </c>
      <c r="C52" s="49">
        <f>IF(($E46&gt;0),C46,C45)</f>
        <v>1.06</v>
      </c>
      <c r="D52" s="49">
        <f>IF(($E46&gt;0),D46,D45)</f>
        <v>1.45</v>
      </c>
      <c r="E52" s="56">
        <f>MAX(C52:D52)</f>
        <v>1.45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9.5690000000000008</v>
      </c>
      <c r="D54" s="56">
        <f>D48</f>
        <v>3.9</v>
      </c>
      <c r="E54" s="56">
        <f>MAX(C54:D54)</f>
        <v>9.5690000000000008</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0.91</v>
      </c>
      <c r="E55" s="49">
        <f>MAX(C55:D55)</f>
        <v>0.91</v>
      </c>
      <c r="G55" s="1" t="str">
        <f>G49</f>
        <v>per 100 arrests</v>
      </c>
      <c r="L55" s="58">
        <f>IF(($E49&gt;0),L49,L48)</f>
        <v>100</v>
      </c>
      <c r="M55" s="58"/>
    </row>
    <row r="56" spans="2:18" ht="15" hidden="1" customHeight="1" x14ac:dyDescent="0.25">
      <c r="B56" s="49" t="str">
        <f t="shared" si="10"/>
        <v>per 100 referrals</v>
      </c>
      <c r="C56" s="49">
        <f t="shared" si="10"/>
        <v>1.17</v>
      </c>
      <c r="D56" s="49">
        <f t="shared" si="10"/>
        <v>1.67</v>
      </c>
      <c r="E56" s="49">
        <f>MAX(C56:D56)</f>
        <v>1.67</v>
      </c>
      <c r="G56" s="1" t="str">
        <f>G50</f>
        <v>per 100 referrals</v>
      </c>
      <c r="L56" s="58">
        <f>IF(($E50&gt;0),L50,L49)</f>
        <v>100</v>
      </c>
      <c r="M56" s="58"/>
    </row>
    <row r="57" spans="2:18" ht="15" hidden="1" customHeight="1" x14ac:dyDescent="0.25">
      <c r="B57" s="49" t="str">
        <f>IF(($E51&gt;0),B51,B49)</f>
        <v>per 100 youth petitioned</v>
      </c>
      <c r="C57" s="49">
        <f>IF(($E51&gt;0),C51,C50)</f>
        <v>1.17</v>
      </c>
      <c r="D57" s="49">
        <f>IF(($E51&gt;0),D51,D50)</f>
        <v>1.67</v>
      </c>
      <c r="E57" s="49">
        <f>MAX(C57:D57)</f>
        <v>1.67</v>
      </c>
      <c r="G57" s="1" t="str">
        <f>G51</f>
        <v>per 100 youth petitioned</v>
      </c>
      <c r="L57" s="58">
        <f>IF(($E51&gt;0),L51,L50)</f>
        <v>100</v>
      </c>
      <c r="M57" s="58"/>
    </row>
    <row r="58" spans="2:18" ht="15" hidden="1" customHeight="1" x14ac:dyDescent="0.25">
      <c r="B58" s="49" t="str">
        <f>IF(($E52&gt;0),B52,B51)</f>
        <v>per 100 youth found delinquent</v>
      </c>
      <c r="C58" s="49">
        <f>IF(($E52&gt;0),C52,C51)</f>
        <v>1.06</v>
      </c>
      <c r="D58" s="49">
        <f>IF(($E52&gt;0),D52,D51)</f>
        <v>1.45</v>
      </c>
      <c r="E58" s="56">
        <f>MAX(C58:D58)</f>
        <v>1.45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9.5690000000000008</v>
      </c>
      <c r="D60" s="56">
        <f>D54</f>
        <v>3.9</v>
      </c>
      <c r="E60" s="56">
        <f>MAX(C60:D60)</f>
        <v>9.5690000000000008</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0.91</v>
      </c>
      <c r="E61" s="49">
        <f>MAX(C61:D61)</f>
        <v>0.91</v>
      </c>
      <c r="G61" s="1" t="str">
        <f>G55</f>
        <v>per 100 arrests</v>
      </c>
      <c r="L61" s="58">
        <f>IF(($E55&gt;0),L55,L54)</f>
        <v>100</v>
      </c>
      <c r="M61" s="58"/>
    </row>
    <row r="62" spans="2:18" ht="15" hidden="1" customHeight="1" x14ac:dyDescent="0.25">
      <c r="B62" s="49" t="str">
        <f t="shared" si="11"/>
        <v>per 100 referrals</v>
      </c>
      <c r="C62" s="49">
        <f t="shared" si="11"/>
        <v>1.17</v>
      </c>
      <c r="D62" s="49">
        <f t="shared" si="11"/>
        <v>1.67</v>
      </c>
      <c r="E62" s="49">
        <f>MAX(C62:D62)</f>
        <v>1.67</v>
      </c>
      <c r="G62" s="1" t="str">
        <f>G56</f>
        <v>per 100 referrals</v>
      </c>
      <c r="L62" s="58">
        <f>IF(($E56&gt;0),L56,L55)</f>
        <v>100</v>
      </c>
      <c r="M62" s="58"/>
    </row>
    <row r="63" spans="2:18" ht="15" hidden="1" customHeight="1" x14ac:dyDescent="0.25">
      <c r="B63" s="49" t="str">
        <f>IF(($E57&gt;0),B57,B55)</f>
        <v>per 100 youth petitioned</v>
      </c>
      <c r="C63" s="49">
        <f>IF(($E57&gt;0),C57,C56)</f>
        <v>1.17</v>
      </c>
      <c r="D63" s="49">
        <f>IF(($E57&gt;0),D57,D56)</f>
        <v>1.67</v>
      </c>
      <c r="E63" s="49">
        <f>MAX(C63:D63)</f>
        <v>1.67</v>
      </c>
      <c r="G63" s="1" t="str">
        <f>G57</f>
        <v>per 100 youth petitioned</v>
      </c>
      <c r="L63" s="58">
        <f>IF(($E57&gt;0),L57,L56)</f>
        <v>100</v>
      </c>
      <c r="M63" s="58"/>
    </row>
    <row r="64" spans="2:18" ht="15" hidden="1" customHeight="1" x14ac:dyDescent="0.25">
      <c r="B64" s="49" t="str">
        <f>IF(($E58&gt;0),B58,B57)</f>
        <v>per 100 youth found delinquent</v>
      </c>
      <c r="C64" s="49">
        <f>IF(($E58&gt;0),C58,C57)</f>
        <v>1.06</v>
      </c>
      <c r="D64" s="49">
        <f>IF(($E58&gt;0),D58,D57)</f>
        <v>1.45</v>
      </c>
      <c r="E64" s="56">
        <f>MAX(C64:D64)</f>
        <v>1.45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9.5690000000000008</v>
      </c>
      <c r="D66" s="56">
        <f>D60</f>
        <v>3.9</v>
      </c>
      <c r="E66" s="56">
        <f>MAX(C66:D66)</f>
        <v>9.5690000000000008</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0.91</v>
      </c>
      <c r="E67" s="49">
        <f>MAX(C67:D67)</f>
        <v>0.91</v>
      </c>
      <c r="G67" s="1" t="str">
        <f>G61</f>
        <v>per 100 arrests</v>
      </c>
      <c r="L67" s="58">
        <f>IF(($E61&gt;0),L61,L60)</f>
        <v>100</v>
      </c>
      <c r="M67" s="58">
        <f>IF((B67=G67),1,2)</f>
        <v>1</v>
      </c>
    </row>
    <row r="68" spans="2:13" ht="15" hidden="1" customHeight="1" x14ac:dyDescent="0.25">
      <c r="B68" s="49" t="str">
        <f t="shared" si="12"/>
        <v>per 100 referrals</v>
      </c>
      <c r="C68" s="49">
        <f t="shared" si="12"/>
        <v>1.17</v>
      </c>
      <c r="D68" s="49">
        <f t="shared" si="12"/>
        <v>1.67</v>
      </c>
      <c r="E68" s="49">
        <f>MAX(C68:D68)</f>
        <v>1.67</v>
      </c>
      <c r="G68" s="1" t="str">
        <f>G62</f>
        <v>per 100 referrals</v>
      </c>
      <c r="L68" s="58">
        <f>IF(($E62&gt;0),L62,L61)</f>
        <v>100</v>
      </c>
      <c r="M68" s="58">
        <f>IF((B68=G68),1,2)</f>
        <v>1</v>
      </c>
    </row>
    <row r="69" spans="2:13" ht="15" hidden="1" customHeight="1" x14ac:dyDescent="0.25">
      <c r="B69" s="49" t="str">
        <f>IF(($E63&gt;0),B63,B61)</f>
        <v>per 100 youth petitioned</v>
      </c>
      <c r="C69" s="49">
        <f>IF(($E63&gt;0),C63,C62)</f>
        <v>1.17</v>
      </c>
      <c r="D69" s="49">
        <f>IF(($E63&gt;0),D63,D62)</f>
        <v>1.67</v>
      </c>
      <c r="E69" s="49">
        <f>MAX(C69:D69)</f>
        <v>1.67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1.06</v>
      </c>
      <c r="D70" s="49">
        <f>IF(($E64&gt;0),D64,D63)</f>
        <v>1.45</v>
      </c>
      <c r="E70" s="56">
        <f>MAX(C70:D70)</f>
        <v>1.45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Saginaw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9569</v>
      </c>
      <c r="D6" s="34"/>
      <c r="E6" s="33">
        <f>'Data Entry'!F6</f>
        <v>252</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5.6432229073048381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252</v>
      </c>
      <c r="P7" s="42">
        <f t="shared" ref="P7:P15" si="4">C7</f>
        <v>54</v>
      </c>
      <c r="Q7" s="42">
        <f>C6-C7</f>
        <v>9515</v>
      </c>
      <c r="R7" s="42">
        <f t="shared" ref="R7:R15" si="5">SUM(N7:Q7)</f>
        <v>9821</v>
      </c>
      <c r="S7" s="30">
        <f t="shared" ref="S7:S15" si="6">R7*((((N7*Q7)-(O7*P7))^2))</f>
        <v>1818629838144</v>
      </c>
      <c r="T7" s="30">
        <f t="shared" ref="T7:T15" si="7">(N7+O7)*(P7+Q7)*(N7+P7)*(O7+Q7)</f>
        <v>1271809436184</v>
      </c>
      <c r="U7" s="31">
        <f t="shared" ref="U7:U15" si="8">IF((S7&gt;0),S7/T7,"- -")</f>
        <v>1.4299546664795215</v>
      </c>
    </row>
    <row r="8" spans="2:21" ht="18" customHeight="1" x14ac:dyDescent="0.25">
      <c r="B8" s="32" t="str">
        <f>'Data Entry'!A8</f>
        <v>3. Refer to Juvenile Court</v>
      </c>
      <c r="C8" s="33">
        <f>'Data Entry'!C8</f>
        <v>117</v>
      </c>
      <c r="D8" s="34">
        <f>IF((AND(C67&gt;0,C8&gt;0)),(C8/C67),0)</f>
        <v>216.66666666666666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117</v>
      </c>
      <c r="Q8" s="42">
        <f>(C$67*L67)-C8</f>
        <v>-63</v>
      </c>
      <c r="R8" s="42">
        <f t="shared" si="5"/>
        <v>54.05</v>
      </c>
      <c r="S8" s="30">
        <f t="shared" si="6"/>
        <v>1849.7261250000001</v>
      </c>
      <c r="T8" s="30">
        <f t="shared" si="7"/>
        <v>-19885.905000000002</v>
      </c>
      <c r="U8" s="31">
        <f t="shared" si="8"/>
        <v>-9.3016944665078094E-2</v>
      </c>
    </row>
    <row r="9" spans="2:21" ht="18" customHeight="1" x14ac:dyDescent="0.25">
      <c r="B9" s="32" t="str">
        <f>'Data Entry'!A9</f>
        <v xml:space="preserve">4. Cases Diverted </v>
      </c>
      <c r="C9" s="33">
        <f>'Data Entry'!C9</f>
        <v>11</v>
      </c>
      <c r="D9" s="34">
        <f>IF((AND(C68&gt;0,C9&gt;0)),((C9/C68)),0)</f>
        <v>9.4017094017094021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106</v>
      </c>
      <c r="R9" s="42">
        <f t="shared" si="5"/>
        <v>117</v>
      </c>
      <c r="S9" s="30">
        <f t="shared" si="6"/>
        <v>0</v>
      </c>
      <c r="T9" s="30">
        <f t="shared" si="7"/>
        <v>0</v>
      </c>
      <c r="U9" s="31" t="str">
        <f t="shared" si="8"/>
        <v>- -</v>
      </c>
    </row>
    <row r="10" spans="2:21" ht="18" customHeight="1" x14ac:dyDescent="0.25">
      <c r="B10" s="32" t="str">
        <f>'Data Entry'!A10</f>
        <v>5. Cases Involving Secure Detention</v>
      </c>
      <c r="C10" s="33">
        <f>'Data Entry'!C10</f>
        <v>73</v>
      </c>
      <c r="D10" s="34">
        <f>IF(((AND(C68&gt;0,C10&gt;0))),(C10/(C68)),0)</f>
        <v>62.393162393162399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73</v>
      </c>
      <c r="Q10" s="42">
        <f>(C$68*L68)-C10</f>
        <v>44</v>
      </c>
      <c r="R10" s="42">
        <f t="shared" si="5"/>
        <v>117</v>
      </c>
      <c r="S10" s="30">
        <f t="shared" si="6"/>
        <v>0</v>
      </c>
      <c r="T10" s="30">
        <f t="shared" si="7"/>
        <v>0</v>
      </c>
      <c r="U10" s="31" t="str">
        <f t="shared" si="8"/>
        <v>- -</v>
      </c>
    </row>
    <row r="11" spans="2:21" ht="18" customHeight="1" x14ac:dyDescent="0.25">
      <c r="B11" s="32" t="str">
        <f>'Data Entry'!A11</f>
        <v>6. Cases Petitioned (Charge Filed)</v>
      </c>
      <c r="C11" s="33">
        <f>'Data Entry'!C11</f>
        <v>117</v>
      </c>
      <c r="D11" s="34">
        <f>IF(((AND(C68&gt;0,C11&gt;0))),(C11/(C68)),0)</f>
        <v>100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117</v>
      </c>
      <c r="Q11" s="42">
        <f>(C$68*L68)-C11</f>
        <v>0</v>
      </c>
      <c r="R11" s="42">
        <f t="shared" si="5"/>
        <v>117</v>
      </c>
      <c r="S11" s="30">
        <f t="shared" si="6"/>
        <v>0</v>
      </c>
      <c r="T11" s="30">
        <f t="shared" si="7"/>
        <v>0</v>
      </c>
      <c r="U11" s="31" t="str">
        <f t="shared" si="8"/>
        <v>- -</v>
      </c>
    </row>
    <row r="12" spans="2:21" ht="18" customHeight="1" x14ac:dyDescent="0.25">
      <c r="B12" s="32" t="str">
        <f>'Data Entry'!A12</f>
        <v>7. Cases Resulting in Delinquent Findings</v>
      </c>
      <c r="C12" s="33">
        <f>'Data Entry'!C12</f>
        <v>106</v>
      </c>
      <c r="D12" s="34">
        <f>IF(((AND(C69&gt;0,C12&gt;0))),(C12/(C69)),0)</f>
        <v>90.598290598290603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106</v>
      </c>
      <c r="Q12" s="42">
        <f>(C69*L69)-C12</f>
        <v>11</v>
      </c>
      <c r="R12" s="42">
        <f t="shared" si="5"/>
        <v>117</v>
      </c>
      <c r="S12" s="30">
        <f t="shared" si="6"/>
        <v>0</v>
      </c>
      <c r="T12" s="30">
        <f t="shared" si="7"/>
        <v>0</v>
      </c>
      <c r="U12" s="31" t="str">
        <f t="shared" si="8"/>
        <v>- -</v>
      </c>
    </row>
    <row r="13" spans="2:21" ht="18" customHeight="1" x14ac:dyDescent="0.25">
      <c r="B13" s="32" t="str">
        <f>'Data Entry'!A13</f>
        <v>8. Cases Resulting in Probation Placement</v>
      </c>
      <c r="C13" s="33">
        <f>'Data Entry'!C13</f>
        <v>101</v>
      </c>
      <c r="D13" s="34">
        <f>IF(((AND(C70&gt;0,C13&gt;0))),(C13/(C70)),0)</f>
        <v>95.283018867924525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101</v>
      </c>
      <c r="Q13" s="42">
        <f>(C70*L70)-C13</f>
        <v>5</v>
      </c>
      <c r="R13" s="42">
        <f t="shared" si="5"/>
        <v>106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4.7169811320754711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101</v>
      </c>
      <c r="R14" s="42">
        <f t="shared" si="5"/>
        <v>106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117</v>
      </c>
      <c r="R15" s="42">
        <f t="shared" si="5"/>
        <v>117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9.5690000000000008</v>
      </c>
      <c r="D42" s="56">
        <f>E6/1000</f>
        <v>0.252</v>
      </c>
      <c r="E42" s="56">
        <f>MAX(C42:D42)</f>
        <v>9.5690000000000008</v>
      </c>
      <c r="G42" s="1" t="str">
        <f>B42</f>
        <v>per 1000 youth</v>
      </c>
      <c r="L42" s="57">
        <v>1000</v>
      </c>
      <c r="M42" s="57"/>
      <c r="R42" s="49"/>
    </row>
    <row r="43" spans="2:18" ht="15" hidden="1" customHeight="1" x14ac:dyDescent="0.25">
      <c r="B43" s="49" t="s">
        <v>87</v>
      </c>
      <c r="C43" s="56">
        <f>C7/100</f>
        <v>0.54</v>
      </c>
      <c r="D43" s="56">
        <f>E7/100</f>
        <v>0</v>
      </c>
      <c r="E43" s="56">
        <f>MAX(C43:D43,0)</f>
        <v>0.54</v>
      </c>
      <c r="G43" s="1" t="str">
        <f>B43</f>
        <v>per 100 arrests</v>
      </c>
      <c r="L43" s="57">
        <v>100</v>
      </c>
      <c r="M43" s="57"/>
      <c r="R43" s="49"/>
    </row>
    <row r="44" spans="2:18" ht="15" hidden="1" customHeight="1" x14ac:dyDescent="0.25">
      <c r="B44" s="49" t="s">
        <v>88</v>
      </c>
      <c r="C44" s="56">
        <f>C8/100</f>
        <v>1.17</v>
      </c>
      <c r="D44" s="56">
        <f>E8/100</f>
        <v>0</v>
      </c>
      <c r="E44" s="56">
        <f>MAX(C44:D44,0)</f>
        <v>1.17</v>
      </c>
      <c r="G44" s="1" t="str">
        <f>B44</f>
        <v>per 100 referrals</v>
      </c>
      <c r="L44" s="57">
        <v>100</v>
      </c>
      <c r="M44" s="57"/>
      <c r="R44" s="49"/>
    </row>
    <row r="45" spans="2:18" ht="15" hidden="1" customHeight="1" x14ac:dyDescent="0.25">
      <c r="B45" s="49" t="s">
        <v>89</v>
      </c>
      <c r="C45" s="49">
        <f>C11/100</f>
        <v>1.17</v>
      </c>
      <c r="D45" s="49">
        <f>E11/100</f>
        <v>0</v>
      </c>
      <c r="E45" s="56">
        <f>MAX(C45:D45,0)</f>
        <v>1.17</v>
      </c>
      <c r="G45" s="1" t="str">
        <f>B45</f>
        <v>per 100 youth petitioned</v>
      </c>
      <c r="L45" s="57">
        <v>100</v>
      </c>
      <c r="M45" s="57"/>
      <c r="R45" s="49"/>
    </row>
    <row r="46" spans="2:18" ht="15" hidden="1" customHeight="1" x14ac:dyDescent="0.25">
      <c r="B46" s="49" t="s">
        <v>90</v>
      </c>
      <c r="C46" s="49">
        <f>C12/100</f>
        <v>1.06</v>
      </c>
      <c r="D46" s="49">
        <f>E12/100</f>
        <v>0</v>
      </c>
      <c r="E46" s="56">
        <f>MAX(C46:D46)</f>
        <v>1.06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9.5690000000000008</v>
      </c>
      <c r="D48" s="56">
        <f>D42</f>
        <v>0.252</v>
      </c>
      <c r="E48" s="56">
        <f>MAX(C48:D48)</f>
        <v>9.5690000000000008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1.17</v>
      </c>
      <c r="D50" s="49">
        <f t="shared" si="9"/>
        <v>0</v>
      </c>
      <c r="E50" s="49">
        <f>MAX(C50:D50)</f>
        <v>1.17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1.17</v>
      </c>
      <c r="D51" s="49">
        <f>IF(($E45&gt;0),D45,D44)</f>
        <v>0</v>
      </c>
      <c r="E51" s="49">
        <f>MAX(C51:D51)</f>
        <v>1.17</v>
      </c>
      <c r="G51" s="1" t="str">
        <f>G45</f>
        <v>per 100 youth petitioned</v>
      </c>
      <c r="L51" s="58">
        <f>IF(($E45&gt;0),L45,L44)</f>
        <v>100</v>
      </c>
      <c r="M51" s="58"/>
    </row>
    <row r="52" spans="2:18" ht="15" hidden="1" customHeight="1" x14ac:dyDescent="0.25">
      <c r="B52" s="49" t="str">
        <f>IF(($E46&gt;0),B46,B45)</f>
        <v>per 100 youth found delinquent</v>
      </c>
      <c r="C52" s="49">
        <f>IF(($E46&gt;0),C46,C45)</f>
        <v>1.06</v>
      </c>
      <c r="D52" s="49">
        <f>IF(($E46&gt;0),D46,D45)</f>
        <v>0</v>
      </c>
      <c r="E52" s="56">
        <f>MAX(C52:D52)</f>
        <v>1.06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9.5690000000000008</v>
      </c>
      <c r="D54" s="56">
        <f>D48</f>
        <v>0.252</v>
      </c>
      <c r="E54" s="56">
        <f>MAX(C54:D54)</f>
        <v>9.5690000000000008</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x14ac:dyDescent="0.25">
      <c r="B56" s="49" t="str">
        <f t="shared" si="10"/>
        <v>per 100 referrals</v>
      </c>
      <c r="C56" s="49">
        <f t="shared" si="10"/>
        <v>1.17</v>
      </c>
      <c r="D56" s="49">
        <f t="shared" si="10"/>
        <v>0</v>
      </c>
      <c r="E56" s="49">
        <f>MAX(C56:D56)</f>
        <v>1.17</v>
      </c>
      <c r="G56" s="1" t="str">
        <f>G50</f>
        <v>per 100 referrals</v>
      </c>
      <c r="L56" s="58">
        <f>IF(($E50&gt;0),L50,L49)</f>
        <v>100</v>
      </c>
      <c r="M56" s="58"/>
    </row>
    <row r="57" spans="2:18" ht="15" hidden="1" customHeight="1" x14ac:dyDescent="0.25">
      <c r="B57" s="49" t="str">
        <f>IF(($E51&gt;0),B51,B49)</f>
        <v>per 100 youth petitioned</v>
      </c>
      <c r="C57" s="49">
        <f>IF(($E51&gt;0),C51,C50)</f>
        <v>1.17</v>
      </c>
      <c r="D57" s="49">
        <f>IF(($E51&gt;0),D51,D50)</f>
        <v>0</v>
      </c>
      <c r="E57" s="49">
        <f>MAX(C57:D57)</f>
        <v>1.17</v>
      </c>
      <c r="G57" s="1" t="str">
        <f>G51</f>
        <v>per 100 youth petitioned</v>
      </c>
      <c r="L57" s="58">
        <f>IF(($E51&gt;0),L51,L50)</f>
        <v>100</v>
      </c>
      <c r="M57" s="58"/>
    </row>
    <row r="58" spans="2:18" ht="15" hidden="1" customHeight="1" x14ac:dyDescent="0.25">
      <c r="B58" s="49" t="str">
        <f>IF(($E52&gt;0),B52,B51)</f>
        <v>per 100 youth found delinquent</v>
      </c>
      <c r="C58" s="49">
        <f>IF(($E52&gt;0),C52,C51)</f>
        <v>1.06</v>
      </c>
      <c r="D58" s="49">
        <f>IF(($E52&gt;0),D52,D51)</f>
        <v>0</v>
      </c>
      <c r="E58" s="56">
        <f>MAX(C58:D58)</f>
        <v>1.06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9.5690000000000008</v>
      </c>
      <c r="D60" s="56">
        <f>D54</f>
        <v>0.252</v>
      </c>
      <c r="E60" s="56">
        <f>MAX(C60:D60)</f>
        <v>9.5690000000000008</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x14ac:dyDescent="0.25">
      <c r="B62" s="49" t="str">
        <f t="shared" si="11"/>
        <v>per 100 referrals</v>
      </c>
      <c r="C62" s="49">
        <f t="shared" si="11"/>
        <v>1.17</v>
      </c>
      <c r="D62" s="49">
        <f t="shared" si="11"/>
        <v>0</v>
      </c>
      <c r="E62" s="49">
        <f>MAX(C62:D62)</f>
        <v>1.17</v>
      </c>
      <c r="G62" s="1" t="str">
        <f>G56</f>
        <v>per 100 referrals</v>
      </c>
      <c r="L62" s="58">
        <f>IF(($E56&gt;0),L56,L55)</f>
        <v>100</v>
      </c>
      <c r="M62" s="58"/>
    </row>
    <row r="63" spans="2:18" ht="15" hidden="1" customHeight="1" x14ac:dyDescent="0.25">
      <c r="B63" s="49" t="str">
        <f>IF(($E57&gt;0),B57,B55)</f>
        <v>per 100 youth petitioned</v>
      </c>
      <c r="C63" s="49">
        <f>IF(($E57&gt;0),C57,C56)</f>
        <v>1.17</v>
      </c>
      <c r="D63" s="49">
        <f>IF(($E57&gt;0),D57,D56)</f>
        <v>0</v>
      </c>
      <c r="E63" s="49">
        <f>MAX(C63:D63)</f>
        <v>1.17</v>
      </c>
      <c r="G63" s="1" t="str">
        <f>G57</f>
        <v>per 100 youth petitioned</v>
      </c>
      <c r="L63" s="58">
        <f>IF(($E57&gt;0),L57,L56)</f>
        <v>100</v>
      </c>
      <c r="M63" s="58"/>
    </row>
    <row r="64" spans="2:18" ht="15" hidden="1" customHeight="1" x14ac:dyDescent="0.25">
      <c r="B64" s="49" t="str">
        <f>IF(($E58&gt;0),B58,B57)</f>
        <v>per 100 youth found delinquent</v>
      </c>
      <c r="C64" s="49">
        <f>IF(($E58&gt;0),C58,C57)</f>
        <v>1.06</v>
      </c>
      <c r="D64" s="49">
        <f>IF(($E58&gt;0),D58,D57)</f>
        <v>0</v>
      </c>
      <c r="E64" s="56">
        <f>MAX(C64:D64)</f>
        <v>1.06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9.5690000000000008</v>
      </c>
      <c r="D66" s="56">
        <f>D60</f>
        <v>0.252</v>
      </c>
      <c r="E66" s="56">
        <f>MAX(C66:D66)</f>
        <v>9.5690000000000008</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1.17</v>
      </c>
      <c r="D68" s="49">
        <f t="shared" si="12"/>
        <v>0</v>
      </c>
      <c r="E68" s="49">
        <f>MAX(C68:D68)</f>
        <v>1.17</v>
      </c>
      <c r="G68" s="1" t="str">
        <f>G62</f>
        <v>per 100 referrals</v>
      </c>
      <c r="L68" s="58">
        <f>IF(($E62&gt;0),L62,L61)</f>
        <v>100</v>
      </c>
      <c r="M68" s="58">
        <f>IF((B68=G68),1,2)</f>
        <v>1</v>
      </c>
    </row>
    <row r="69" spans="2:13" ht="15" hidden="1" customHeight="1" x14ac:dyDescent="0.25">
      <c r="B69" s="49" t="str">
        <f>IF(($E63&gt;0),B63,B61)</f>
        <v>per 100 youth petitioned</v>
      </c>
      <c r="C69" s="49">
        <f>IF(($E63&gt;0),C63,C62)</f>
        <v>1.17</v>
      </c>
      <c r="D69" s="49">
        <f>IF(($E63&gt;0),D63,D62)</f>
        <v>0</v>
      </c>
      <c r="E69" s="49">
        <f>MAX(C69:D69)</f>
        <v>1.17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1.06</v>
      </c>
      <c r="D70" s="49">
        <f>IF(($E64&gt;0),D64,D63)</f>
        <v>0</v>
      </c>
      <c r="E70" s="56">
        <f>MAX(C70:D70)</f>
        <v>1.06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Saginaw</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9569</v>
      </c>
      <c r="D6" s="34"/>
      <c r="E6" s="33">
        <f>'Data Entry'!E6</f>
        <v>2248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5.6432229073048381</v>
      </c>
      <c r="E7" s="33">
        <f>'Data Entry'!E7</f>
        <v>18</v>
      </c>
      <c r="F7" s="34">
        <f>IF((AND($E$7&gt;0,$D$66&gt;0)),($E$7/$D$66),0)</f>
        <v>8.0071174377224192</v>
      </c>
      <c r="G7" s="39">
        <f t="shared" ref="G7:G15" si="0">IF(L$6=100,"*",IF(M7=FALSE,"--",IF(K7=20,"**",($F7/$D7))))</f>
        <v>1.4188908659549229</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18</v>
      </c>
      <c r="O7" s="42">
        <f>E6-E7</f>
        <v>2230</v>
      </c>
      <c r="P7" s="42">
        <f t="shared" ref="P7:P15" si="4">C7</f>
        <v>54</v>
      </c>
      <c r="Q7" s="42">
        <f>C6-C7</f>
        <v>9515</v>
      </c>
      <c r="R7" s="42">
        <f t="shared" ref="R7:R15" si="5">SUM(N7:Q7)</f>
        <v>11817</v>
      </c>
      <c r="S7" s="30">
        <f t="shared" ref="S7:S15" si="6">R7*((((N7*Q7)-(O7*P7))^2))</f>
        <v>30555482782500</v>
      </c>
      <c r="T7" s="30">
        <f t="shared" ref="T7:T15" si="7">(N7+O7)*(P7+Q7)*(N7+P7)*(O7+Q7)</f>
        <v>18190656751680</v>
      </c>
      <c r="U7" s="31">
        <f t="shared" ref="U7:U15" si="8">IF((S7&gt;0),S7/T7,"- -")</f>
        <v>1.6797349980053933</v>
      </c>
    </row>
    <row r="8" spans="2:21" ht="18" customHeight="1" x14ac:dyDescent="0.25">
      <c r="B8" s="32" t="str">
        <f>'Data Entry'!A8</f>
        <v>3. Refer to Juvenile Court</v>
      </c>
      <c r="C8" s="33">
        <f>'Data Entry'!C8</f>
        <v>117</v>
      </c>
      <c r="D8" s="34">
        <f>IF((AND(C67&gt;0,C8&gt;0)),(C8/C67),0)</f>
        <v>216.66666666666666</v>
      </c>
      <c r="E8" s="33">
        <f>'Data Entry'!E8</f>
        <v>24</v>
      </c>
      <c r="F8" s="34">
        <f>IF((AND($E$8&gt;0,$D$67&gt;0)),($E8/$D67),0)</f>
        <v>133.33333333333334</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24</v>
      </c>
      <c r="O8" s="42">
        <f>((D67*L67)-E8)+0.05</f>
        <v>-5.95</v>
      </c>
      <c r="P8" s="42">
        <f t="shared" si="4"/>
        <v>117</v>
      </c>
      <c r="Q8" s="42">
        <f>(C$67*L67)-C8</f>
        <v>-63</v>
      </c>
      <c r="R8" s="42">
        <f t="shared" si="5"/>
        <v>72.050000000000011</v>
      </c>
      <c r="S8" s="30">
        <f t="shared" si="6"/>
        <v>47957288.581125014</v>
      </c>
      <c r="T8" s="30">
        <f t="shared" si="7"/>
        <v>-9475984.665000001</v>
      </c>
      <c r="U8" s="31">
        <f t="shared" si="8"/>
        <v>-5.0609293151620998</v>
      </c>
    </row>
    <row r="9" spans="2:21" ht="18" customHeight="1" x14ac:dyDescent="0.25">
      <c r="B9" s="32" t="str">
        <f>'Data Entry'!A9</f>
        <v xml:space="preserve">4. Cases Diverted </v>
      </c>
      <c r="C9" s="33">
        <f>'Data Entry'!C9</f>
        <v>11</v>
      </c>
      <c r="D9" s="34">
        <f>IF((AND(C68&gt;0,C9&gt;0)),((C9/C68)),0)</f>
        <v>9.4017094017094021</v>
      </c>
      <c r="E9" s="33">
        <f>'Data Entry'!E9</f>
        <v>1</v>
      </c>
      <c r="F9" s="34">
        <f>IF((AND($E$9&gt;0,$D$68&gt;0)),(($E$9/$D$68)),0)</f>
        <v>4.166666666666667</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23</v>
      </c>
      <c r="P9" s="42">
        <f t="shared" si="4"/>
        <v>11</v>
      </c>
      <c r="Q9" s="42">
        <f>(C$68*L68)-C9</f>
        <v>106</v>
      </c>
      <c r="R9" s="42">
        <f t="shared" si="5"/>
        <v>141</v>
      </c>
      <c r="S9" s="30">
        <f t="shared" si="6"/>
        <v>3046869</v>
      </c>
      <c r="T9" s="30">
        <f t="shared" si="7"/>
        <v>4346784</v>
      </c>
      <c r="U9" s="31">
        <f t="shared" si="8"/>
        <v>0.7009478731862453</v>
      </c>
    </row>
    <row r="10" spans="2:21" ht="18" customHeight="1" x14ac:dyDescent="0.25">
      <c r="B10" s="32" t="str">
        <f>'Data Entry'!A10</f>
        <v>5. Cases Involving Secure Detention</v>
      </c>
      <c r="C10" s="33">
        <f>'Data Entry'!C10</f>
        <v>73</v>
      </c>
      <c r="D10" s="34">
        <f>IF(((AND(C68&gt;0,C10&gt;0))),(C10/(C68)),0)</f>
        <v>62.393162393162399</v>
      </c>
      <c r="E10" s="33">
        <f>'Data Entry'!E10</f>
        <v>17</v>
      </c>
      <c r="F10" s="34">
        <f>IF(((AND($E$10&gt;0,$D$68&gt;0))),($E$10/($D$68)),0)</f>
        <v>70.833333333333343</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17</v>
      </c>
      <c r="O10" s="42">
        <f>(D$68*L68)-E10</f>
        <v>7</v>
      </c>
      <c r="P10" s="42">
        <f t="shared" si="4"/>
        <v>73</v>
      </c>
      <c r="Q10" s="42">
        <f>(C$68*L68)-C10</f>
        <v>44</v>
      </c>
      <c r="R10" s="42">
        <f t="shared" si="5"/>
        <v>141</v>
      </c>
      <c r="S10" s="30">
        <f t="shared" si="6"/>
        <v>7919829</v>
      </c>
      <c r="T10" s="30">
        <f t="shared" si="7"/>
        <v>12888720</v>
      </c>
      <c r="U10" s="31">
        <f t="shared" si="8"/>
        <v>0.61447754315401371</v>
      </c>
    </row>
    <row r="11" spans="2:21" ht="18" customHeight="1" x14ac:dyDescent="0.25">
      <c r="B11" s="32" t="str">
        <f>'Data Entry'!A11</f>
        <v>6. Cases Petitioned (Charge Filed)</v>
      </c>
      <c r="C11" s="33">
        <f>'Data Entry'!C11</f>
        <v>117</v>
      </c>
      <c r="D11" s="34">
        <f>IF(((AND(C68&gt;0,C11&gt;0))),(C11/(C68)),0)</f>
        <v>100</v>
      </c>
      <c r="E11" s="33">
        <f>'Data Entry'!E11</f>
        <v>24</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24</v>
      </c>
      <c r="O11" s="42">
        <f>(D$68*L68)-E11</f>
        <v>0</v>
      </c>
      <c r="P11" s="42">
        <f t="shared" si="4"/>
        <v>117</v>
      </c>
      <c r="Q11" s="42">
        <f>(C$68*L68)-C11</f>
        <v>0</v>
      </c>
      <c r="R11" s="42">
        <f t="shared" si="5"/>
        <v>141</v>
      </c>
      <c r="S11" s="30">
        <f t="shared" si="6"/>
        <v>0</v>
      </c>
      <c r="T11" s="30">
        <f t="shared" si="7"/>
        <v>0</v>
      </c>
      <c r="U11" s="31" t="str">
        <f t="shared" si="8"/>
        <v>- -</v>
      </c>
    </row>
    <row r="12" spans="2:21" ht="18" customHeight="1" x14ac:dyDescent="0.25">
      <c r="B12" s="32" t="str">
        <f>'Data Entry'!A12</f>
        <v>7. Cases Resulting in Delinquent Findings</v>
      </c>
      <c r="C12" s="33">
        <f>'Data Entry'!C12</f>
        <v>106</v>
      </c>
      <c r="D12" s="34">
        <f>IF(((AND(C69&gt;0,C12&gt;0))),(C12/(C69)),0)</f>
        <v>90.598290598290603</v>
      </c>
      <c r="E12" s="33">
        <f>'Data Entry'!E12</f>
        <v>20</v>
      </c>
      <c r="F12" s="34">
        <f>IF(((AND($D$69&gt;0,$E$12&gt;0))),(E12/(D69)),0)</f>
        <v>83.333333333333343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20</v>
      </c>
      <c r="O12" s="42">
        <f>(D69*L69)-E12</f>
        <v>4</v>
      </c>
      <c r="P12" s="42">
        <f t="shared" si="4"/>
        <v>106</v>
      </c>
      <c r="Q12" s="42">
        <f>(C69*L69)-C12</f>
        <v>11</v>
      </c>
      <c r="R12" s="42">
        <f t="shared" si="5"/>
        <v>141</v>
      </c>
      <c r="S12" s="30">
        <f t="shared" si="6"/>
        <v>5867856</v>
      </c>
      <c r="T12" s="30">
        <f t="shared" si="7"/>
        <v>5307120</v>
      </c>
      <c r="U12" s="31">
        <f t="shared" si="8"/>
        <v>1.1056573056573056</v>
      </c>
    </row>
    <row r="13" spans="2:21" ht="18" customHeight="1" x14ac:dyDescent="0.25">
      <c r="B13" s="32" t="str">
        <f>'Data Entry'!A13</f>
        <v>8. Cases Resulting in Probation Placement</v>
      </c>
      <c r="C13" s="33">
        <f>'Data Entry'!C13</f>
        <v>101</v>
      </c>
      <c r="D13" s="34">
        <f>IF(((AND(C70&gt;0,C13&gt;0))),(C13/(C70)),0)</f>
        <v>95.283018867924525</v>
      </c>
      <c r="E13" s="33">
        <f>'Data Entry'!E13</f>
        <v>18</v>
      </c>
      <c r="F13" s="34">
        <f>IF(((AND($D$70&gt;0,$E$13&gt;0))),($E$13/($D$70)),0)</f>
        <v>90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18</v>
      </c>
      <c r="O13" s="42">
        <f>(D70*L70)-E13</f>
        <v>2</v>
      </c>
      <c r="P13" s="42">
        <f t="shared" si="4"/>
        <v>101</v>
      </c>
      <c r="Q13" s="42">
        <f>(C70*L70)-C13</f>
        <v>5</v>
      </c>
      <c r="R13" s="42">
        <f t="shared" si="5"/>
        <v>126</v>
      </c>
      <c r="S13" s="30">
        <f t="shared" si="6"/>
        <v>1580544</v>
      </c>
      <c r="T13" s="30">
        <f t="shared" si="7"/>
        <v>1765960</v>
      </c>
      <c r="U13" s="31">
        <f t="shared" si="8"/>
        <v>0.89500554938956711</v>
      </c>
    </row>
    <row r="14" spans="2:21" ht="30.75" customHeight="1" x14ac:dyDescent="0.25">
      <c r="B14" s="32" t="str">
        <f>'Data Entry'!A14</f>
        <v xml:space="preserve">9. Cases Resulting in Confinement in Secure Juvenile Correctional Facilities </v>
      </c>
      <c r="C14" s="33">
        <f>'Data Entry'!C14</f>
        <v>5</v>
      </c>
      <c r="D14" s="34">
        <f>IF(((AND(C70&gt;0,C14&gt;0))), ((C14/(C70))),0)</f>
        <v>4.7169811320754711</v>
      </c>
      <c r="E14" s="33">
        <f>'Data Entry'!E14</f>
        <v>1</v>
      </c>
      <c r="F14" s="34">
        <f>IF(((AND($D$70&gt;0,$E$14&gt;0))), (($E$14/($D$70))),0)</f>
        <v>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19</v>
      </c>
      <c r="P14" s="42">
        <f t="shared" si="4"/>
        <v>5</v>
      </c>
      <c r="Q14" s="42">
        <f>(C70*L70)-C14</f>
        <v>101</v>
      </c>
      <c r="R14" s="42">
        <f t="shared" si="5"/>
        <v>126</v>
      </c>
      <c r="S14" s="30">
        <f t="shared" si="6"/>
        <v>4536</v>
      </c>
      <c r="T14" s="30">
        <f t="shared" si="7"/>
        <v>1526400</v>
      </c>
      <c r="U14" s="31">
        <f t="shared" si="8"/>
        <v>2.9716981132075471E-3</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24</v>
      </c>
      <c r="P15" s="42">
        <f t="shared" si="4"/>
        <v>0</v>
      </c>
      <c r="Q15" s="42">
        <f>(C69*L69)-C15</f>
        <v>117</v>
      </c>
      <c r="R15" s="42">
        <f t="shared" si="5"/>
        <v>141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9.5690000000000008</v>
      </c>
      <c r="D42" s="56">
        <f>E6/1000</f>
        <v>2.2480000000000002</v>
      </c>
      <c r="E42" s="56">
        <f>MAX(C42:D42)</f>
        <v>9.5690000000000008</v>
      </c>
      <c r="G42" s="1" t="str">
        <f>B42</f>
        <v>per 1000 youth</v>
      </c>
      <c r="L42" s="57">
        <v>1000</v>
      </c>
      <c r="M42" s="57"/>
      <c r="R42" s="49"/>
    </row>
    <row r="43" spans="2:18" ht="15" hidden="1" customHeight="1" x14ac:dyDescent="0.25">
      <c r="B43" s="49" t="s">
        <v>87</v>
      </c>
      <c r="C43" s="56">
        <f>C7/100</f>
        <v>0.54</v>
      </c>
      <c r="D43" s="56">
        <f>E7/100</f>
        <v>0.18</v>
      </c>
      <c r="E43" s="56">
        <f>MAX(C43:D43,0)</f>
        <v>0.54</v>
      </c>
      <c r="G43" s="1" t="str">
        <f>B43</f>
        <v>per 100 arrests</v>
      </c>
      <c r="L43" s="57">
        <v>100</v>
      </c>
      <c r="M43" s="57"/>
      <c r="R43" s="49"/>
    </row>
    <row r="44" spans="2:18" ht="15" hidden="1" customHeight="1" x14ac:dyDescent="0.25">
      <c r="B44" s="49" t="s">
        <v>88</v>
      </c>
      <c r="C44" s="56">
        <f>C8/100</f>
        <v>1.17</v>
      </c>
      <c r="D44" s="56">
        <f>E8/100</f>
        <v>0.24</v>
      </c>
      <c r="E44" s="56">
        <f>MAX(C44:D44,0)</f>
        <v>1.17</v>
      </c>
      <c r="G44" s="1" t="str">
        <f>B44</f>
        <v>per 100 referrals</v>
      </c>
      <c r="L44" s="57">
        <v>100</v>
      </c>
      <c r="M44" s="57"/>
      <c r="R44" s="49"/>
    </row>
    <row r="45" spans="2:18" ht="15" hidden="1" customHeight="1" x14ac:dyDescent="0.25">
      <c r="B45" s="49" t="s">
        <v>89</v>
      </c>
      <c r="C45" s="49">
        <f>C11/100</f>
        <v>1.17</v>
      </c>
      <c r="D45" s="49">
        <f>E11/100</f>
        <v>0.24</v>
      </c>
      <c r="E45" s="56">
        <f>MAX(C45:D45,0)</f>
        <v>1.17</v>
      </c>
      <c r="G45" s="1" t="str">
        <f>B45</f>
        <v>per 100 youth petitioned</v>
      </c>
      <c r="L45" s="57">
        <v>100</v>
      </c>
      <c r="M45" s="57"/>
      <c r="R45" s="49"/>
    </row>
    <row r="46" spans="2:18" ht="15" hidden="1" customHeight="1" x14ac:dyDescent="0.25">
      <c r="B46" s="49" t="s">
        <v>90</v>
      </c>
      <c r="C46" s="49">
        <f>C12/100</f>
        <v>1.06</v>
      </c>
      <c r="D46" s="49">
        <f>E12/100</f>
        <v>0.2</v>
      </c>
      <c r="E46" s="56">
        <f>MAX(C46:D46)</f>
        <v>1.06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9.5690000000000008</v>
      </c>
      <c r="D48" s="56">
        <f>D42</f>
        <v>2.2480000000000002</v>
      </c>
      <c r="E48" s="56">
        <f>MAX(C48:D48)</f>
        <v>9.5690000000000008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0.18</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1.17</v>
      </c>
      <c r="D50" s="49">
        <f t="shared" si="9"/>
        <v>0.24</v>
      </c>
      <c r="E50" s="49">
        <f>MAX(C50:D50)</f>
        <v>1.17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1.17</v>
      </c>
      <c r="D51" s="49">
        <f>IF(($E45&gt;0),D45,D44)</f>
        <v>0.24</v>
      </c>
      <c r="E51" s="49">
        <f>MAX(C51:D51)</f>
        <v>1.17</v>
      </c>
      <c r="G51" s="1" t="str">
        <f>G45</f>
        <v>per 100 youth petitioned</v>
      </c>
      <c r="L51" s="58">
        <f>IF(($E45&gt;0),L45,L44)</f>
        <v>100</v>
      </c>
      <c r="M51" s="58"/>
    </row>
    <row r="52" spans="2:18" ht="15" hidden="1" customHeight="1" x14ac:dyDescent="0.25">
      <c r="B52" s="49" t="str">
        <f>IF(($E46&gt;0),B46,B45)</f>
        <v>per 100 youth found delinquent</v>
      </c>
      <c r="C52" s="49">
        <f>IF(($E46&gt;0),C46,C45)</f>
        <v>1.06</v>
      </c>
      <c r="D52" s="49">
        <f>IF(($E46&gt;0),D46,D45)</f>
        <v>0.2</v>
      </c>
      <c r="E52" s="56">
        <f>MAX(C52:D52)</f>
        <v>1.06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9.5690000000000008</v>
      </c>
      <c r="D54" s="56">
        <f>D48</f>
        <v>2.2480000000000002</v>
      </c>
      <c r="E54" s="56">
        <f>MAX(C54:D54)</f>
        <v>9.5690000000000008</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0.18</v>
      </c>
      <c r="E55" s="49">
        <f>MAX(C55:D55)</f>
        <v>0.54</v>
      </c>
      <c r="G55" s="1" t="str">
        <f>G49</f>
        <v>per 100 arrests</v>
      </c>
      <c r="L55" s="58">
        <f>IF(($E49&gt;0),L49,L48)</f>
        <v>100</v>
      </c>
      <c r="M55" s="58"/>
    </row>
    <row r="56" spans="2:18" ht="15" hidden="1" customHeight="1" x14ac:dyDescent="0.25">
      <c r="B56" s="49" t="str">
        <f t="shared" si="10"/>
        <v>per 100 referrals</v>
      </c>
      <c r="C56" s="49">
        <f t="shared" si="10"/>
        <v>1.17</v>
      </c>
      <c r="D56" s="49">
        <f t="shared" si="10"/>
        <v>0.24</v>
      </c>
      <c r="E56" s="49">
        <f>MAX(C56:D56)</f>
        <v>1.17</v>
      </c>
      <c r="G56" s="1" t="str">
        <f>G50</f>
        <v>per 100 referrals</v>
      </c>
      <c r="L56" s="58">
        <f>IF(($E50&gt;0),L50,L49)</f>
        <v>100</v>
      </c>
      <c r="M56" s="58"/>
    </row>
    <row r="57" spans="2:18" ht="15" hidden="1" customHeight="1" x14ac:dyDescent="0.25">
      <c r="B57" s="49" t="str">
        <f>IF(($E51&gt;0),B51,B49)</f>
        <v>per 100 youth petitioned</v>
      </c>
      <c r="C57" s="49">
        <f>IF(($E51&gt;0),C51,C50)</f>
        <v>1.17</v>
      </c>
      <c r="D57" s="49">
        <f>IF(($E51&gt;0),D51,D50)</f>
        <v>0.24</v>
      </c>
      <c r="E57" s="49">
        <f>MAX(C57:D57)</f>
        <v>1.17</v>
      </c>
      <c r="G57" s="1" t="str">
        <f>G51</f>
        <v>per 100 youth petitioned</v>
      </c>
      <c r="L57" s="58">
        <f>IF(($E51&gt;0),L51,L50)</f>
        <v>100</v>
      </c>
      <c r="M57" s="58"/>
    </row>
    <row r="58" spans="2:18" ht="15" hidden="1" customHeight="1" x14ac:dyDescent="0.25">
      <c r="B58" s="49" t="str">
        <f>IF(($E52&gt;0),B52,B51)</f>
        <v>per 100 youth found delinquent</v>
      </c>
      <c r="C58" s="49">
        <f>IF(($E52&gt;0),C52,C51)</f>
        <v>1.06</v>
      </c>
      <c r="D58" s="49">
        <f>IF(($E52&gt;0),D52,D51)</f>
        <v>0.2</v>
      </c>
      <c r="E58" s="56">
        <f>MAX(C58:D58)</f>
        <v>1.06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9.5690000000000008</v>
      </c>
      <c r="D60" s="56">
        <f>D54</f>
        <v>2.2480000000000002</v>
      </c>
      <c r="E60" s="56">
        <f>MAX(C60:D60)</f>
        <v>9.5690000000000008</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0.18</v>
      </c>
      <c r="E61" s="49">
        <f>MAX(C61:D61)</f>
        <v>0.54</v>
      </c>
      <c r="G61" s="1" t="str">
        <f>G55</f>
        <v>per 100 arrests</v>
      </c>
      <c r="L61" s="58">
        <f>IF(($E55&gt;0),L55,L54)</f>
        <v>100</v>
      </c>
      <c r="M61" s="58"/>
    </row>
    <row r="62" spans="2:18" ht="15" hidden="1" customHeight="1" x14ac:dyDescent="0.25">
      <c r="B62" s="49" t="str">
        <f t="shared" si="11"/>
        <v>per 100 referrals</v>
      </c>
      <c r="C62" s="49">
        <f t="shared" si="11"/>
        <v>1.17</v>
      </c>
      <c r="D62" s="49">
        <f t="shared" si="11"/>
        <v>0.24</v>
      </c>
      <c r="E62" s="49">
        <f>MAX(C62:D62)</f>
        <v>1.17</v>
      </c>
      <c r="G62" s="1" t="str">
        <f>G56</f>
        <v>per 100 referrals</v>
      </c>
      <c r="L62" s="58">
        <f>IF(($E56&gt;0),L56,L55)</f>
        <v>100</v>
      </c>
      <c r="M62" s="58"/>
    </row>
    <row r="63" spans="2:18" ht="15" hidden="1" customHeight="1" x14ac:dyDescent="0.25">
      <c r="B63" s="49" t="str">
        <f>IF(($E57&gt;0),B57,B55)</f>
        <v>per 100 youth petitioned</v>
      </c>
      <c r="C63" s="49">
        <f>IF(($E57&gt;0),C57,C56)</f>
        <v>1.17</v>
      </c>
      <c r="D63" s="49">
        <f>IF(($E57&gt;0),D57,D56)</f>
        <v>0.24</v>
      </c>
      <c r="E63" s="49">
        <f>MAX(C63:D63)</f>
        <v>1.17</v>
      </c>
      <c r="G63" s="1" t="str">
        <f>G57</f>
        <v>per 100 youth petitioned</v>
      </c>
      <c r="L63" s="58">
        <f>IF(($E57&gt;0),L57,L56)</f>
        <v>100</v>
      </c>
      <c r="M63" s="58"/>
    </row>
    <row r="64" spans="2:18" ht="15" hidden="1" customHeight="1" x14ac:dyDescent="0.25">
      <c r="B64" s="49" t="str">
        <f>IF(($E58&gt;0),B58,B57)</f>
        <v>per 100 youth found delinquent</v>
      </c>
      <c r="C64" s="49">
        <f>IF(($E58&gt;0),C58,C57)</f>
        <v>1.06</v>
      </c>
      <c r="D64" s="49">
        <f>IF(($E58&gt;0),D58,D57)</f>
        <v>0.2</v>
      </c>
      <c r="E64" s="56">
        <f>MAX(C64:D64)</f>
        <v>1.06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9.5690000000000008</v>
      </c>
      <c r="D66" s="56">
        <f>D60</f>
        <v>2.2480000000000002</v>
      </c>
      <c r="E66" s="56">
        <f>MAX(C66:D66)</f>
        <v>9.5690000000000008</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0.18</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1.17</v>
      </c>
      <c r="D68" s="49">
        <f t="shared" si="12"/>
        <v>0.24</v>
      </c>
      <c r="E68" s="49">
        <f>MAX(C68:D68)</f>
        <v>1.17</v>
      </c>
      <c r="G68" s="1" t="str">
        <f>G62</f>
        <v>per 100 referrals</v>
      </c>
      <c r="L68" s="58">
        <f>IF(($E62&gt;0),L62,L61)</f>
        <v>100</v>
      </c>
      <c r="M68" s="58">
        <f>IF((B68=G68),1,2)</f>
        <v>1</v>
      </c>
    </row>
    <row r="69" spans="2:13" ht="15" hidden="1" customHeight="1" x14ac:dyDescent="0.25">
      <c r="B69" s="49" t="str">
        <f>IF(($E63&gt;0),B63,B61)</f>
        <v>per 100 youth petitioned</v>
      </c>
      <c r="C69" s="49">
        <f>IF(($E63&gt;0),C63,C62)</f>
        <v>1.17</v>
      </c>
      <c r="D69" s="49">
        <f>IF(($E63&gt;0),D63,D62)</f>
        <v>0.24</v>
      </c>
      <c r="E69" s="49">
        <f>MAX(C69:D69)</f>
        <v>1.17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1.06</v>
      </c>
      <c r="D70" s="49">
        <f>IF(($E64&gt;0),D64,D63)</f>
        <v>0.2</v>
      </c>
      <c r="E70" s="56">
        <f>MAX(C70:D70)</f>
        <v>1.06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Saginaw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9569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5.6432229073048381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54</v>
      </c>
      <c r="Q7" s="42">
        <f>C6-C7</f>
        <v>9515</v>
      </c>
      <c r="R7" s="42">
        <f t="shared" ref="R7:R15" si="5">SUM(N7:Q7)</f>
        <v>9569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117</v>
      </c>
      <c r="D8" s="34">
        <f>IF((AND(C67&gt;0,C8&gt;0)),(C8/C67),0)</f>
        <v>216.66666666666666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117</v>
      </c>
      <c r="Q8" s="42">
        <f>(C$67*L67)-C8</f>
        <v>-63</v>
      </c>
      <c r="R8" s="42">
        <f t="shared" si="5"/>
        <v>54.05</v>
      </c>
      <c r="S8" s="30">
        <f t="shared" si="6"/>
        <v>1849.7261250000001</v>
      </c>
      <c r="T8" s="30">
        <f t="shared" si="7"/>
        <v>-19885.905000000002</v>
      </c>
      <c r="U8" s="31">
        <f t="shared" si="8"/>
        <v>-9.3016944665078094E-2</v>
      </c>
    </row>
    <row r="9" spans="2:21" ht="18" customHeight="1" x14ac:dyDescent="0.25">
      <c r="B9" s="32" t="str">
        <f>'Data Entry'!A9</f>
        <v xml:space="preserve">4. Cases Diverted </v>
      </c>
      <c r="C9" s="33">
        <f>'Data Entry'!C9</f>
        <v>11</v>
      </c>
      <c r="D9" s="34">
        <f>IF((AND(C68&gt;0,C9&gt;0)),((C9/C68)),0)</f>
        <v>9.4017094017094021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106</v>
      </c>
      <c r="R9" s="42">
        <f t="shared" si="5"/>
        <v>117</v>
      </c>
      <c r="S9" s="30">
        <f t="shared" si="6"/>
        <v>0</v>
      </c>
      <c r="T9" s="30">
        <f t="shared" si="7"/>
        <v>0</v>
      </c>
      <c r="U9" s="31" t="str">
        <f t="shared" si="8"/>
        <v>- -</v>
      </c>
    </row>
    <row r="10" spans="2:21" ht="18" customHeight="1" x14ac:dyDescent="0.25">
      <c r="B10" s="32" t="str">
        <f>'Data Entry'!A10</f>
        <v>5. Cases Involving Secure Detention</v>
      </c>
      <c r="C10" s="33">
        <f>'Data Entry'!C10</f>
        <v>73</v>
      </c>
      <c r="D10" s="34">
        <f>IF(((AND(C68&gt;0,C10&gt;0))),(C10/(C68)),0)</f>
        <v>62.393162393162399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73</v>
      </c>
      <c r="Q10" s="42">
        <f>(C$68*L68)-C10</f>
        <v>44</v>
      </c>
      <c r="R10" s="42">
        <f t="shared" si="5"/>
        <v>117</v>
      </c>
      <c r="S10" s="30">
        <f t="shared" si="6"/>
        <v>0</v>
      </c>
      <c r="T10" s="30">
        <f t="shared" si="7"/>
        <v>0</v>
      </c>
      <c r="U10" s="31" t="str">
        <f t="shared" si="8"/>
        <v>- -</v>
      </c>
    </row>
    <row r="11" spans="2:21" ht="18" customHeight="1" x14ac:dyDescent="0.25">
      <c r="B11" s="32" t="str">
        <f>'Data Entry'!A11</f>
        <v>6. Cases Petitioned (Charge Filed)</v>
      </c>
      <c r="C11" s="33">
        <f>'Data Entry'!C11</f>
        <v>117</v>
      </c>
      <c r="D11" s="34">
        <f>IF(((AND(C68&gt;0,C11&gt;0))),(C11/(C68)),0)</f>
        <v>100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117</v>
      </c>
      <c r="Q11" s="42">
        <f>(C$68*L68)-C11</f>
        <v>0</v>
      </c>
      <c r="R11" s="42">
        <f t="shared" si="5"/>
        <v>117</v>
      </c>
      <c r="S11" s="30">
        <f t="shared" si="6"/>
        <v>0</v>
      </c>
      <c r="T11" s="30">
        <f t="shared" si="7"/>
        <v>0</v>
      </c>
      <c r="U11" s="31" t="str">
        <f t="shared" si="8"/>
        <v>- -</v>
      </c>
    </row>
    <row r="12" spans="2:21" ht="18" customHeight="1" x14ac:dyDescent="0.25">
      <c r="B12" s="32" t="str">
        <f>'Data Entry'!A12</f>
        <v>7. Cases Resulting in Delinquent Findings</v>
      </c>
      <c r="C12" s="33">
        <f>'Data Entry'!C12</f>
        <v>106</v>
      </c>
      <c r="D12" s="34">
        <f>IF(((AND(C69&gt;0,C12&gt;0))),(C12/(C69)),0)</f>
        <v>90.598290598290603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106</v>
      </c>
      <c r="Q12" s="42">
        <f>(C69*L69)-C12</f>
        <v>11</v>
      </c>
      <c r="R12" s="42">
        <f t="shared" si="5"/>
        <v>117</v>
      </c>
      <c r="S12" s="30">
        <f t="shared" si="6"/>
        <v>0</v>
      </c>
      <c r="T12" s="30">
        <f t="shared" si="7"/>
        <v>0</v>
      </c>
      <c r="U12" s="31" t="str">
        <f t="shared" si="8"/>
        <v>- -</v>
      </c>
    </row>
    <row r="13" spans="2:21" ht="18" customHeight="1" x14ac:dyDescent="0.25">
      <c r="B13" s="32" t="str">
        <f>'Data Entry'!A13</f>
        <v>8. Cases Resulting in Probation Placement</v>
      </c>
      <c r="C13" s="33">
        <f>'Data Entry'!C13</f>
        <v>101</v>
      </c>
      <c r="D13" s="34">
        <f>IF(((AND(C70&gt;0,C13&gt;0))),(C13/(C70)),0)</f>
        <v>95.283018867924525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101</v>
      </c>
      <c r="Q13" s="42">
        <f>(C70*L70)-C13</f>
        <v>5</v>
      </c>
      <c r="R13" s="42">
        <f t="shared" si="5"/>
        <v>106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4.7169811320754711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101</v>
      </c>
      <c r="R14" s="42">
        <f t="shared" si="5"/>
        <v>106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117</v>
      </c>
      <c r="R15" s="42">
        <f t="shared" si="5"/>
        <v>117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9.5690000000000008</v>
      </c>
      <c r="D42" s="56">
        <f>E6/1000</f>
        <v>0</v>
      </c>
      <c r="E42" s="56">
        <f>MAX(C42:D42)</f>
        <v>9.5690000000000008</v>
      </c>
      <c r="G42" s="1" t="str">
        <f>B42</f>
        <v>per 1000 youth</v>
      </c>
      <c r="L42" s="57">
        <v>1000</v>
      </c>
      <c r="M42" s="57"/>
      <c r="R42" s="49"/>
    </row>
    <row r="43" spans="2:18" ht="15" hidden="1" customHeight="1" x14ac:dyDescent="0.25">
      <c r="B43" s="49" t="s">
        <v>87</v>
      </c>
      <c r="C43" s="56">
        <f>C7/100</f>
        <v>0.54</v>
      </c>
      <c r="D43" s="56">
        <f>E7/100</f>
        <v>0</v>
      </c>
      <c r="E43" s="56">
        <f>MAX(C43:D43,0)</f>
        <v>0.54</v>
      </c>
      <c r="G43" s="1" t="str">
        <f>B43</f>
        <v>per 100 arrests</v>
      </c>
      <c r="L43" s="57">
        <v>100</v>
      </c>
      <c r="M43" s="57"/>
      <c r="R43" s="49"/>
    </row>
    <row r="44" spans="2:18" ht="15" hidden="1" customHeight="1" x14ac:dyDescent="0.25">
      <c r="B44" s="49" t="s">
        <v>88</v>
      </c>
      <c r="C44" s="56">
        <f>C8/100</f>
        <v>1.17</v>
      </c>
      <c r="D44" s="56">
        <f>E8/100</f>
        <v>0</v>
      </c>
      <c r="E44" s="56">
        <f>MAX(C44:D44,0)</f>
        <v>1.17</v>
      </c>
      <c r="G44" s="1" t="str">
        <f>B44</f>
        <v>per 100 referrals</v>
      </c>
      <c r="L44" s="57">
        <v>100</v>
      </c>
      <c r="M44" s="57"/>
      <c r="R44" s="49"/>
    </row>
    <row r="45" spans="2:18" ht="15" hidden="1" customHeight="1" x14ac:dyDescent="0.25">
      <c r="B45" s="49" t="s">
        <v>89</v>
      </c>
      <c r="C45" s="49">
        <f>C11/100</f>
        <v>1.17</v>
      </c>
      <c r="D45" s="49">
        <f>E11/100</f>
        <v>0</v>
      </c>
      <c r="E45" s="56">
        <f>MAX(C45:D45,0)</f>
        <v>1.17</v>
      </c>
      <c r="G45" s="1" t="str">
        <f>B45</f>
        <v>per 100 youth petitioned</v>
      </c>
      <c r="L45" s="57">
        <v>100</v>
      </c>
      <c r="M45" s="57"/>
      <c r="R45" s="49"/>
    </row>
    <row r="46" spans="2:18" ht="15" hidden="1" customHeight="1" x14ac:dyDescent="0.25">
      <c r="B46" s="49" t="s">
        <v>90</v>
      </c>
      <c r="C46" s="49">
        <f>C12/100</f>
        <v>1.06</v>
      </c>
      <c r="D46" s="49">
        <f>E12/100</f>
        <v>0</v>
      </c>
      <c r="E46" s="56">
        <f>MAX(C46:D46)</f>
        <v>1.06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9.5690000000000008</v>
      </c>
      <c r="D48" s="56">
        <f>D42</f>
        <v>0</v>
      </c>
      <c r="E48" s="56">
        <f>MAX(C48:D48)</f>
        <v>9.5690000000000008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1.17</v>
      </c>
      <c r="D50" s="49">
        <f t="shared" si="9"/>
        <v>0</v>
      </c>
      <c r="E50" s="49">
        <f>MAX(C50:D50)</f>
        <v>1.17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1.17</v>
      </c>
      <c r="D51" s="49">
        <f>IF(($E45&gt;0),D45,D44)</f>
        <v>0</v>
      </c>
      <c r="E51" s="49">
        <f>MAX(C51:D51)</f>
        <v>1.17</v>
      </c>
      <c r="G51" s="1" t="str">
        <f>G45</f>
        <v>per 100 youth petitioned</v>
      </c>
      <c r="L51" s="58">
        <f>IF(($E45&gt;0),L45,L44)</f>
        <v>100</v>
      </c>
      <c r="M51" s="58"/>
    </row>
    <row r="52" spans="2:18" ht="15" hidden="1" customHeight="1" x14ac:dyDescent="0.25">
      <c r="B52" s="49" t="str">
        <f>IF(($E46&gt;0),B46,B45)</f>
        <v>per 100 youth found delinquent</v>
      </c>
      <c r="C52" s="49">
        <f>IF(($E46&gt;0),C46,C45)</f>
        <v>1.06</v>
      </c>
      <c r="D52" s="49">
        <f>IF(($E46&gt;0),D46,D45)</f>
        <v>0</v>
      </c>
      <c r="E52" s="56">
        <f>MAX(C52:D52)</f>
        <v>1.06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9.5690000000000008</v>
      </c>
      <c r="D54" s="56">
        <f>D48</f>
        <v>0</v>
      </c>
      <c r="E54" s="56">
        <f>MAX(C54:D54)</f>
        <v>9.5690000000000008</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x14ac:dyDescent="0.25">
      <c r="B56" s="49" t="str">
        <f t="shared" si="10"/>
        <v>per 100 referrals</v>
      </c>
      <c r="C56" s="49">
        <f t="shared" si="10"/>
        <v>1.17</v>
      </c>
      <c r="D56" s="49">
        <f t="shared" si="10"/>
        <v>0</v>
      </c>
      <c r="E56" s="49">
        <f>MAX(C56:D56)</f>
        <v>1.17</v>
      </c>
      <c r="G56" s="1" t="str">
        <f>G50</f>
        <v>per 100 referrals</v>
      </c>
      <c r="L56" s="58">
        <f>IF(($E50&gt;0),L50,L49)</f>
        <v>100</v>
      </c>
      <c r="M56" s="58"/>
    </row>
    <row r="57" spans="2:18" ht="15" hidden="1" customHeight="1" x14ac:dyDescent="0.25">
      <c r="B57" s="49" t="str">
        <f>IF(($E51&gt;0),B51,B49)</f>
        <v>per 100 youth petitioned</v>
      </c>
      <c r="C57" s="49">
        <f>IF(($E51&gt;0),C51,C50)</f>
        <v>1.17</v>
      </c>
      <c r="D57" s="49">
        <f>IF(($E51&gt;0),D51,D50)</f>
        <v>0</v>
      </c>
      <c r="E57" s="49">
        <f>MAX(C57:D57)</f>
        <v>1.17</v>
      </c>
      <c r="G57" s="1" t="str">
        <f>G51</f>
        <v>per 100 youth petitioned</v>
      </c>
      <c r="L57" s="58">
        <f>IF(($E51&gt;0),L51,L50)</f>
        <v>100</v>
      </c>
      <c r="M57" s="58"/>
    </row>
    <row r="58" spans="2:18" ht="15" hidden="1" customHeight="1" x14ac:dyDescent="0.25">
      <c r="B58" s="49" t="str">
        <f>IF(($E52&gt;0),B52,B51)</f>
        <v>per 100 youth found delinquent</v>
      </c>
      <c r="C58" s="49">
        <f>IF(($E52&gt;0),C52,C51)</f>
        <v>1.06</v>
      </c>
      <c r="D58" s="49">
        <f>IF(($E52&gt;0),D52,D51)</f>
        <v>0</v>
      </c>
      <c r="E58" s="56">
        <f>MAX(C58:D58)</f>
        <v>1.06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9.5690000000000008</v>
      </c>
      <c r="D60" s="56">
        <f>D54</f>
        <v>0</v>
      </c>
      <c r="E60" s="56">
        <f>MAX(C60:D60)</f>
        <v>9.5690000000000008</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x14ac:dyDescent="0.25">
      <c r="B62" s="49" t="str">
        <f t="shared" si="11"/>
        <v>per 100 referrals</v>
      </c>
      <c r="C62" s="49">
        <f t="shared" si="11"/>
        <v>1.17</v>
      </c>
      <c r="D62" s="49">
        <f t="shared" si="11"/>
        <v>0</v>
      </c>
      <c r="E62" s="49">
        <f>MAX(C62:D62)</f>
        <v>1.17</v>
      </c>
      <c r="G62" s="1" t="str">
        <f>G56</f>
        <v>per 100 referrals</v>
      </c>
      <c r="L62" s="58">
        <f>IF(($E56&gt;0),L56,L55)</f>
        <v>100</v>
      </c>
      <c r="M62" s="58"/>
    </row>
    <row r="63" spans="2:18" ht="15" hidden="1" customHeight="1" x14ac:dyDescent="0.25">
      <c r="B63" s="49" t="str">
        <f>IF(($E57&gt;0),B57,B55)</f>
        <v>per 100 youth petitioned</v>
      </c>
      <c r="C63" s="49">
        <f>IF(($E57&gt;0),C57,C56)</f>
        <v>1.17</v>
      </c>
      <c r="D63" s="49">
        <f>IF(($E57&gt;0),D57,D56)</f>
        <v>0</v>
      </c>
      <c r="E63" s="49">
        <f>MAX(C63:D63)</f>
        <v>1.17</v>
      </c>
      <c r="G63" s="1" t="str">
        <f>G57</f>
        <v>per 100 youth petitioned</v>
      </c>
      <c r="L63" s="58">
        <f>IF(($E57&gt;0),L57,L56)</f>
        <v>100</v>
      </c>
      <c r="M63" s="58"/>
    </row>
    <row r="64" spans="2:18" ht="15" hidden="1" customHeight="1" x14ac:dyDescent="0.25">
      <c r="B64" s="49" t="str">
        <f>IF(($E58&gt;0),B58,B57)</f>
        <v>per 100 youth found delinquent</v>
      </c>
      <c r="C64" s="49">
        <f>IF(($E58&gt;0),C58,C57)</f>
        <v>1.06</v>
      </c>
      <c r="D64" s="49">
        <f>IF(($E58&gt;0),D58,D57)</f>
        <v>0</v>
      </c>
      <c r="E64" s="56">
        <f>MAX(C64:D64)</f>
        <v>1.06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9.5690000000000008</v>
      </c>
      <c r="D66" s="56">
        <f>D60</f>
        <v>0</v>
      </c>
      <c r="E66" s="56">
        <f>MAX(C66:D66)</f>
        <v>9.5690000000000008</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1.17</v>
      </c>
      <c r="D68" s="49">
        <f t="shared" si="12"/>
        <v>0</v>
      </c>
      <c r="E68" s="49">
        <f>MAX(C68:D68)</f>
        <v>1.17</v>
      </c>
      <c r="G68" s="1" t="str">
        <f>G62</f>
        <v>per 100 referrals</v>
      </c>
      <c r="L68" s="58">
        <f>IF(($E62&gt;0),L62,L61)</f>
        <v>100</v>
      </c>
      <c r="M68" s="58">
        <f>IF((B68=G68),1,2)</f>
        <v>1</v>
      </c>
    </row>
    <row r="69" spans="2:13" ht="15" hidden="1" customHeight="1" x14ac:dyDescent="0.25">
      <c r="B69" s="49" t="str">
        <f>IF(($E63&gt;0),B63,B61)</f>
        <v>per 100 youth petitioned</v>
      </c>
      <c r="C69" s="49">
        <f>IF(($E63&gt;0),C63,C62)</f>
        <v>1.17</v>
      </c>
      <c r="D69" s="49">
        <f>IF(($E63&gt;0),D63,D62)</f>
        <v>0</v>
      </c>
      <c r="E69" s="49">
        <f>MAX(C69:D69)</f>
        <v>1.17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1.06</v>
      </c>
      <c r="D70" s="49">
        <f>IF(($E64&gt;0),D64,D63)</f>
        <v>0</v>
      </c>
      <c r="E70" s="56">
        <f>MAX(C70:D70)</f>
        <v>1.06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Saginaw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9569</v>
      </c>
      <c r="D6" s="34"/>
      <c r="E6" s="33">
        <f>'Data Entry'!H6</f>
        <v>83</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5.6432229073048381</v>
      </c>
      <c r="E7" s="33">
        <f>'Data Entry'!H7</f>
        <v>1</v>
      </c>
      <c r="F7" s="34">
        <f>IF((AND($E$7&gt;0,$D$66&gt;0)),($E$7/$D$66),0)</f>
        <v>12.048192771084336</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82</v>
      </c>
      <c r="P7" s="42">
        <f t="shared" ref="P7:P15" si="4">C7</f>
        <v>54</v>
      </c>
      <c r="Q7" s="42">
        <f>C6-C7</f>
        <v>9515</v>
      </c>
      <c r="R7" s="42">
        <f t="shared" ref="R7:R15" si="5">SUM(N7:Q7)</f>
        <v>9652</v>
      </c>
      <c r="S7" s="30">
        <f t="shared" ref="S7:S15" si="6">R7*((((N7*Q7)-(O7*P7))^2))</f>
        <v>249770295988</v>
      </c>
      <c r="T7" s="30">
        <f t="shared" ref="T7:T15" si="7">(N7+O7)*(P7+Q7)*(N7+P7)*(O7+Q7)</f>
        <v>419220808545</v>
      </c>
      <c r="U7" s="31">
        <f t="shared" ref="U7:U15" si="8">IF((S7&gt;0),S7/T7,"- -")</f>
        <v>0.59579651319046856</v>
      </c>
    </row>
    <row r="8" spans="2:21" ht="18" customHeight="1" x14ac:dyDescent="0.25">
      <c r="B8" s="32" t="str">
        <f>'Data Entry'!A8</f>
        <v>3. Refer to Juvenile Court</v>
      </c>
      <c r="C8" s="33">
        <f>'Data Entry'!C8</f>
        <v>117</v>
      </c>
      <c r="D8" s="34">
        <f>IF((AND(C67&gt;0,C8&gt;0)),(C8/C67),0)</f>
        <v>216.66666666666666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117</v>
      </c>
      <c r="Q8" s="42">
        <f>(C$67*L67)-C8</f>
        <v>-63</v>
      </c>
      <c r="R8" s="42">
        <f t="shared" si="5"/>
        <v>55.05</v>
      </c>
      <c r="S8" s="30">
        <f t="shared" si="6"/>
        <v>830821.34362499998</v>
      </c>
      <c r="T8" s="30">
        <f t="shared" si="7"/>
        <v>-410970.10500000004</v>
      </c>
      <c r="U8" s="31">
        <f t="shared" si="8"/>
        <v>-2.0216101694915252</v>
      </c>
    </row>
    <row r="9" spans="2:21" ht="18" customHeight="1" x14ac:dyDescent="0.25">
      <c r="B9" s="32" t="str">
        <f>'Data Entry'!A9</f>
        <v xml:space="preserve">4. Cases Diverted </v>
      </c>
      <c r="C9" s="33">
        <f>'Data Entry'!C9</f>
        <v>11</v>
      </c>
      <c r="D9" s="34">
        <f>IF((AND(C68&gt;0,C9&gt;0)),((C9/C68)),0)</f>
        <v>9.4017094017094021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106</v>
      </c>
      <c r="R9" s="42">
        <f t="shared" si="5"/>
        <v>117</v>
      </c>
      <c r="S9" s="30">
        <f t="shared" si="6"/>
        <v>0</v>
      </c>
      <c r="T9" s="30">
        <f t="shared" si="7"/>
        <v>0</v>
      </c>
      <c r="U9" s="31" t="str">
        <f t="shared" si="8"/>
        <v>- -</v>
      </c>
    </row>
    <row r="10" spans="2:21" ht="18" customHeight="1" x14ac:dyDescent="0.25">
      <c r="B10" s="32" t="str">
        <f>'Data Entry'!A10</f>
        <v>5. Cases Involving Secure Detention</v>
      </c>
      <c r="C10" s="33">
        <f>'Data Entry'!C10</f>
        <v>73</v>
      </c>
      <c r="D10" s="34">
        <f>IF(((AND(C68&gt;0,C10&gt;0))),(C10/(C68)),0)</f>
        <v>62.393162393162399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73</v>
      </c>
      <c r="Q10" s="42">
        <f>(C$68*L68)-C10</f>
        <v>44</v>
      </c>
      <c r="R10" s="42">
        <f t="shared" si="5"/>
        <v>117</v>
      </c>
      <c r="S10" s="30">
        <f t="shared" si="6"/>
        <v>0</v>
      </c>
      <c r="T10" s="30">
        <f t="shared" si="7"/>
        <v>0</v>
      </c>
      <c r="U10" s="31" t="str">
        <f t="shared" si="8"/>
        <v>- -</v>
      </c>
    </row>
    <row r="11" spans="2:21" ht="18" customHeight="1" x14ac:dyDescent="0.25">
      <c r="B11" s="32" t="str">
        <f>'Data Entry'!A11</f>
        <v>6. Cases Petitioned (Charge Filed)</v>
      </c>
      <c r="C11" s="33">
        <f>'Data Entry'!C11</f>
        <v>117</v>
      </c>
      <c r="D11" s="34">
        <f>IF(((AND(C68&gt;0,C11&gt;0))),(C11/(C68)),0)</f>
        <v>100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117</v>
      </c>
      <c r="Q11" s="42">
        <f>(C$68*L68)-C11</f>
        <v>0</v>
      </c>
      <c r="R11" s="42">
        <f t="shared" si="5"/>
        <v>117</v>
      </c>
      <c r="S11" s="30">
        <f t="shared" si="6"/>
        <v>0</v>
      </c>
      <c r="T11" s="30">
        <f t="shared" si="7"/>
        <v>0</v>
      </c>
      <c r="U11" s="31" t="str">
        <f t="shared" si="8"/>
        <v>- -</v>
      </c>
    </row>
    <row r="12" spans="2:21" ht="18" customHeight="1" x14ac:dyDescent="0.25">
      <c r="B12" s="32" t="str">
        <f>'Data Entry'!A12</f>
        <v>7. Cases Resulting in Delinquent Findings</v>
      </c>
      <c r="C12" s="33">
        <f>'Data Entry'!C12</f>
        <v>106</v>
      </c>
      <c r="D12" s="34">
        <f>IF(((AND(C69&gt;0,C12&gt;0))),(C12/(C69)),0)</f>
        <v>90.598290598290603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106</v>
      </c>
      <c r="Q12" s="42">
        <f>(C69*L69)-C12</f>
        <v>11</v>
      </c>
      <c r="R12" s="42">
        <f t="shared" si="5"/>
        <v>117</v>
      </c>
      <c r="S12" s="30">
        <f t="shared" si="6"/>
        <v>0</v>
      </c>
      <c r="T12" s="30">
        <f t="shared" si="7"/>
        <v>0</v>
      </c>
      <c r="U12" s="31" t="str">
        <f t="shared" si="8"/>
        <v>- -</v>
      </c>
    </row>
    <row r="13" spans="2:21" ht="18" customHeight="1" x14ac:dyDescent="0.25">
      <c r="B13" s="32" t="str">
        <f>'Data Entry'!A13</f>
        <v>8. Cases Resulting in Probation Placement</v>
      </c>
      <c r="C13" s="33">
        <f>'Data Entry'!C13</f>
        <v>101</v>
      </c>
      <c r="D13" s="34">
        <f>IF(((AND(C70&gt;0,C13&gt;0))),(C13/(C70)),0)</f>
        <v>95.283018867924525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101</v>
      </c>
      <c r="Q13" s="42">
        <f>(C70*L70)-C13</f>
        <v>5</v>
      </c>
      <c r="R13" s="42">
        <f t="shared" si="5"/>
        <v>106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4.7169811320754711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101</v>
      </c>
      <c r="R14" s="42">
        <f t="shared" si="5"/>
        <v>106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117</v>
      </c>
      <c r="R15" s="42">
        <f t="shared" si="5"/>
        <v>117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9.5690000000000008</v>
      </c>
      <c r="D42" s="56">
        <f>E6/1000</f>
        <v>8.3000000000000004E-2</v>
      </c>
      <c r="E42" s="56">
        <f>MAX(C42:D42)</f>
        <v>9.5690000000000008</v>
      </c>
      <c r="G42" s="1" t="str">
        <f>B42</f>
        <v>per 1000 youth</v>
      </c>
      <c r="L42" s="57">
        <v>1000</v>
      </c>
      <c r="M42" s="57"/>
      <c r="R42" s="49"/>
    </row>
    <row r="43" spans="2:18" ht="15" hidden="1" customHeight="1" x14ac:dyDescent="0.25">
      <c r="B43" s="49" t="s">
        <v>87</v>
      </c>
      <c r="C43" s="56">
        <f>C7/100</f>
        <v>0.54</v>
      </c>
      <c r="D43" s="56">
        <f>E7/100</f>
        <v>0.01</v>
      </c>
      <c r="E43" s="56">
        <f>MAX(C43:D43,0)</f>
        <v>0.54</v>
      </c>
      <c r="G43" s="1" t="str">
        <f>B43</f>
        <v>per 100 arrests</v>
      </c>
      <c r="L43" s="57">
        <v>100</v>
      </c>
      <c r="M43" s="57"/>
      <c r="R43" s="49"/>
    </row>
    <row r="44" spans="2:18" ht="15" hidden="1" customHeight="1" x14ac:dyDescent="0.25">
      <c r="B44" s="49" t="s">
        <v>88</v>
      </c>
      <c r="C44" s="56">
        <f>C8/100</f>
        <v>1.17</v>
      </c>
      <c r="D44" s="56">
        <f>E8/100</f>
        <v>0</v>
      </c>
      <c r="E44" s="56">
        <f>MAX(C44:D44,0)</f>
        <v>1.17</v>
      </c>
      <c r="G44" s="1" t="str">
        <f>B44</f>
        <v>per 100 referrals</v>
      </c>
      <c r="L44" s="57">
        <v>100</v>
      </c>
      <c r="M44" s="57"/>
      <c r="R44" s="49"/>
    </row>
    <row r="45" spans="2:18" ht="15" hidden="1" customHeight="1" x14ac:dyDescent="0.25">
      <c r="B45" s="49" t="s">
        <v>89</v>
      </c>
      <c r="C45" s="49">
        <f>C11/100</f>
        <v>1.17</v>
      </c>
      <c r="D45" s="49">
        <f>E11/100</f>
        <v>0</v>
      </c>
      <c r="E45" s="56">
        <f>MAX(C45:D45,0)</f>
        <v>1.17</v>
      </c>
      <c r="G45" s="1" t="str">
        <f>B45</f>
        <v>per 100 youth petitioned</v>
      </c>
      <c r="L45" s="57">
        <v>100</v>
      </c>
      <c r="M45" s="57"/>
      <c r="R45" s="49"/>
    </row>
    <row r="46" spans="2:18" ht="15" hidden="1" customHeight="1" x14ac:dyDescent="0.25">
      <c r="B46" s="49" t="s">
        <v>90</v>
      </c>
      <c r="C46" s="49">
        <f>C12/100</f>
        <v>1.06</v>
      </c>
      <c r="D46" s="49">
        <f>E12/100</f>
        <v>0</v>
      </c>
      <c r="E46" s="56">
        <f>MAX(C46:D46)</f>
        <v>1.06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9.5690000000000008</v>
      </c>
      <c r="D48" s="56">
        <f>D42</f>
        <v>8.3000000000000004E-2</v>
      </c>
      <c r="E48" s="56">
        <f>MAX(C48:D48)</f>
        <v>9.5690000000000008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0.01</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1.17</v>
      </c>
      <c r="D50" s="49">
        <f t="shared" si="9"/>
        <v>0</v>
      </c>
      <c r="E50" s="49">
        <f>MAX(C50:D50)</f>
        <v>1.17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1.17</v>
      </c>
      <c r="D51" s="49">
        <f>IF(($E45&gt;0),D45,D44)</f>
        <v>0</v>
      </c>
      <c r="E51" s="49">
        <f>MAX(C51:D51)</f>
        <v>1.17</v>
      </c>
      <c r="G51" s="1" t="str">
        <f>G45</f>
        <v>per 100 youth petitioned</v>
      </c>
      <c r="L51" s="58">
        <f>IF(($E45&gt;0),L45,L44)</f>
        <v>100</v>
      </c>
      <c r="M51" s="58"/>
    </row>
    <row r="52" spans="2:18" ht="15" hidden="1" customHeight="1" x14ac:dyDescent="0.25">
      <c r="B52" s="49" t="str">
        <f>IF(($E46&gt;0),B46,B45)</f>
        <v>per 100 youth found delinquent</v>
      </c>
      <c r="C52" s="49">
        <f>IF(($E46&gt;0),C46,C45)</f>
        <v>1.06</v>
      </c>
      <c r="D52" s="49">
        <f>IF(($E46&gt;0),D46,D45)</f>
        <v>0</v>
      </c>
      <c r="E52" s="56">
        <f>MAX(C52:D52)</f>
        <v>1.06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9.5690000000000008</v>
      </c>
      <c r="D54" s="56">
        <f>D48</f>
        <v>8.3000000000000004E-2</v>
      </c>
      <c r="E54" s="56">
        <f>MAX(C54:D54)</f>
        <v>9.5690000000000008</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0.01</v>
      </c>
      <c r="E55" s="49">
        <f>MAX(C55:D55)</f>
        <v>0.54</v>
      </c>
      <c r="G55" s="1" t="str">
        <f>G49</f>
        <v>per 100 arrests</v>
      </c>
      <c r="L55" s="58">
        <f>IF(($E49&gt;0),L49,L48)</f>
        <v>100</v>
      </c>
      <c r="M55" s="58"/>
    </row>
    <row r="56" spans="2:18" ht="15" hidden="1" customHeight="1" x14ac:dyDescent="0.25">
      <c r="B56" s="49" t="str">
        <f t="shared" si="10"/>
        <v>per 100 referrals</v>
      </c>
      <c r="C56" s="49">
        <f t="shared" si="10"/>
        <v>1.17</v>
      </c>
      <c r="D56" s="49">
        <f t="shared" si="10"/>
        <v>0</v>
      </c>
      <c r="E56" s="49">
        <f>MAX(C56:D56)</f>
        <v>1.17</v>
      </c>
      <c r="G56" s="1" t="str">
        <f>G50</f>
        <v>per 100 referrals</v>
      </c>
      <c r="L56" s="58">
        <f>IF(($E50&gt;0),L50,L49)</f>
        <v>100</v>
      </c>
      <c r="M56" s="58"/>
    </row>
    <row r="57" spans="2:18" ht="15" hidden="1" customHeight="1" x14ac:dyDescent="0.25">
      <c r="B57" s="49" t="str">
        <f>IF(($E51&gt;0),B51,B49)</f>
        <v>per 100 youth petitioned</v>
      </c>
      <c r="C57" s="49">
        <f>IF(($E51&gt;0),C51,C50)</f>
        <v>1.17</v>
      </c>
      <c r="D57" s="49">
        <f>IF(($E51&gt;0),D51,D50)</f>
        <v>0</v>
      </c>
      <c r="E57" s="49">
        <f>MAX(C57:D57)</f>
        <v>1.17</v>
      </c>
      <c r="G57" s="1" t="str">
        <f>G51</f>
        <v>per 100 youth petitioned</v>
      </c>
      <c r="L57" s="58">
        <f>IF(($E51&gt;0),L51,L50)</f>
        <v>100</v>
      </c>
      <c r="M57" s="58"/>
    </row>
    <row r="58" spans="2:18" ht="15" hidden="1" customHeight="1" x14ac:dyDescent="0.25">
      <c r="B58" s="49" t="str">
        <f>IF(($E52&gt;0),B52,B51)</f>
        <v>per 100 youth found delinquent</v>
      </c>
      <c r="C58" s="49">
        <f>IF(($E52&gt;0),C52,C51)</f>
        <v>1.06</v>
      </c>
      <c r="D58" s="49">
        <f>IF(($E52&gt;0),D52,D51)</f>
        <v>0</v>
      </c>
      <c r="E58" s="56">
        <f>MAX(C58:D58)</f>
        <v>1.06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9.5690000000000008</v>
      </c>
      <c r="D60" s="56">
        <f>D54</f>
        <v>8.3000000000000004E-2</v>
      </c>
      <c r="E60" s="56">
        <f>MAX(C60:D60)</f>
        <v>9.5690000000000008</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0.01</v>
      </c>
      <c r="E61" s="49">
        <f>MAX(C61:D61)</f>
        <v>0.54</v>
      </c>
      <c r="G61" s="1" t="str">
        <f>G55</f>
        <v>per 100 arrests</v>
      </c>
      <c r="L61" s="58">
        <f>IF(($E55&gt;0),L55,L54)</f>
        <v>100</v>
      </c>
      <c r="M61" s="58"/>
    </row>
    <row r="62" spans="2:18" ht="15" hidden="1" customHeight="1" x14ac:dyDescent="0.25">
      <c r="B62" s="49" t="str">
        <f t="shared" si="11"/>
        <v>per 100 referrals</v>
      </c>
      <c r="C62" s="49">
        <f t="shared" si="11"/>
        <v>1.17</v>
      </c>
      <c r="D62" s="49">
        <f t="shared" si="11"/>
        <v>0</v>
      </c>
      <c r="E62" s="49">
        <f>MAX(C62:D62)</f>
        <v>1.17</v>
      </c>
      <c r="G62" s="1" t="str">
        <f>G56</f>
        <v>per 100 referrals</v>
      </c>
      <c r="L62" s="58">
        <f>IF(($E56&gt;0),L56,L55)</f>
        <v>100</v>
      </c>
      <c r="M62" s="58"/>
    </row>
    <row r="63" spans="2:18" ht="15" hidden="1" customHeight="1" x14ac:dyDescent="0.25">
      <c r="B63" s="49" t="str">
        <f>IF(($E57&gt;0),B57,B55)</f>
        <v>per 100 youth petitioned</v>
      </c>
      <c r="C63" s="49">
        <f>IF(($E57&gt;0),C57,C56)</f>
        <v>1.17</v>
      </c>
      <c r="D63" s="49">
        <f>IF(($E57&gt;0),D57,D56)</f>
        <v>0</v>
      </c>
      <c r="E63" s="49">
        <f>MAX(C63:D63)</f>
        <v>1.17</v>
      </c>
      <c r="G63" s="1" t="str">
        <f>G57</f>
        <v>per 100 youth petitioned</v>
      </c>
      <c r="L63" s="58">
        <f>IF(($E57&gt;0),L57,L56)</f>
        <v>100</v>
      </c>
      <c r="M63" s="58"/>
    </row>
    <row r="64" spans="2:18" ht="15" hidden="1" customHeight="1" x14ac:dyDescent="0.25">
      <c r="B64" s="49" t="str">
        <f>IF(($E58&gt;0),B58,B57)</f>
        <v>per 100 youth found delinquent</v>
      </c>
      <c r="C64" s="49">
        <f>IF(($E58&gt;0),C58,C57)</f>
        <v>1.06</v>
      </c>
      <c r="D64" s="49">
        <f>IF(($E58&gt;0),D58,D57)</f>
        <v>0</v>
      </c>
      <c r="E64" s="56">
        <f>MAX(C64:D64)</f>
        <v>1.06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9.5690000000000008</v>
      </c>
      <c r="D66" s="56">
        <f>D60</f>
        <v>8.3000000000000004E-2</v>
      </c>
      <c r="E66" s="56">
        <f>MAX(C66:D66)</f>
        <v>9.5690000000000008</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0.01</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1.17</v>
      </c>
      <c r="D68" s="49">
        <f t="shared" si="12"/>
        <v>0</v>
      </c>
      <c r="E68" s="49">
        <f>MAX(C68:D68)</f>
        <v>1.17</v>
      </c>
      <c r="G68" s="1" t="str">
        <f>G62</f>
        <v>per 100 referrals</v>
      </c>
      <c r="L68" s="58">
        <f>IF(($E62&gt;0),L62,L61)</f>
        <v>100</v>
      </c>
      <c r="M68" s="58">
        <f>IF((B68=G68),1,2)</f>
        <v>1</v>
      </c>
    </row>
    <row r="69" spans="2:13" ht="15" hidden="1" customHeight="1" x14ac:dyDescent="0.25">
      <c r="B69" s="49" t="str">
        <f>IF(($E63&gt;0),B63,B61)</f>
        <v>per 100 youth petitioned</v>
      </c>
      <c r="C69" s="49">
        <f>IF(($E63&gt;0),C63,C62)</f>
        <v>1.17</v>
      </c>
      <c r="D69" s="49">
        <f>IF(($E63&gt;0),D63,D62)</f>
        <v>0</v>
      </c>
      <c r="E69" s="49">
        <f>MAX(C69:D69)</f>
        <v>1.17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1.06</v>
      </c>
      <c r="D70" s="49">
        <f>IF(($E64&gt;0),D64,D63)</f>
        <v>0</v>
      </c>
      <c r="E70" s="56">
        <f>MAX(C70:D70)</f>
        <v>1.06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U47JMPN4QEAR-1806752177-30218</_dlc_DocId>
    <_dlc_DocIdUrl xmlns="ac3811b5-0f3e-49e2-ba69-f2ffa0c782af">
      <Url>https://michiganphi.sharepoint.com/sites/CMDMC/_layouts/15/DocIdRedir.aspx?ID=U47JMPN4QEAR-1806752177-30218</Url>
      <Description>U47JMPN4QEAR-1806752177-30218</Description>
    </_dlc_DocIdUrl>
  </documentManagement>
</p:properties>
</file>

<file path=customXml/itemProps1.xml><?xml version="1.0" encoding="utf-8"?>
<ds:datastoreItem xmlns:ds="http://schemas.openxmlformats.org/officeDocument/2006/customXml" ds:itemID="{42081C55-569C-4449-A86F-89BAEFF4BFE1}"/>
</file>

<file path=customXml/itemProps2.xml><?xml version="1.0" encoding="utf-8"?>
<ds:datastoreItem xmlns:ds="http://schemas.openxmlformats.org/officeDocument/2006/customXml" ds:itemID="{8D48E612-4E49-45DF-A446-969D6966864B}"/>
</file>

<file path=customXml/itemProps3.xml><?xml version="1.0" encoding="utf-8"?>
<ds:datastoreItem xmlns:ds="http://schemas.openxmlformats.org/officeDocument/2006/customXml" ds:itemID="{F0E3F48B-05AA-4BC4-ACD9-BD693216FC8F}"/>
</file>

<file path=customXml/itemProps4.xml><?xml version="1.0" encoding="utf-8"?>
<ds:datastoreItem xmlns:ds="http://schemas.openxmlformats.org/officeDocument/2006/customXml" ds:itemID="{BAF70E21-B3BB-455C-84A3-B5ED72B84C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3f34e234-3a45-4241-97f3-3b76aa70184f</vt:lpwstr>
  </property>
</Properties>
</file>