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2" documentId="8_{3B947F93-8E31-4578-AA6C-69C903B9B8E1}" xr6:coauthVersionLast="47" xr6:coauthVersionMax="47" xr10:uidLastSave="{CC6C4964-87D4-4D20-929A-5ED9E3A4996A}"/>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50" i="7" s="1"/>
  <c r="G56" i="7" s="1"/>
  <c r="G62" i="7" s="1"/>
  <c r="G68" i="7" s="1"/>
  <c r="G45" i="7"/>
  <c r="G51" i="7"/>
  <c r="G57" i="7"/>
  <c r="G63" i="7" s="1"/>
  <c r="G69" i="7" s="1"/>
  <c r="G46" i="7"/>
  <c r="L48" i="7"/>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2"/>
  <c r="M66" i="2"/>
  <c r="M66" i="8"/>
  <c r="F27" i="8"/>
  <c r="M66" i="7"/>
  <c r="F27" i="7"/>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E43" i="6"/>
  <c r="D49" i="6" s="1"/>
  <c r="E44" i="6"/>
  <c r="L50" i="6"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B49" i="6"/>
  <c r="D23" i="10"/>
  <c r="C48" i="7"/>
  <c r="E42" i="7"/>
  <c r="C54" i="8"/>
  <c r="E48" i="8"/>
  <c r="H26" i="10"/>
  <c r="D26" i="10"/>
  <c r="I26" i="10"/>
  <c r="C26" i="10"/>
  <c r="E20" i="10"/>
  <c r="C20" i="10"/>
  <c r="G20" i="10"/>
  <c r="H20" i="10"/>
  <c r="D20" i="10"/>
  <c r="G23" i="10"/>
  <c r="G19" i="10"/>
  <c r="E44" i="7"/>
  <c r="H23" i="10"/>
  <c r="E22" i="10"/>
  <c r="E25" i="10"/>
  <c r="F20" i="10"/>
  <c r="L49" i="7" l="1"/>
  <c r="B49" i="7"/>
  <c r="D49" i="7"/>
  <c r="E49" i="7" s="1"/>
  <c r="D50" i="5"/>
  <c r="E50" i="5" s="1"/>
  <c r="L56" i="5" s="1"/>
  <c r="D50" i="6"/>
  <c r="E50" i="6"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8" i="5"/>
  <c r="C54" i="5"/>
  <c r="C54" i="6"/>
  <c r="E48" i="6"/>
  <c r="B51" i="6"/>
  <c r="D51" i="6"/>
  <c r="C51" i="6"/>
  <c r="L51" i="6"/>
  <c r="D51" i="2" l="1"/>
  <c r="E51" i="2" s="1"/>
  <c r="L51" i="2"/>
  <c r="E49" i="5"/>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D55" i="5" l="1"/>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5" i="5" l="1"/>
  <c r="D61" i="5" s="1"/>
  <c r="C64" i="5"/>
  <c r="D64" i="5"/>
  <c r="L64" i="3"/>
  <c r="B56" i="8"/>
  <c r="L56" i="8"/>
  <c r="E58" i="8"/>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4" i="8"/>
  <c r="B64" i="8"/>
  <c r="D64" i="8"/>
  <c r="L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L70" i="5" l="1"/>
  <c r="C70" i="5"/>
  <c r="D14" i="5" s="1"/>
  <c r="D70" i="5"/>
  <c r="F14" i="5" s="1"/>
  <c r="E64" i="8"/>
  <c r="B70" i="8" s="1"/>
  <c r="M70" i="8" s="1"/>
  <c r="D70" i="6"/>
  <c r="F13" i="6" s="1"/>
  <c r="L69" i="7"/>
  <c r="C63" i="8"/>
  <c r="C69" i="7"/>
  <c r="D12" i="7" s="1"/>
  <c r="D63" i="8"/>
  <c r="L63" i="8"/>
  <c r="E63" i="3"/>
  <c r="C69" i="3" s="1"/>
  <c r="D12" i="3" s="1"/>
  <c r="B70" i="3"/>
  <c r="M70"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D13"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70" i="8" l="1"/>
  <c r="F13" i="8" s="1"/>
  <c r="F14" i="6"/>
  <c r="E70" i="5"/>
  <c r="Q13" i="5"/>
  <c r="O14" i="5"/>
  <c r="O13" i="5"/>
  <c r="Q14" i="5"/>
  <c r="T14" i="5" s="1"/>
  <c r="L70" i="8"/>
  <c r="O14" i="8" s="1"/>
  <c r="F34" i="3"/>
  <c r="E70" i="6"/>
  <c r="D15" i="7"/>
  <c r="O14" i="6"/>
  <c r="E63" i="8"/>
  <c r="D69" i="8" s="1"/>
  <c r="F15" i="8" s="1"/>
  <c r="Q15" i="7"/>
  <c r="D15" i="3"/>
  <c r="B69" i="3"/>
  <c r="M69" i="3" s="1"/>
  <c r="O13" i="6"/>
  <c r="Q12" i="7"/>
  <c r="L69" i="3"/>
  <c r="Q12" i="3" s="1"/>
  <c r="C70" i="8"/>
  <c r="F33" i="3"/>
  <c r="D69" i="3"/>
  <c r="E69" i="3" s="1"/>
  <c r="B69" i="6"/>
  <c r="M69" i="6" s="1"/>
  <c r="E70" i="3"/>
  <c r="D13" i="6"/>
  <c r="D13" i="3"/>
  <c r="F14" i="3"/>
  <c r="O13" i="3"/>
  <c r="E69" i="7"/>
  <c r="C69" i="6"/>
  <c r="D12" i="6" s="1"/>
  <c r="Q14" i="3"/>
  <c r="F12" i="7"/>
  <c r="O12" i="7"/>
  <c r="D14" i="6"/>
  <c r="O15" i="7"/>
  <c r="Q13" i="3"/>
  <c r="Q13" i="6"/>
  <c r="Q14" i="6"/>
  <c r="K14"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D70" i="2"/>
  <c r="O14" i="2"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5" l="1"/>
  <c r="S14" i="5" s="1"/>
  <c r="U14" i="5" s="1"/>
  <c r="J14" i="5" s="1"/>
  <c r="M14" i="5" s="1"/>
  <c r="F14" i="8"/>
  <c r="T13" i="5"/>
  <c r="K14" i="5"/>
  <c r="R13" i="5"/>
  <c r="S13" i="5" s="1"/>
  <c r="U13" i="5" s="1"/>
  <c r="J13" i="5" s="1"/>
  <c r="M13" i="5" s="1"/>
  <c r="O12" i="3"/>
  <c r="R12" i="3" s="1"/>
  <c r="S12" i="3" s="1"/>
  <c r="U12" i="3" s="1"/>
  <c r="J12" i="3" s="1"/>
  <c r="O13" i="8"/>
  <c r="Q13" i="8"/>
  <c r="Q15" i="3"/>
  <c r="R15" i="3" s="1"/>
  <c r="S15" i="3" s="1"/>
  <c r="U15" i="3" s="1"/>
  <c r="J15" i="3" s="1"/>
  <c r="M15" i="3" s="1"/>
  <c r="G15" i="3" s="1"/>
  <c r="I16" i="16" s="1"/>
  <c r="B69" i="8"/>
  <c r="M69" i="8" s="1"/>
  <c r="R14" i="3"/>
  <c r="S14" i="3" s="1"/>
  <c r="U14" i="3" s="1"/>
  <c r="J14" i="3" s="1"/>
  <c r="M14" i="3" s="1"/>
  <c r="G14" i="3" s="1"/>
  <c r="I15" i="16" s="1"/>
  <c r="O15" i="3"/>
  <c r="F12" i="8"/>
  <c r="Q14" i="8"/>
  <c r="K14" i="8" s="1"/>
  <c r="C69" i="8"/>
  <c r="D12" i="8" s="1"/>
  <c r="D14" i="8"/>
  <c r="L69" i="8"/>
  <c r="O15" i="8" s="1"/>
  <c r="K12" i="7"/>
  <c r="F35" i="6"/>
  <c r="K13" i="3"/>
  <c r="F12" i="3"/>
  <c r="T13" i="6"/>
  <c r="D13" i="8"/>
  <c r="F35" i="3"/>
  <c r="F15" i="3"/>
  <c r="T12" i="7"/>
  <c r="E70" i="8"/>
  <c r="F32" i="3"/>
  <c r="T15" i="7"/>
  <c r="F32" i="6"/>
  <c r="R14" i="6"/>
  <c r="S14" i="6" s="1"/>
  <c r="U14" i="6" s="1"/>
  <c r="J14" i="6" s="1"/>
  <c r="M14" i="6" s="1"/>
  <c r="G14" i="6" s="1"/>
  <c r="M15" i="13" s="1"/>
  <c r="D15" i="6"/>
  <c r="T14" i="6"/>
  <c r="K13" i="6"/>
  <c r="O12" i="6"/>
  <c r="R13" i="6"/>
  <c r="S13" i="6" s="1"/>
  <c r="U13" i="6" s="1"/>
  <c r="J13" i="6" s="1"/>
  <c r="M13" i="6" s="1"/>
  <c r="G13" i="6" s="1"/>
  <c r="G13" i="9" s="1"/>
  <c r="R12" i="7"/>
  <c r="S12" i="7" s="1"/>
  <c r="U12" i="7" s="1"/>
  <c r="J12" i="7" s="1"/>
  <c r="M12" i="7" s="1"/>
  <c r="R15" i="7"/>
  <c r="S15" i="7" s="1"/>
  <c r="U15" i="7" s="1"/>
  <c r="J15" i="7" s="1"/>
  <c r="M15" i="7" s="1"/>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5" l="1"/>
  <c r="Q14" i="16" s="1"/>
  <c r="L14" i="5"/>
  <c r="Q15" i="16" s="1"/>
  <c r="N30" i="5"/>
  <c r="T12" i="3"/>
  <c r="F32" i="8"/>
  <c r="N30" i="3"/>
  <c r="E14" i="9"/>
  <c r="O12" i="8"/>
  <c r="K15" i="3"/>
  <c r="L14" i="3"/>
  <c r="P15" i="16" s="1"/>
  <c r="T13" i="8"/>
  <c r="R13" i="8"/>
  <c r="S13" i="8" s="1"/>
  <c r="U13" i="8" s="1"/>
  <c r="J13" i="8" s="1"/>
  <c r="M13" i="8" s="1"/>
  <c r="G13" i="8" s="1"/>
  <c r="K14" i="16" s="1"/>
  <c r="T15" i="3"/>
  <c r="I15" i="13"/>
  <c r="T14" i="8"/>
  <c r="F35" i="8"/>
  <c r="R14" i="8"/>
  <c r="S14" i="8" s="1"/>
  <c r="U14" i="8" s="1"/>
  <c r="J14" i="8" s="1"/>
  <c r="Q12" i="8"/>
  <c r="T12" i="8" s="1"/>
  <c r="D15" i="8"/>
  <c r="Q15" i="8"/>
  <c r="R15" i="8" s="1"/>
  <c r="S15" i="8" s="1"/>
  <c r="U15" i="8" s="1"/>
  <c r="J15" i="8" s="1"/>
  <c r="E69" i="8"/>
  <c r="M14" i="13"/>
  <c r="K15" i="6"/>
  <c r="L13" i="6"/>
  <c r="R14" i="16" s="1"/>
  <c r="L12" i="7"/>
  <c r="S13" i="16" s="1"/>
  <c r="T12" i="6"/>
  <c r="L13" i="3"/>
  <c r="P14" i="16" s="1"/>
  <c r="K12" i="6"/>
  <c r="R12" i="6"/>
  <c r="S12" i="6" s="1"/>
  <c r="U12" i="6" s="1"/>
  <c r="J12" i="6" s="1"/>
  <c r="M12" i="6" s="1"/>
  <c r="G12" i="6" s="1"/>
  <c r="L15" i="7"/>
  <c r="S16" i="16" s="1"/>
  <c r="R15" i="6"/>
  <c r="S15" i="6" s="1"/>
  <c r="U15" i="6" s="1"/>
  <c r="J15" i="6" s="1"/>
  <c r="M15" i="6" s="1"/>
  <c r="G15" i="6" s="1"/>
  <c r="T15" i="6"/>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L15" i="3"/>
  <c r="P16" i="16" s="1"/>
  <c r="L13" i="7"/>
  <c r="S14" i="16" s="1"/>
  <c r="M9" i="3"/>
  <c r="G9" i="3" s="1"/>
  <c r="I10" i="13" s="1"/>
  <c r="I14" i="13"/>
  <c r="I14" i="16"/>
  <c r="G12" i="13"/>
  <c r="G12" i="16"/>
  <c r="N9" i="9"/>
  <c r="P10" i="16"/>
  <c r="M14" i="7"/>
  <c r="N30" i="7"/>
  <c r="L14" i="7"/>
  <c r="S15" i="16" s="1"/>
  <c r="L8" i="7"/>
  <c r="S9" i="16" s="1"/>
  <c r="O13" i="9"/>
  <c r="M9" i="9"/>
  <c r="M10" i="9"/>
  <c r="O14" i="9"/>
  <c r="V10"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W14" i="13" l="1"/>
  <c r="W15" i="13"/>
  <c r="V15" i="13"/>
  <c r="T15" i="8"/>
  <c r="N14" i="9"/>
  <c r="I13" i="9"/>
  <c r="L13" i="8"/>
  <c r="T14" i="16" s="1"/>
  <c r="Q14" i="13"/>
  <c r="K15" i="8"/>
  <c r="L15" i="8" s="1"/>
  <c r="T16" i="16" s="1"/>
  <c r="K12" i="8"/>
  <c r="R12" i="8"/>
  <c r="S12" i="8" s="1"/>
  <c r="U12" i="8" s="1"/>
  <c r="J12" i="8" s="1"/>
  <c r="N30" i="8"/>
  <c r="L14" i="8"/>
  <c r="T15" i="16" s="1"/>
  <c r="M14" i="8"/>
  <c r="G14" i="8" s="1"/>
  <c r="K15" i="16" s="1"/>
  <c r="P13" i="9"/>
  <c r="L15" i="6"/>
  <c r="R16" i="16" s="1"/>
  <c r="Y13" i="13"/>
  <c r="X14" i="13"/>
  <c r="V14" i="13"/>
  <c r="Q12" i="9"/>
  <c r="Y16" i="13"/>
  <c r="Q15" i="9"/>
  <c r="N13" i="9"/>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4" i="9" l="1"/>
  <c r="Z14" i="13"/>
  <c r="R13" i="9"/>
  <c r="L12" i="8"/>
  <c r="T13" i="16" s="1"/>
  <c r="M12" i="8"/>
  <c r="G12" i="8" s="1"/>
  <c r="K13" i="16" s="1"/>
  <c r="Z15" i="13"/>
  <c r="Q15" i="13"/>
  <c r="I14" i="9"/>
  <c r="X16" i="13"/>
  <c r="P15"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P9" i="9"/>
  <c r="X10" i="13"/>
  <c r="R8" i="9"/>
  <c r="Z9" i="13"/>
  <c r="I15" i="9"/>
  <c r="Q16" i="13"/>
  <c r="P10" i="9"/>
  <c r="X11" i="13"/>
  <c r="I8" i="9"/>
  <c r="Q9" i="13"/>
  <c r="R15" i="9"/>
  <c r="Z16" i="13"/>
  <c r="I9" i="9"/>
  <c r="Q10" i="13"/>
  <c r="Q11" i="9"/>
  <c r="Y12" i="13"/>
  <c r="D15" i="9"/>
  <c r="G16" i="13"/>
  <c r="Z13" i="13"/>
  <c r="M10" i="8"/>
  <c r="G10" i="8" s="1"/>
  <c r="K11" i="16" s="1"/>
  <c r="L10" i="8"/>
  <c r="T11" i="16" s="1"/>
  <c r="L11" i="8"/>
  <c r="T12" i="16" s="1"/>
  <c r="M11" i="8"/>
  <c r="G11" i="8" s="1"/>
  <c r="K12" i="16" s="1"/>
  <c r="R12" i="9" l="1"/>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<sst xmlns="http://schemas.openxmlformats.org/spreadsheetml/2006/main" count="654" uniqueCount="141">
  <si>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</si>
  <si>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</si>
  <si>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</si>
  <si>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</si>
  <si>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</si>
  <si>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</si>
  <si>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</si>
  <si>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</si>
  <si>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</si>
  <si>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</si>
  <si>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</si>
  <si>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</si>
  <si>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</si>
  <si>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</si>
  <si>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</si>
  <si>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</si>
  <si>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</si>
  <si>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</si>
  <si>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</si>
  <si>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</si>
  <si>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</si>
  <si>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</si>
  <si>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</si>
  <si>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</si>
  <si>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</si>
  <si>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</si>
  <si>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</si>
  <si>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</si>
  <si>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</si>
  <si>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</si>
  <si>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</si>
  <si>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</si>
  <si>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</si>
  <si>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</si>
  <si>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</si>
  <si>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</si>
  <si>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</si>
  <si>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</si>
  <si>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</si>
  <si>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</si>
  <si>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</si>
  <si>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</si>
  <si>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</si>
  <si>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</si>
  <si>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</si>
  <si>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</si>
  <si>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</si>
  <si>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</si>
  <si>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</si>
  <si>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</si>
  <si>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</si>
  <si>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</si>
  <si>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</si>
  <si>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</si>
  <si>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</si>
  <si>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</si>
  <si>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</si>
  <si>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</si>
  <si>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</si>
  <si>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</si>
  <si>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</si>
  <si>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</si>
  <si>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</si>
  <si>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</si>
  <si>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</si>
  <si>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</si>
  <si>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</si>
  <si>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</si>
  <si>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</si>
  <si>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</si>
  <si>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</si>
  <si>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</si>
  <si>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</si>
  <si>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</si>
  <si>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</si>
  <si>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</si>
  <si>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</si>
  <si>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</si>
  <si>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</si>
  <si>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</si>
  <si>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</si>
  <si>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</si>
  <si>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</si>
  <si>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</si>
  <si>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</si>
  <si>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</si>
  <si>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</si>
  <si>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</si>
  <si>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</si>
  <si>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</si>
  <si>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</si>
  <si>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</si>
  <si>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</si>
  <si>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</si>
  <si>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</si>
  <si>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</si>
  <si>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</si>
  <si>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</si>
  <si>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</si>
  <si>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</si>
  <si>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</si>
  <si>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</si>
  <si>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</si>
  <si>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</si>
  <si>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</si>
  <si>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</si>
  <si>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</si>
  <si>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</si>
  <si>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</si>
  <si>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</si>
  <si>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</si>
  <si>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</si>
  <si>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</si>
  <si>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</si>
  <si>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</si>
  <si>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</si>
  <si>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</si>
  <si>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</si>
  <si>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</si>
  <si>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</si>
  <si>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</si>
  <si>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</si>
  <si>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</si>
  <si>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</si>
  <si>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</si>
  <si>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</si>
  <si>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</si>
  <si>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</si>
  <si>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</si>
  <si>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</si>
  <si>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</si>
  <si>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</si>
  <si>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</si>
  <si>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</si>
  <si>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</si>
  <si>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</si>
  <si>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Roscommon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</si>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</sst>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Roscommon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N=79</c:v>
                </c:pt>
                <c:pt idx="3">
                  <c:v>Petitions, total N=17</c:v>
                </c:pt>
                <c:pt idx="4">
                  <c:v>Detentions, total N=0</c:v>
                </c:pt>
                <c:pt idx="5">
                  <c:v>Referrals, total N=98</c:v>
                </c:pt>
                <c:pt idx="6">
                  <c:v>Arrests, total N=8</c:v>
                </c:pt>
                <c:pt idx="7">
                  <c:v>Population, total N=1664</c:v>
                </c:pt>
              </c:strCache>
            </c:strRef>
          </c:cat>
          <c:val>
            <c:numRef>
              <c:f>'Stacked 100%'!$B$7:$B$14</c:f>
              <c:numCache>
                <c:formatCode>0%</c:formatCode>
                <c:ptCount val="8"/>
                <c:pt idx="0">
                  <c:v>0</c:v>
                </c:pt>
                <c:pt idx="1">
                  <c:v>0</c:v>
                </c:pt>
                <c:pt idx="2">
                  <c:v>0</c:v>
                </c:pt>
                <c:pt idx="3">
                  <c:v>0</c:v>
                </c:pt>
                <c:pt idx="4">
                  <c:v>0</c:v>
                </c:pt>
                <c:pt idx="5">
                  <c:v>0</c:v>
                </c:pt>
                <c:pt idx="6">
                  <c:v>0</c:v>
                </c:pt>
                <c:pt idx="7">
                  <c:v>1.7427884615384616E-2</c:v>
                </c:pt>
              </c:numCache>
            </c:numRef>
          </c:val>
          <c:extLst>
            <c:ext xmlns:c16="http://schemas.microsoft.com/office/drawing/2014/chart" uri="{C3380CC4-5D6E-409C-BE32-E72D297353CC}">
              <c16:uniqueId val="{00000000-213F-4E05-B23C-7F4E0636A02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N=79</c:v>
                </c:pt>
                <c:pt idx="3">
                  <c:v>Petitions, total N=17</c:v>
                </c:pt>
                <c:pt idx="4">
                  <c:v>Detentions, total N=0</c:v>
                </c:pt>
                <c:pt idx="5">
                  <c:v>Referrals, total N=98</c:v>
                </c:pt>
                <c:pt idx="6">
                  <c:v>Arrests, total N=8</c:v>
                </c:pt>
                <c:pt idx="7">
                  <c:v>Population, total N=1664</c:v>
                </c:pt>
              </c:strCache>
            </c:strRef>
          </c:cat>
          <c:val>
            <c:numRef>
              <c:f>'Stacked 100%'!$C$7:$C$14</c:f>
              <c:numCache>
                <c:formatCode>0%</c:formatCode>
                <c:ptCount val="8"/>
                <c:pt idx="0">
                  <c:v>0</c:v>
                </c:pt>
                <c:pt idx="1">
                  <c:v>0</c:v>
                </c:pt>
                <c:pt idx="2">
                  <c:v>0</c:v>
                </c:pt>
                <c:pt idx="3">
                  <c:v>0</c:v>
                </c:pt>
                <c:pt idx="4">
                  <c:v>0</c:v>
                </c:pt>
                <c:pt idx="5">
                  <c:v>0</c:v>
                </c:pt>
                <c:pt idx="6">
                  <c:v>0</c:v>
                </c:pt>
                <c:pt idx="7">
                  <c:v>3.3052884615384616E-2</c:v>
                </c:pt>
              </c:numCache>
            </c:numRef>
          </c:val>
          <c:extLst>
            <c:ext xmlns:c16="http://schemas.microsoft.com/office/drawing/2014/chart" uri="{C3380CC4-5D6E-409C-BE32-E72D297353CC}">
              <c16:uniqueId val="{00000001-213F-4E05-B23C-7F4E0636A02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N=15</c:v>
                </c:pt>
                <c:pt idx="2">
                  <c:v>Delinquent Findings, total N=79</c:v>
                </c:pt>
                <c:pt idx="3">
                  <c:v>Petitions, total N=17</c:v>
                </c:pt>
                <c:pt idx="4">
                  <c:v>Detentions, total N=0</c:v>
                </c:pt>
                <c:pt idx="5">
                  <c:v>Referrals, total N=98</c:v>
                </c:pt>
                <c:pt idx="6">
                  <c:v>Arrests, total N=8</c:v>
                </c:pt>
                <c:pt idx="7">
                  <c:v>Population, total N=1664</c:v>
                </c:pt>
              </c:strCache>
            </c:strRef>
          </c:cat>
          <c:val>
            <c:numRef>
              <c:f>'Stacked 100%'!$H$7:$H$14</c:f>
              <c:numCache>
                <c:formatCode>0%</c:formatCode>
                <c:ptCount val="8"/>
                <c:pt idx="0">
                  <c:v>0</c:v>
                </c:pt>
                <c:pt idx="1">
                  <c:v>0</c:v>
                </c:pt>
                <c:pt idx="2">
                  <c:v>0</c:v>
                </c:pt>
                <c:pt idx="3">
                  <c:v>0</c:v>
                </c:pt>
                <c:pt idx="4">
                  <c:v>0</c:v>
                </c:pt>
                <c:pt idx="5">
                  <c:v>0</c:v>
                </c:pt>
                <c:pt idx="6">
                  <c:v>0</c:v>
                </c:pt>
                <c:pt idx="7">
                  <c:v>1.7335428994082841E-5</c:v>
                </c:pt>
              </c:numCache>
            </c:numRef>
          </c:val>
          <c:extLst>
            <c:ext xmlns:c16="http://schemas.microsoft.com/office/drawing/2014/chart" uri="{C3380CC4-5D6E-409C-BE32-E72D297353CC}">
              <c16:uniqueId val="{00000002-213F-4E05-B23C-7F4E0636A02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N=79</c:v>
                </c:pt>
                <c:pt idx="3">
                  <c:v>Petitions, total N=17</c:v>
                </c:pt>
                <c:pt idx="4">
                  <c:v>Detentions, total N=0</c:v>
                </c:pt>
                <c:pt idx="5">
                  <c:v>Referrals, total N=98</c:v>
                </c:pt>
                <c:pt idx="6">
                  <c:v>Arrests, total N=8</c:v>
                </c:pt>
                <c:pt idx="7">
                  <c:v>Population, total N=1664</c:v>
                </c:pt>
              </c:strCache>
            </c:strRef>
          </c:cat>
          <c:val>
            <c:numRef>
              <c:f>'Stacked 100%'!$I$7:$I$14</c:f>
              <c:numCache>
                <c:formatCode>0%</c:formatCode>
                <c:ptCount val="8"/>
                <c:pt idx="0">
                  <c:v>0</c:v>
                </c:pt>
                <c:pt idx="1">
                  <c:v>1</c:v>
                </c:pt>
                <c:pt idx="2">
                  <c:v>0.82278481012658233</c:v>
                </c:pt>
                <c:pt idx="3">
                  <c:v>0.88235294117647056</c:v>
                </c:pt>
                <c:pt idx="4">
                  <c:v>0</c:v>
                </c:pt>
                <c:pt idx="5">
                  <c:v>0.80612244897959184</c:v>
                </c:pt>
                <c:pt idx="6">
                  <c:v>1</c:v>
                </c:pt>
                <c:pt idx="7">
                  <c:v>0.92067307692307687</c:v>
                </c:pt>
              </c:numCache>
            </c:numRef>
          </c:val>
          <c:extLst>
            <c:ext xmlns:c16="http://schemas.microsoft.com/office/drawing/2014/chart" uri="{C3380CC4-5D6E-409C-BE32-E72D297353CC}">
              <c16:uniqueId val="{00000003-213F-4E05-B23C-7F4E0636A02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N=15</c:v>
                </c:pt>
                <c:pt idx="2">
                  <c:v>Delinquent Findings, total N=79</c:v>
                </c:pt>
                <c:pt idx="3">
                  <c:v>Petitions, total N=17</c:v>
                </c:pt>
                <c:pt idx="4">
                  <c:v>Detentions, total N=0</c:v>
                </c:pt>
                <c:pt idx="5">
                  <c:v>Referrals, total N=98</c:v>
                </c:pt>
                <c:pt idx="6">
                  <c:v>Arrests, total N=8</c:v>
                </c:pt>
                <c:pt idx="7">
                  <c:v>Population, total N=1664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13F-4E05-B23C-7F4E0636A02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1664</v>
      </c>
      <c r="C6" s="11">
        <v>1532</v>
      </c>
      <c r="D6" s="11">
        <v>29</v>
      </c>
      <c r="E6" s="11">
        <v>55</v>
      </c>
      <c r="F6" s="11">
        <v>29</v>
      </c>
      <c r="G6" s="11"/>
      <c r="H6" s="11">
        <v>19</v>
      </c>
      <c r="I6" s="11"/>
      <c r="J6" s="91">
        <f>SUM(D6:I6)</f>
        <v>132</v>
      </c>
      <c r="K6" s="92"/>
    </row>
    <row r="7" spans="1:11" ht="15.75" customHeight="1" thickBot="1">
      <c r="A7" s="10" t="s">
        <v>8</v>
      </c>
      <c r="B7" s="11">
        <f t="shared" ref="B7:B15" si="0">SUM(C7:I7)+K7</f>
        <v>8</v>
      </c>
      <c r="C7" s="11">
        <v>8</v>
      </c>
      <c r="D7" s="11"/>
      <c r="E7" s="11"/>
      <c r="F7" s="11"/>
      <c r="G7" s="11"/>
      <c r="H7" s="11"/>
      <c r="I7" s="11"/>
      <c r="J7" s="91">
        <f t="shared" ref="J7:J15" si="1">SUM(D7:I7)</f>
        <v>0</v>
      </c>
      <c r="K7" s="92"/>
    </row>
    <row r="8" spans="1:11" ht="15.75" customHeight="1" thickBot="1">
      <c r="A8" s="10" t="s">
        <v>9</v>
      </c>
      <c r="B8" s="11">
        <f t="shared" si="0"/>
        <v>98</v>
      </c>
      <c r="C8" s="11">
        <v>79</v>
      </c>
      <c r="D8" s="11"/>
      <c r="E8" s="11"/>
      <c r="F8" s="11"/>
      <c r="G8" s="11"/>
      <c r="H8" s="11"/>
      <c r="I8" s="11"/>
      <c r="J8" s="91">
        <f t="shared" si="1"/>
        <v>0</v>
      </c>
      <c r="K8" s="92">
        <v>19</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17</v>
      </c>
      <c r="C11" s="11">
        <v>15</v>
      </c>
      <c r="D11" s="11"/>
      <c r="E11" s="11"/>
      <c r="F11" s="11"/>
      <c r="G11" s="11"/>
      <c r="H11" s="11"/>
      <c r="I11" s="11"/>
      <c r="J11" s="91">
        <f t="shared" si="1"/>
        <v>0</v>
      </c>
      <c r="K11" s="92">
        <v>2</v>
      </c>
    </row>
    <row r="12" spans="1:11" ht="15.75" customHeight="1" thickBot="1">
      <c r="A12" s="10" t="s">
        <v>13</v>
      </c>
      <c r="B12" s="11">
        <f t="shared" si="0"/>
        <v>79</v>
      </c>
      <c r="C12" s="11">
        <v>65</v>
      </c>
      <c r="D12" s="11"/>
      <c r="E12" s="11"/>
      <c r="F12" s="11"/>
      <c r="G12" s="11"/>
      <c r="H12" s="11"/>
      <c r="I12" s="11"/>
      <c r="J12" s="91">
        <f t="shared" si="1"/>
        <v>0</v>
      </c>
      <c r="K12" s="92">
        <v>14</v>
      </c>
    </row>
    <row r="13" spans="1:11" ht="15.75" customHeight="1" thickBot="1">
      <c r="A13" s="10" t="s">
        <v>133</v>
      </c>
      <c r="B13" s="11">
        <f t="shared" si="0"/>
        <v>79</v>
      </c>
      <c r="C13" s="11">
        <v>63</v>
      </c>
      <c r="D13" s="11"/>
      <c r="E13" s="11"/>
      <c r="F13" s="11"/>
      <c r="G13" s="11"/>
      <c r="H13" s="11"/>
      <c r="I13" s="11"/>
      <c r="J13" s="91">
        <f t="shared" si="1"/>
        <v>0</v>
      </c>
      <c r="K13" s="92">
        <v>16</v>
      </c>
    </row>
    <row r="14" spans="1:11" ht="26.25" customHeight="1" thickBot="1">
      <c r="A14" s="10" t="s">
        <v>123</v>
      </c>
      <c r="B14" s="11">
        <f t="shared" si="0"/>
        <v>15</v>
      </c>
      <c r="C14" s="11">
        <v>15</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1532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5.2219321148825069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1524</v>
      </c>
      <c r="R7" s="42">
        <f t="shared" ref="R7:R15" si="5">SUM(N7:Q7)</f>
        <v>1532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79</v>
      </c>
      <c r="D8" s="34">
        <f>IF((AND(C67&gt;0,C8&gt;0)),(C8/C67),0)</f>
        <v>987.5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79</v>
      </c>
      <c r="Q8" s="42">
        <f>(C$67*L67)-C8</f>
        <v>-71</v>
      </c>
      <c r="R8" s="42">
        <f t="shared" si="5"/>
        <v>8.0499999999999972</v>
      </c>
      <c r="S8" s="30">
        <f t="shared" si="6"/>
        <v>125.60012499999996</v>
      </c>
      <c r="T8" s="30">
        <f t="shared" si="7"/>
        <v>-2242.02</v>
      </c>
      <c r="U8" s="31">
        <f t="shared" si="8"/>
        <v>-5.6020965468639869E-2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18.987341772151897</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64</v>
      </c>
      <c r="R11" s="42">
        <f t="shared" si="5"/>
        <v>79</v>
      </c>
      <c r="S11" s="30">
        <f t="shared" si="6"/>
        <v>0</v>
      </c>
      <c r="T11" s="30">
        <f t="shared" si="7"/>
        <v>0</v>
      </c>
      <c r="U11" s="31" t="str">
        <f t="shared" si="8"/>
        <v>- -</v>
      </c>
    </row>
    <row r="12" spans="2:21" ht="18" customHeight="1">
      <c r="B12" s="32" t="str">
        <f>'Data Entry'!A12</f>
        <v>7. Cases Resulting in Delinquent Findings</v>
      </c>
      <c r="C12" s="33">
        <f>'Data Entry'!C12</f>
        <v>65</v>
      </c>
      <c r="D12" s="34">
        <f>IF(((AND(C69&gt;0,C12&gt;0))),(C12/(C69)),0)</f>
        <v>433.33333333333337</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65</v>
      </c>
      <c r="Q12" s="42">
        <f>(C69*L69)-C12</f>
        <v>-50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63</v>
      </c>
      <c r="D13" s="34">
        <f>IF(((AND(C70&gt;0,C13&gt;0))),(C13/(C70)),0)</f>
        <v>96.92307692307692</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63</v>
      </c>
      <c r="Q13" s="42">
        <f>(C70*L70)-C13</f>
        <v>2</v>
      </c>
      <c r="R13" s="42">
        <f t="shared" si="5"/>
        <v>65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23.076923076923077</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50</v>
      </c>
      <c r="R14" s="42">
        <f t="shared" si="5"/>
        <v>65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1.532</v>
      </c>
      <c r="D42" s="56">
        <f>E6/1000</f>
        <v>0</v>
      </c>
      <c r="E42" s="56">
        <f>MAX(C42:D42)</f>
        <v>1.532</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0.79</v>
      </c>
      <c r="D44" s="56">
        <f>E8/100</f>
        <v>0</v>
      </c>
      <c r="E44" s="56">
        <f>MAX(C44:D44,0)</f>
        <v>0.79</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0.65</v>
      </c>
      <c r="D46" s="49">
        <f>E12/100</f>
        <v>0</v>
      </c>
      <c r="E46" s="56">
        <f>MAX(C46:D46)</f>
        <v>0.65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1.532</v>
      </c>
      <c r="D48" s="56">
        <f>D42</f>
        <v>0</v>
      </c>
      <c r="E48" s="56">
        <f>MAX(C48:D48)</f>
        <v>1.532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0.65</v>
      </c>
      <c r="D52" s="49">
        <f>IF(($E46&gt;0),D46,D45)</f>
        <v>0</v>
      </c>
      <c r="E52" s="56">
        <f>MAX(C52:D52)</f>
        <v>0.65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1.532</v>
      </c>
      <c r="D54" s="56">
        <f>D48</f>
        <v>0</v>
      </c>
      <c r="E54" s="56">
        <f>MAX(C54:D54)</f>
        <v>1.532</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0.65</v>
      </c>
      <c r="D58" s="49">
        <f>IF(($E52&gt;0),D52,D51)</f>
        <v>0</v>
      </c>
      <c r="E58" s="56">
        <f>MAX(C58:D58)</f>
        <v>0.65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1.532</v>
      </c>
      <c r="D60" s="56">
        <f>D54</f>
        <v>0</v>
      </c>
      <c r="E60" s="56">
        <f>MAX(C60:D60)</f>
        <v>1.532</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0.65</v>
      </c>
      <c r="D64" s="49">
        <f>IF(($E58&gt;0),D58,D57)</f>
        <v>0</v>
      </c>
      <c r="E64" s="56">
        <f>MAX(C64:D64)</f>
        <v>0.65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1.532</v>
      </c>
      <c r="D66" s="56">
        <f>D60</f>
        <v>0</v>
      </c>
      <c r="E66" s="56">
        <f>MAX(C66:D66)</f>
        <v>1.532</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0.65</v>
      </c>
      <c r="D70" s="49">
        <f>IF(($E64&gt;0),D64,D63)</f>
        <v>0</v>
      </c>
      <c r="E70" s="56">
        <f>MAX(C70:D70)</f>
        <v>0.65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1532</v>
      </c>
      <c r="D6" s="34"/>
      <c r="E6" s="33">
        <f>'Data Entry'!J6</f>
        <v>132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5.2219321148825069</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132</v>
      </c>
      <c r="P7" s="42">
        <f t="shared" ref="P7:P15" si="4">C7</f>
        <v>8</v>
      </c>
      <c r="Q7" s="42">
        <f>C6-C7</f>
        <v>1524</v>
      </c>
      <c r="R7" s="42">
        <f t="shared" ref="R7:R15" si="5">SUM(N7:Q7)</f>
        <v>1664</v>
      </c>
      <c r="S7" s="30">
        <f t="shared" ref="S7:S15" si="6">R7*((((N7*Q7)-(O7*P7))^2))</f>
        <v>1855586304</v>
      </c>
      <c r="T7" s="30">
        <f t="shared" ref="T7:T15" si="7">(N7+O7)*(P7+Q7)*(N7+P7)*(O7+Q7)</f>
        <v>2679063552</v>
      </c>
      <c r="U7" s="31">
        <f t="shared" ref="U7:U15" si="8">IF((S7&gt;0),S7/T7,"- -")</f>
        <v>0.69262496688992314</v>
      </c>
    </row>
    <row r="8" spans="2:21" ht="18" customHeight="1">
      <c r="B8" s="32" t="str">
        <f>'Data Entry'!A8</f>
        <v>3. Refer to Juvenile Court</v>
      </c>
      <c r="C8" s="33">
        <f>'Data Entry'!C8</f>
        <v>79</v>
      </c>
      <c r="D8" s="34">
        <f>IF((AND(C67&gt;0,C8&gt;0)),(C8/C67),0)</f>
        <v>987.5</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79</v>
      </c>
      <c r="Q8" s="42">
        <f>(C$67*L67)-C8</f>
        <v>-71</v>
      </c>
      <c r="R8" s="42">
        <f t="shared" si="5"/>
        <v>8.0499999999999972</v>
      </c>
      <c r="S8" s="30">
        <f t="shared" si="6"/>
        <v>125.60012499999996</v>
      </c>
      <c r="T8" s="30">
        <f t="shared" si="7"/>
        <v>-2242.02</v>
      </c>
      <c r="U8" s="31">
        <f t="shared" si="8"/>
        <v>-5.6020965468639869E-2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18.987341772151897</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64</v>
      </c>
      <c r="R11" s="42">
        <f t="shared" si="5"/>
        <v>79</v>
      </c>
      <c r="S11" s="30">
        <f t="shared" si="6"/>
        <v>0</v>
      </c>
      <c r="T11" s="30">
        <f t="shared" si="7"/>
        <v>0</v>
      </c>
      <c r="U11" s="31" t="str">
        <f t="shared" si="8"/>
        <v>- -</v>
      </c>
    </row>
    <row r="12" spans="2:21" ht="18" customHeight="1">
      <c r="B12" s="32" t="str">
        <f>'Data Entry'!A12</f>
        <v>7. Cases Resulting in Delinquent Findings</v>
      </c>
      <c r="C12" s="33">
        <f>'Data Entry'!C12</f>
        <v>65</v>
      </c>
      <c r="D12" s="34">
        <f>IF(((AND(C69&gt;0,C12&gt;0))),(C12/(C69)),0)</f>
        <v>433.33333333333337</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65</v>
      </c>
      <c r="Q12" s="42">
        <f>(C69*L69)-C12</f>
        <v>-50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63</v>
      </c>
      <c r="D13" s="34">
        <f>IF(((AND(C70&gt;0,C13&gt;0))),(C13/(C70)),0)</f>
        <v>96.92307692307692</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63</v>
      </c>
      <c r="Q13" s="42">
        <f>(C70*L70)-C13</f>
        <v>2</v>
      </c>
      <c r="R13" s="42">
        <f t="shared" si="5"/>
        <v>65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23.076923076923077</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50</v>
      </c>
      <c r="R14" s="42">
        <f t="shared" si="5"/>
        <v>65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1.532</v>
      </c>
      <c r="D42" s="56">
        <f>E6/1000</f>
        <v>0.13200000000000001</v>
      </c>
      <c r="E42" s="56">
        <f>MAX(C42:D42)</f>
        <v>1.532</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0.79</v>
      </c>
      <c r="D44" s="56">
        <f>E8/100</f>
        <v>0</v>
      </c>
      <c r="E44" s="56">
        <f>MAX(C44:D44,0)</f>
        <v>0.79</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0.65</v>
      </c>
      <c r="D46" s="49">
        <f>E12/100</f>
        <v>0</v>
      </c>
      <c r="E46" s="56">
        <f>MAX(C46:D46)</f>
        <v>0.65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1.532</v>
      </c>
      <c r="D48" s="56">
        <f>D42</f>
        <v>0.13200000000000001</v>
      </c>
      <c r="E48" s="56">
        <f>MAX(C48:D48)</f>
        <v>1.532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0.65</v>
      </c>
      <c r="D52" s="49">
        <f>IF(($E46&gt;0),D46,D45)</f>
        <v>0</v>
      </c>
      <c r="E52" s="56">
        <f>MAX(C52:D52)</f>
        <v>0.65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1.532</v>
      </c>
      <c r="D54" s="56">
        <f>D48</f>
        <v>0.13200000000000001</v>
      </c>
      <c r="E54" s="56">
        <f>MAX(C54:D54)</f>
        <v>1.532</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0.65</v>
      </c>
      <c r="D58" s="49">
        <f>IF(($E52&gt;0),D52,D51)</f>
        <v>0</v>
      </c>
      <c r="E58" s="56">
        <f>MAX(C58:D58)</f>
        <v>0.65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1.532</v>
      </c>
      <c r="D60" s="56">
        <f>D54</f>
        <v>0.13200000000000001</v>
      </c>
      <c r="E60" s="56">
        <f>MAX(C60:D60)</f>
        <v>1.532</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0.65</v>
      </c>
      <c r="D64" s="49">
        <f>IF(($E58&gt;0),D58,D57)</f>
        <v>0</v>
      </c>
      <c r="E64" s="56">
        <f>MAX(C64:D64)</f>
        <v>0.65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1.532</v>
      </c>
      <c r="D66" s="56">
        <f>D60</f>
        <v>0.13200000000000001</v>
      </c>
      <c r="E66" s="56">
        <f>MAX(C66:D66)</f>
        <v>1.532</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0.65</v>
      </c>
      <c r="D70" s="49">
        <f>IF(($E64&gt;0),D64,D63)</f>
        <v>0</v>
      </c>
      <c r="E70" s="56">
        <f>MAX(C70:D70)</f>
        <v>0.65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Roscommon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1664</v>
      </c>
      <c r="D3" s="57">
        <f>'Data Entry'!C6</f>
        <v>1532</v>
      </c>
      <c r="E3" s="57">
        <f>'Data Entry'!D6</f>
        <v>29</v>
      </c>
      <c r="F3" s="57">
        <f>'Data Entry'!E6</f>
        <v>55</v>
      </c>
      <c r="G3" s="57">
        <f>'Data Entry'!F6</f>
        <v>29</v>
      </c>
      <c r="H3" s="57">
        <f>'Data Entry'!G6</f>
        <v>0</v>
      </c>
      <c r="I3" s="57">
        <f>'Data Entry'!H6</f>
        <v>19</v>
      </c>
      <c r="J3" s="57">
        <f>'Data Entry'!I6</f>
        <v>0</v>
      </c>
      <c r="K3" s="57">
        <f>'Data Entry'!J6</f>
        <v>132</v>
      </c>
    </row>
    <row r="4" spans="2:11" ht="15" customHeight="1">
      <c r="B4" s="16" t="s">
        <v>8</v>
      </c>
      <c r="C4" s="1">
        <f>IF((C$3&gt;0),(1000*('Data Entry'!B7/'Data Entry'!B$6)), 0)</f>
        <v>4.8076923076923084</v>
      </c>
      <c r="D4" s="1">
        <f>IF((D$3&gt;0),(1000*('Data Entry'!C7/'Data Entry'!C$6)), 0)</f>
        <v>5.2219321148825069</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58.894230769230766</v>
      </c>
      <c r="D5" s="1">
        <f>IF((D$3&gt;0),(1000*('Data Entry'!C8/'Data Entry'!C$6)), 0)</f>
        <v>51.566579634464752</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10.216346153846153</v>
      </c>
      <c r="D8" s="1">
        <f>IF((D$3&gt;0),(1000*('Data Entry'!C11/'Data Entry'!C$6)), 0)</f>
        <v>9.7911227154047005</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47.475961538461533</v>
      </c>
      <c r="D9" s="1">
        <f>IF((D$3&gt;0),(1000*('Data Entry'!C12/'Data Entry'!C$6)), 0)</f>
        <v>42.428198433420363</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47.475961538461533</v>
      </c>
      <c r="D10" s="1">
        <f>IF((D$3&gt;0),(1000*('Data Entry'!C13/'Data Entry'!C$6)), 0)</f>
        <v>41.122715404699733</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9.0144230769230766</v>
      </c>
      <c r="D11" s="1">
        <f>IF((D$3&gt;0),(1000*('Data Entry'!C14/'Data Entry'!C$6)), 0)</f>
        <v>9.7911227154047005</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Roscommon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Roscommon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1532</v>
      </c>
      <c r="D7" s="104">
        <f>'Data Entry'!D6</f>
        <v>29</v>
      </c>
      <c r="E7" s="105"/>
      <c r="F7" s="106">
        <f>'Data Entry'!E6</f>
        <v>55</v>
      </c>
      <c r="G7" s="105"/>
      <c r="H7" s="106">
        <f>'Data Entry'!F6</f>
        <v>29</v>
      </c>
      <c r="I7" s="105"/>
      <c r="J7" s="106">
        <f>'Data Entry'!G6</f>
        <v>0</v>
      </c>
      <c r="K7" s="105"/>
      <c r="L7" s="106">
        <f>'Data Entry'!H6</f>
        <v>19</v>
      </c>
      <c r="M7" s="105"/>
      <c r="N7" s="106">
        <f>'Data Entry'!I6</f>
        <v>0</v>
      </c>
      <c r="O7" s="105"/>
      <c r="P7" s="106">
        <f>'Data Entry'!J6</f>
        <v>132</v>
      </c>
      <c r="Q7" s="107"/>
    </row>
    <row r="8" spans="2:26" s="1" customFormat="1" ht="15" customHeight="1">
      <c r="B8" s="142" t="s">
        <v>8</v>
      </c>
      <c r="C8" s="103">
        <f>'Data Entry'!C7</f>
        <v>8</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79</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15</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65</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63</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15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Roscommon</v>
      </c>
    </row>
    <row r="6" spans="1:12">
      <c r="A6" s="135" t="str">
        <f>CONCATENATE("Percentage of Minorities at Stages of the Juvenile Justice System, ", A5, " 2022")</f>
        <v>Percentage of Minorities at Stages of the Juvenile Justice System, County: Roscommon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11.606060606060604</v>
      </c>
    </row>
    <row r="8" spans="1:12" ht="25.5" customHeight="1">
      <c r="A8" s="151" t="str">
        <f>CONCATENATE("Confinement, total N=", 'Data Entry'!B14)</f>
        <v>Confinement, total N=15</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N=15</v>
      </c>
      <c r="L8">
        <f>I14/(SUM(B14:G14))</f>
        <v>11.606060606060604</v>
      </c>
    </row>
    <row r="9" spans="1:12">
      <c r="A9" s="128" t="str">
        <f>CONCATENATE("Delinquent Findings, total N=", 'Data Entry'!B12)</f>
        <v>Delinquent Findings, total N=79</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0.82278481012658233</v>
      </c>
      <c r="K9" s="96" t="str">
        <f t="shared" si="0"/>
        <v>Delinquent Findings, total N=79</v>
      </c>
      <c r="L9">
        <f>I14/(SUM(B14:G14))</f>
        <v>11.606060606060604</v>
      </c>
    </row>
    <row r="10" spans="1:12">
      <c r="A10" s="128" t="str">
        <f>CONCATENATE("Petitions, total N=", 'Data Entry'!B11)</f>
        <v>Petitions, total N=17</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0.88235294117647056</v>
      </c>
      <c r="K10" s="96" t="str">
        <f t="shared" si="0"/>
        <v>Petitions, total N=17</v>
      </c>
      <c r="L10">
        <f>I14/(SUM(B14:G14))</f>
        <v>11.606060606060604</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11.606060606060604</v>
      </c>
    </row>
    <row r="12" spans="1:12">
      <c r="A12" s="128" t="str">
        <f>CONCATENATE("Referrals, total N=", 'Data Entry'!B8)</f>
        <v>Referrals, total N=98</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0.80612244897959184</v>
      </c>
      <c r="K12" s="96" t="str">
        <f t="shared" si="0"/>
        <v>Referrals, total N=98</v>
      </c>
      <c r="L12">
        <f>I14/(SUM(B14:G14))</f>
        <v>11.606060606060604</v>
      </c>
    </row>
    <row r="13" spans="1:12">
      <c r="A13" s="128" t="str">
        <f>CONCATENATE("Arrests, total N=", 'Data Entry'!B7)</f>
        <v>Arrests, total N=8</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N=8</v>
      </c>
      <c r="L13">
        <f>I14/(SUM(B14:G14))</f>
        <v>11.606060606060604</v>
      </c>
    </row>
    <row r="14" spans="1:12">
      <c r="A14" s="128" t="str">
        <f>CONCATENATE("Population, total N=", 'Data Entry'!B6)</f>
        <v>Population, total N=1664</v>
      </c>
      <c r="B14" s="150">
        <f>'Data Entry'!D6/'Data Entry'!B6</f>
        <v>1.7427884615384616E-2</v>
      </c>
      <c r="C14" s="150">
        <f>'Data Entry'!E6/'Data Entry'!B6</f>
        <v>3.3052884615384616E-2</v>
      </c>
      <c r="D14" s="150">
        <f>'Data Entry'!F6/'Data Entry'!B6</f>
        <v>1.7427884615384616E-2</v>
      </c>
      <c r="E14" s="150">
        <f>'Data Entry'!G6/'Data Entry'!B6</f>
        <v>0</v>
      </c>
      <c r="F14" s="150">
        <f>'Data Entry'!H6/'Data Entry'!B6</f>
        <v>1.141826923076923E-2</v>
      </c>
      <c r="G14" s="150">
        <f>'Data Entry'!I6/'Data Entry'!B6</f>
        <v>0</v>
      </c>
      <c r="H14" s="150">
        <f>SUM(D14:G14)/'Data Entry'!B6</f>
        <v>1.7335428994082841E-5</v>
      </c>
      <c r="I14" s="150">
        <f>'Data Entry'!C6/'Data Entry'!B6</f>
        <v>0.92067307692307687</v>
      </c>
      <c r="K14" s="96" t="str">
        <f t="shared" si="0"/>
        <v>Population, total N=1664</v>
      </c>
      <c r="L14">
        <f>I14/(SUM(B14:G14))</f>
        <v>11.606060606060604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Roscommon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1532</v>
      </c>
      <c r="D7" s="104">
        <f>'Data Entry'!D6</f>
        <v>29</v>
      </c>
      <c r="E7" s="105"/>
      <c r="F7" s="106">
        <f>'Data Entry'!E6</f>
        <v>55</v>
      </c>
      <c r="G7" s="105"/>
      <c r="H7" s="106">
        <f>'Data Entry'!F6</f>
        <v>29</v>
      </c>
      <c r="I7" s="105"/>
      <c r="J7" s="106">
        <f>'Data Entry'!J6</f>
        <v>132</v>
      </c>
      <c r="K7" s="107"/>
    </row>
    <row r="8" spans="2:30" s="1" customFormat="1" ht="15" customHeight="1">
      <c r="B8" s="121" t="s">
        <v>8</v>
      </c>
      <c r="C8" s="103">
        <f>'Data Entry'!C7</f>
        <v>8</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79</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15</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65</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63</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15</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1532</v>
      </c>
      <c r="D6" s="34"/>
      <c r="E6" s="33">
        <f>'Data Entry'!D6</f>
        <v>29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5.2219321148825069</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29</v>
      </c>
      <c r="P7" s="42">
        <f t="shared" ref="P7:P15" si="2">C7</f>
        <v>8</v>
      </c>
      <c r="Q7" s="42">
        <f>C6-C7</f>
        <v>1524</v>
      </c>
      <c r="R7" s="42">
        <f t="shared" ref="R7:R15" si="3">SUM(N7:Q7)</f>
        <v>1561</v>
      </c>
      <c r="S7" s="30">
        <f t="shared" ref="S7:S15" si="4">R7*((((N7*Q7)-(O7*P7))^2))</f>
        <v>84019264</v>
      </c>
      <c r="T7" s="30">
        <f t="shared" ref="T7:T15" si="5">(N7+O7)*(P7+Q7)*(N7+P7)*(O7+Q7)</f>
        <v>551973472</v>
      </c>
      <c r="U7" s="31">
        <f t="shared" ref="U7:U15" si="6">IF((S7&gt;0),S7/T7,"- -")</f>
        <v>0.15221612679241223</v>
      </c>
    </row>
    <row r="8" spans="2:21" ht="18" customHeight="1">
      <c r="B8" s="32" t="str">
        <f>'Data Entry'!A8</f>
        <v>3. Refer to Juvenile Court</v>
      </c>
      <c r="C8" s="33">
        <f>'Data Entry'!C8</f>
        <v>79</v>
      </c>
      <c r="D8" s="34">
        <f>IF((AND(C67&gt;0,C8&gt;0)),(C8/C67),0)</f>
        <v>987.5</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79</v>
      </c>
      <c r="Q8" s="42">
        <f>(C$67*L67)-C8</f>
        <v>-71</v>
      </c>
      <c r="R8" s="42">
        <f t="shared" si="3"/>
        <v>8.0499999999999972</v>
      </c>
      <c r="S8" s="30">
        <f t="shared" si="4"/>
        <v>125.60012499999996</v>
      </c>
      <c r="T8" s="30">
        <f t="shared" si="5"/>
        <v>-2242.02</v>
      </c>
      <c r="U8" s="31">
        <f t="shared" si="6"/>
        <v>-5.6020965468639869E-2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79</v>
      </c>
      <c r="R9" s="42">
        <f t="shared" si="3"/>
        <v>79</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79</v>
      </c>
      <c r="R10" s="42">
        <f t="shared" si="3"/>
        <v>79</v>
      </c>
      <c r="S10" s="30">
        <f t="shared" si="4"/>
        <v>0</v>
      </c>
      <c r="T10" s="30">
        <f t="shared" si="5"/>
        <v>0</v>
      </c>
      <c r="U10" s="31" t="str">
        <f t="shared" si="6"/>
        <v>- -</v>
      </c>
    </row>
    <row r="11" spans="2:21" ht="18" customHeight="1">
      <c r="B11" s="32" t="str">
        <f>'Data Entry'!A11</f>
        <v>6. Cases Petitioned (Charge Filed)</v>
      </c>
      <c r="C11" s="33">
        <f>'Data Entry'!C11</f>
        <v>15</v>
      </c>
      <c r="D11" s="34">
        <f>IF(((AND(C68&gt;0,C11&gt;0))),(C11/(C68)),0)</f>
        <v>18.987341772151897</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15</v>
      </c>
      <c r="Q11" s="42">
        <f>(C$68*L68)-C11</f>
        <v>64</v>
      </c>
      <c r="R11" s="42">
        <f t="shared" si="3"/>
        <v>79</v>
      </c>
      <c r="S11" s="30">
        <f t="shared" si="4"/>
        <v>0</v>
      </c>
      <c r="T11" s="30">
        <f t="shared" si="5"/>
        <v>0</v>
      </c>
      <c r="U11" s="31" t="str">
        <f t="shared" si="6"/>
        <v>- -</v>
      </c>
    </row>
    <row r="12" spans="2:21" ht="18" customHeight="1">
      <c r="B12" s="32" t="str">
        <f>'Data Entry'!A12</f>
        <v>7. Cases Resulting in Delinquent Findings</v>
      </c>
      <c r="C12" s="33">
        <f>'Data Entry'!C12</f>
        <v>65</v>
      </c>
      <c r="D12" s="34">
        <f>IF(((AND(C69&gt;0,C12&gt;0))),(C12/(C69)),0)</f>
        <v>433.33333333333337</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65</v>
      </c>
      <c r="Q12" s="42">
        <f>(C69*L69)-C12</f>
        <v>-50</v>
      </c>
      <c r="R12" s="42">
        <f t="shared" si="3"/>
        <v>15</v>
      </c>
      <c r="S12" s="30">
        <f t="shared" si="4"/>
        <v>0</v>
      </c>
      <c r="T12" s="30">
        <f t="shared" si="5"/>
        <v>0</v>
      </c>
      <c r="U12" s="31" t="str">
        <f t="shared" si="6"/>
        <v>- -</v>
      </c>
    </row>
    <row r="13" spans="2:21" ht="18" customHeight="1">
      <c r="B13" s="32" t="str">
        <f>'Data Entry'!A13</f>
        <v>8. Cases Resulting in Probation Placement</v>
      </c>
      <c r="C13" s="33">
        <f>'Data Entry'!C13</f>
        <v>63</v>
      </c>
      <c r="D13" s="34">
        <f>IF(((AND(C70&gt;0,C13&gt;0))),(C13/(C70)),0)</f>
        <v>96.92307692307692</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63</v>
      </c>
      <c r="Q13" s="42">
        <f>(C70*L70)-C13</f>
        <v>2</v>
      </c>
      <c r="R13" s="42">
        <f t="shared" si="3"/>
        <v>65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15</v>
      </c>
      <c r="D14" s="34">
        <f>IF(((AND(C70&gt;0,C14&gt;0))), ((C14/(C70))),0)</f>
        <v>23.076923076923077</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15</v>
      </c>
      <c r="Q14" s="42">
        <f>(C70*L70)-C14</f>
        <v>50</v>
      </c>
      <c r="R14" s="42">
        <f t="shared" si="3"/>
        <v>65</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15</v>
      </c>
      <c r="R15" s="42">
        <f t="shared" si="3"/>
        <v>15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1.532</v>
      </c>
      <c r="D42" s="56">
        <f>E6/1000</f>
        <v>2.9000000000000001E-2</v>
      </c>
      <c r="E42" s="56">
        <f>MAX(C42:D42)</f>
        <v>1.532</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0.79</v>
      </c>
      <c r="D44" s="56">
        <f>E8/100</f>
        <v>0</v>
      </c>
      <c r="E44" s="56">
        <f>MAX(C44:D44,0)</f>
        <v>0.79</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0.65</v>
      </c>
      <c r="D46" s="49">
        <f>E12/100</f>
        <v>0</v>
      </c>
      <c r="E46" s="56">
        <f>MAX(C46:D46)</f>
        <v>0.65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1.532</v>
      </c>
      <c r="D48" s="56">
        <f>D42</f>
        <v>2.9000000000000001E-2</v>
      </c>
      <c r="E48" s="56">
        <f>MAX(C48:D48)</f>
        <v>1.532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0.65</v>
      </c>
      <c r="D52" s="49">
        <f>IF(($E46&gt;0),D46,D45)</f>
        <v>0</v>
      </c>
      <c r="E52" s="56">
        <f>MAX(C52:D52)</f>
        <v>0.65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1.532</v>
      </c>
      <c r="D54" s="56">
        <f>D48</f>
        <v>2.9000000000000001E-2</v>
      </c>
      <c r="E54" s="56">
        <f>MAX(C54:D54)</f>
        <v>1.532</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0.65</v>
      </c>
      <c r="D58" s="49">
        <f>IF(($E52&gt;0),D52,D51)</f>
        <v>0</v>
      </c>
      <c r="E58" s="56">
        <f>MAX(C58:D58)</f>
        <v>0.65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1.532</v>
      </c>
      <c r="D60" s="56">
        <f>D54</f>
        <v>2.9000000000000001E-2</v>
      </c>
      <c r="E60" s="56">
        <f>MAX(C60:D60)</f>
        <v>1.532</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0.65</v>
      </c>
      <c r="D64" s="49">
        <f>IF(($E58&gt;0),D58,D57)</f>
        <v>0</v>
      </c>
      <c r="E64" s="56">
        <f>MAX(C64:D64)</f>
        <v>0.65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1.532</v>
      </c>
      <c r="D66" s="56">
        <f>D60</f>
        <v>2.9000000000000001E-2</v>
      </c>
      <c r="E66" s="56">
        <f>MAX(C66:D66)</f>
        <v>1.532</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0.65</v>
      </c>
      <c r="D70" s="49">
        <f>IF(($E64&gt;0),D64,D63)</f>
        <v>0</v>
      </c>
      <c r="E70" s="56">
        <f>MAX(C70:D70)</f>
        <v>0.65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1532</v>
      </c>
      <c r="D6" s="34"/>
      <c r="E6" s="33">
        <f>'Data Entry'!F6</f>
        <v>29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5.2219321148825069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29</v>
      </c>
      <c r="P7" s="42">
        <f t="shared" ref="P7:P15" si="4">C7</f>
        <v>8</v>
      </c>
      <c r="Q7" s="42">
        <f>C6-C7</f>
        <v>1524</v>
      </c>
      <c r="R7" s="42">
        <f t="shared" ref="R7:R15" si="5">SUM(N7:Q7)</f>
        <v>1561</v>
      </c>
      <c r="S7" s="30">
        <f t="shared" ref="S7:S15" si="6">R7*((((N7*Q7)-(O7*P7))^2))</f>
        <v>84019264</v>
      </c>
      <c r="T7" s="30">
        <f t="shared" ref="T7:T15" si="7">(N7+O7)*(P7+Q7)*(N7+P7)*(O7+Q7)</f>
        <v>551973472</v>
      </c>
      <c r="U7" s="31">
        <f t="shared" ref="U7:U15" si="8">IF((S7&gt;0),S7/T7,"- -")</f>
        <v>0.15221612679241223</v>
      </c>
    </row>
    <row r="8" spans="2:21" ht="18" customHeight="1">
      <c r="B8" s="32" t="str">
        <f>'Data Entry'!A8</f>
        <v>3. Refer to Juvenile Court</v>
      </c>
      <c r="C8" s="33">
        <f>'Data Entry'!C8</f>
        <v>79</v>
      </c>
      <c r="D8" s="34">
        <f>IF((AND(C67&gt;0,C8&gt;0)),(C8/C67),0)</f>
        <v>987.5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79</v>
      </c>
      <c r="Q8" s="42">
        <f>(C$67*L67)-C8</f>
        <v>-71</v>
      </c>
      <c r="R8" s="42">
        <f t="shared" si="5"/>
        <v>8.0499999999999972</v>
      </c>
      <c r="S8" s="30">
        <f t="shared" si="6"/>
        <v>125.60012499999996</v>
      </c>
      <c r="T8" s="30">
        <f t="shared" si="7"/>
        <v>-2242.02</v>
      </c>
      <c r="U8" s="31">
        <f t="shared" si="8"/>
        <v>-5.6020965468639869E-2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18.987341772151897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64</v>
      </c>
      <c r="R11" s="42">
        <f t="shared" si="5"/>
        <v>79</v>
      </c>
      <c r="S11" s="30">
        <f t="shared" si="6"/>
        <v>0</v>
      </c>
      <c r="T11" s="30">
        <f t="shared" si="7"/>
        <v>0</v>
      </c>
      <c r="U11" s="31" t="str">
        <f t="shared" si="8"/>
        <v>- -</v>
      </c>
    </row>
    <row r="12" spans="2:21" ht="18" customHeight="1">
      <c r="B12" s="32" t="str">
        <f>'Data Entry'!A12</f>
        <v>7. Cases Resulting in Delinquent Findings</v>
      </c>
      <c r="C12" s="33">
        <f>'Data Entry'!C12</f>
        <v>65</v>
      </c>
      <c r="D12" s="34">
        <f>IF(((AND(C69&gt;0,C12&gt;0))),(C12/(C69)),0)</f>
        <v>433.33333333333337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65</v>
      </c>
      <c r="Q12" s="42">
        <f>(C69*L69)-C12</f>
        <v>-50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63</v>
      </c>
      <c r="D13" s="34">
        <f>IF(((AND(C70&gt;0,C13&gt;0))),(C13/(C70)),0)</f>
        <v>96.92307692307692</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63</v>
      </c>
      <c r="Q13" s="42">
        <f>(C70*L70)-C13</f>
        <v>2</v>
      </c>
      <c r="R13" s="42">
        <f t="shared" si="5"/>
        <v>65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23.076923076923077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50</v>
      </c>
      <c r="R14" s="42">
        <f t="shared" si="5"/>
        <v>65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1.532</v>
      </c>
      <c r="D42" s="56">
        <f>E6/1000</f>
        <v>2.9000000000000001E-2</v>
      </c>
      <c r="E42" s="56">
        <f>MAX(C42:D42)</f>
        <v>1.532</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0.79</v>
      </c>
      <c r="D44" s="56">
        <f>E8/100</f>
        <v>0</v>
      </c>
      <c r="E44" s="56">
        <f>MAX(C44:D44,0)</f>
        <v>0.79</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0.65</v>
      </c>
      <c r="D46" s="49">
        <f>E12/100</f>
        <v>0</v>
      </c>
      <c r="E46" s="56">
        <f>MAX(C46:D46)</f>
        <v>0.65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1.532</v>
      </c>
      <c r="D48" s="56">
        <f>D42</f>
        <v>2.9000000000000001E-2</v>
      </c>
      <c r="E48" s="56">
        <f>MAX(C48:D48)</f>
        <v>1.532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0.65</v>
      </c>
      <c r="D52" s="49">
        <f>IF(($E46&gt;0),D46,D45)</f>
        <v>0</v>
      </c>
      <c r="E52" s="56">
        <f>MAX(C52:D52)</f>
        <v>0.65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1.532</v>
      </c>
      <c r="D54" s="56">
        <f>D48</f>
        <v>2.9000000000000001E-2</v>
      </c>
      <c r="E54" s="56">
        <f>MAX(C54:D54)</f>
        <v>1.532</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0.65</v>
      </c>
      <c r="D58" s="49">
        <f>IF(($E52&gt;0),D52,D51)</f>
        <v>0</v>
      </c>
      <c r="E58" s="56">
        <f>MAX(C58:D58)</f>
        <v>0.65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1.532</v>
      </c>
      <c r="D60" s="56">
        <f>D54</f>
        <v>2.9000000000000001E-2</v>
      </c>
      <c r="E60" s="56">
        <f>MAX(C60:D60)</f>
        <v>1.532</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0.65</v>
      </c>
      <c r="D64" s="49">
        <f>IF(($E58&gt;0),D58,D57)</f>
        <v>0</v>
      </c>
      <c r="E64" s="56">
        <f>MAX(C64:D64)</f>
        <v>0.65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1.532</v>
      </c>
      <c r="D66" s="56">
        <f>D60</f>
        <v>2.9000000000000001E-2</v>
      </c>
      <c r="E66" s="56">
        <f>MAX(C66:D66)</f>
        <v>1.532</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0.65</v>
      </c>
      <c r="D70" s="49">
        <f>IF(($E64&gt;0),D64,D63)</f>
        <v>0</v>
      </c>
      <c r="E70" s="56">
        <f>MAX(C70:D70)</f>
        <v>0.65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1532</v>
      </c>
      <c r="D6" s="34"/>
      <c r="E6" s="33">
        <f>'Data Entry'!E6</f>
        <v>55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5.2219321148825069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55</v>
      </c>
      <c r="P7" s="42">
        <f t="shared" ref="P7:P15" si="4">C7</f>
        <v>8</v>
      </c>
      <c r="Q7" s="42">
        <f>C6-C7</f>
        <v>1524</v>
      </c>
      <c r="R7" s="42">
        <f t="shared" ref="R7:R15" si="5">SUM(N7:Q7)</f>
        <v>1587</v>
      </c>
      <c r="S7" s="30">
        <f t="shared" ref="S7:S15" si="6">R7*((((N7*Q7)-(O7*P7))^2))</f>
        <v>307243200</v>
      </c>
      <c r="T7" s="30">
        <f t="shared" ref="T7:T15" si="7">(N7+O7)*(P7+Q7)*(N7+P7)*(O7+Q7)</f>
        <v>1064372320</v>
      </c>
      <c r="U7" s="31">
        <f t="shared" ref="U7:U15" si="8">IF((S7&gt;0),S7/T7,"- -")</f>
        <v>0.28866139623022141</v>
      </c>
    </row>
    <row r="8" spans="2:21" ht="18" customHeight="1">
      <c r="B8" s="32" t="str">
        <f>'Data Entry'!A8</f>
        <v>3. Refer to Juvenile Court</v>
      </c>
      <c r="C8" s="33">
        <f>'Data Entry'!C8</f>
        <v>79</v>
      </c>
      <c r="D8" s="34">
        <f>IF((AND(C67&gt;0,C8&gt;0)),(C8/C67),0)</f>
        <v>987.5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79</v>
      </c>
      <c r="Q8" s="42">
        <f>(C$67*L67)-C8</f>
        <v>-71</v>
      </c>
      <c r="R8" s="42">
        <f t="shared" si="5"/>
        <v>8.0499999999999972</v>
      </c>
      <c r="S8" s="30">
        <f t="shared" si="6"/>
        <v>125.60012499999996</v>
      </c>
      <c r="T8" s="30">
        <f t="shared" si="7"/>
        <v>-2242.02</v>
      </c>
      <c r="U8" s="31">
        <f t="shared" si="8"/>
        <v>-5.6020965468639869E-2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18.987341772151897</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64</v>
      </c>
      <c r="R11" s="42">
        <f t="shared" si="5"/>
        <v>79</v>
      </c>
      <c r="S11" s="30">
        <f t="shared" si="6"/>
        <v>0</v>
      </c>
      <c r="T11" s="30">
        <f t="shared" si="7"/>
        <v>0</v>
      </c>
      <c r="U11" s="31" t="str">
        <f t="shared" si="8"/>
        <v>- -</v>
      </c>
    </row>
    <row r="12" spans="2:21" ht="18" customHeight="1">
      <c r="B12" s="32" t="str">
        <f>'Data Entry'!A12</f>
        <v>7. Cases Resulting in Delinquent Findings</v>
      </c>
      <c r="C12" s="33">
        <f>'Data Entry'!C12</f>
        <v>65</v>
      </c>
      <c r="D12" s="34">
        <f>IF(((AND(C69&gt;0,C12&gt;0))),(C12/(C69)),0)</f>
        <v>433.33333333333337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65</v>
      </c>
      <c r="Q12" s="42">
        <f>(C69*L69)-C12</f>
        <v>-50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63</v>
      </c>
      <c r="D13" s="34">
        <f>IF(((AND(C70&gt;0,C13&gt;0))),(C13/(C70)),0)</f>
        <v>96.92307692307692</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63</v>
      </c>
      <c r="Q13" s="42">
        <f>(C70*L70)-C13</f>
        <v>2</v>
      </c>
      <c r="R13" s="42">
        <f t="shared" si="5"/>
        <v>65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23.076923076923077</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50</v>
      </c>
      <c r="R14" s="42">
        <f t="shared" si="5"/>
        <v>65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1.532</v>
      </c>
      <c r="D42" s="56">
        <f>E6/1000</f>
        <v>5.5E-2</v>
      </c>
      <c r="E42" s="56">
        <f>MAX(C42:D42)</f>
        <v>1.532</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0.79</v>
      </c>
      <c r="D44" s="56">
        <f>E8/100</f>
        <v>0</v>
      </c>
      <c r="E44" s="56">
        <f>MAX(C44:D44,0)</f>
        <v>0.79</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0.65</v>
      </c>
      <c r="D46" s="49">
        <f>E12/100</f>
        <v>0</v>
      </c>
      <c r="E46" s="56">
        <f>MAX(C46:D46)</f>
        <v>0.65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1.532</v>
      </c>
      <c r="D48" s="56">
        <f>D42</f>
        <v>5.5E-2</v>
      </c>
      <c r="E48" s="56">
        <f>MAX(C48:D48)</f>
        <v>1.532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0.65</v>
      </c>
      <c r="D52" s="49">
        <f>IF(($E46&gt;0),D46,D45)</f>
        <v>0</v>
      </c>
      <c r="E52" s="56">
        <f>MAX(C52:D52)</f>
        <v>0.65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1.532</v>
      </c>
      <c r="D54" s="56">
        <f>D48</f>
        <v>5.5E-2</v>
      </c>
      <c r="E54" s="56">
        <f>MAX(C54:D54)</f>
        <v>1.532</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0.65</v>
      </c>
      <c r="D58" s="49">
        <f>IF(($E52&gt;0),D52,D51)</f>
        <v>0</v>
      </c>
      <c r="E58" s="56">
        <f>MAX(C58:D58)</f>
        <v>0.65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1.532</v>
      </c>
      <c r="D60" s="56">
        <f>D54</f>
        <v>5.5E-2</v>
      </c>
      <c r="E60" s="56">
        <f>MAX(C60:D60)</f>
        <v>1.532</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0.65</v>
      </c>
      <c r="D64" s="49">
        <f>IF(($E58&gt;0),D58,D57)</f>
        <v>0</v>
      </c>
      <c r="E64" s="56">
        <f>MAX(C64:D64)</f>
        <v>0.65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1.532</v>
      </c>
      <c r="D66" s="56">
        <f>D60</f>
        <v>5.5E-2</v>
      </c>
      <c r="E66" s="56">
        <f>MAX(C66:D66)</f>
        <v>1.532</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0.65</v>
      </c>
      <c r="D70" s="49">
        <f>IF(($E64&gt;0),D64,D63)</f>
        <v>0</v>
      </c>
      <c r="E70" s="56">
        <f>MAX(C70:D70)</f>
        <v>0.65</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1532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5.2219321148825069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v>
      </c>
      <c r="Q7" s="42">
        <f>C6-C7</f>
        <v>1524</v>
      </c>
      <c r="R7" s="42">
        <f t="shared" ref="R7:R15" si="5">SUM(N7:Q7)</f>
        <v>1532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79</v>
      </c>
      <c r="D8" s="34">
        <f>IF((AND(C67&gt;0,C8&gt;0)),(C8/C67),0)</f>
        <v>987.5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79</v>
      </c>
      <c r="Q8" s="42">
        <f>(C$67*L67)-C8</f>
        <v>-71</v>
      </c>
      <c r="R8" s="42">
        <f t="shared" si="5"/>
        <v>8.0499999999999972</v>
      </c>
      <c r="S8" s="30">
        <f t="shared" si="6"/>
        <v>125.60012499999996</v>
      </c>
      <c r="T8" s="30">
        <f t="shared" si="7"/>
        <v>-2242.02</v>
      </c>
      <c r="U8" s="31">
        <f t="shared" si="8"/>
        <v>-5.6020965468639869E-2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18.987341772151897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64</v>
      </c>
      <c r="R11" s="42">
        <f t="shared" si="5"/>
        <v>79</v>
      </c>
      <c r="S11" s="30">
        <f t="shared" si="6"/>
        <v>0</v>
      </c>
      <c r="T11" s="30">
        <f t="shared" si="7"/>
        <v>0</v>
      </c>
      <c r="U11" s="31" t="str">
        <f t="shared" si="8"/>
        <v>- -</v>
      </c>
    </row>
    <row r="12" spans="2:21" ht="18" customHeight="1">
      <c r="B12" s="32" t="str">
        <f>'Data Entry'!A12</f>
        <v>7. Cases Resulting in Delinquent Findings</v>
      </c>
      <c r="C12" s="33">
        <f>'Data Entry'!C12</f>
        <v>65</v>
      </c>
      <c r="D12" s="34">
        <f>IF(((AND(C69&gt;0,C12&gt;0))),(C12/(C69)),0)</f>
        <v>433.33333333333337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65</v>
      </c>
      <c r="Q12" s="42">
        <f>(C69*L69)-C12</f>
        <v>-50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63</v>
      </c>
      <c r="D13" s="34">
        <f>IF(((AND(C70&gt;0,C13&gt;0))),(C13/(C70)),0)</f>
        <v>96.92307692307692</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63</v>
      </c>
      <c r="Q13" s="42">
        <f>(C70*L70)-C13</f>
        <v>2</v>
      </c>
      <c r="R13" s="42">
        <f t="shared" si="5"/>
        <v>65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23.076923076923077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50</v>
      </c>
      <c r="R14" s="42">
        <f t="shared" si="5"/>
        <v>65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1.532</v>
      </c>
      <c r="D42" s="56">
        <f>E6/1000</f>
        <v>0</v>
      </c>
      <c r="E42" s="56">
        <f>MAX(C42:D42)</f>
        <v>1.532</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0.79</v>
      </c>
      <c r="D44" s="56">
        <f>E8/100</f>
        <v>0</v>
      </c>
      <c r="E44" s="56">
        <f>MAX(C44:D44,0)</f>
        <v>0.79</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0.65</v>
      </c>
      <c r="D46" s="49">
        <f>E12/100</f>
        <v>0</v>
      </c>
      <c r="E46" s="56">
        <f>MAX(C46:D46)</f>
        <v>0.65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1.532</v>
      </c>
      <c r="D48" s="56">
        <f>D42</f>
        <v>0</v>
      </c>
      <c r="E48" s="56">
        <f>MAX(C48:D48)</f>
        <v>1.532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0.65</v>
      </c>
      <c r="D52" s="49">
        <f>IF(($E46&gt;0),D46,D45)</f>
        <v>0</v>
      </c>
      <c r="E52" s="56">
        <f>MAX(C52:D52)</f>
        <v>0.65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1.532</v>
      </c>
      <c r="D54" s="56">
        <f>D48</f>
        <v>0</v>
      </c>
      <c r="E54" s="56">
        <f>MAX(C54:D54)</f>
        <v>1.532</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0.65</v>
      </c>
      <c r="D58" s="49">
        <f>IF(($E52&gt;0),D52,D51)</f>
        <v>0</v>
      </c>
      <c r="E58" s="56">
        <f>MAX(C58:D58)</f>
        <v>0.65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1.532</v>
      </c>
      <c r="D60" s="56">
        <f>D54</f>
        <v>0</v>
      </c>
      <c r="E60" s="56">
        <f>MAX(C60:D60)</f>
        <v>1.532</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0.65</v>
      </c>
      <c r="D64" s="49">
        <f>IF(($E58&gt;0),D58,D57)</f>
        <v>0</v>
      </c>
      <c r="E64" s="56">
        <f>MAX(C64:D64)</f>
        <v>0.65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1.532</v>
      </c>
      <c r="D66" s="56">
        <f>D60</f>
        <v>0</v>
      </c>
      <c r="E66" s="56">
        <f>MAX(C66:D66)</f>
        <v>1.532</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0.65</v>
      </c>
      <c r="D70" s="49">
        <f>IF(($E64&gt;0),D64,D63)</f>
        <v>0</v>
      </c>
      <c r="E70" s="56">
        <f>MAX(C70:D70)</f>
        <v>0.65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Roscommon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1532</v>
      </c>
      <c r="D6" s="34"/>
      <c r="E6" s="33">
        <f>'Data Entry'!H6</f>
        <v>19</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8</v>
      </c>
      <c r="D7" s="34">
        <f>IF((AND(C66&gt;0,C7&gt;0)),(C7/C66),0)</f>
        <v>5.2219321148825069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v>
      </c>
      <c r="P7" s="42">
        <f t="shared" ref="P7:P15" si="4">C7</f>
        <v>8</v>
      </c>
      <c r="Q7" s="42">
        <f>C6-C7</f>
        <v>1524</v>
      </c>
      <c r="R7" s="42">
        <f t="shared" ref="R7:R15" si="5">SUM(N7:Q7)</f>
        <v>1551</v>
      </c>
      <c r="S7" s="30">
        <f t="shared" ref="S7:S15" si="6">R7*((((N7*Q7)-(O7*P7))^2))</f>
        <v>35834304</v>
      </c>
      <c r="T7" s="30">
        <f t="shared" ref="T7:T15" si="7">(N7+O7)*(P7+Q7)*(N7+P7)*(O7+Q7)</f>
        <v>359309152</v>
      </c>
      <c r="U7" s="31">
        <f t="shared" ref="U7:U15" si="8">IF((S7&gt;0),S7/T7,"- -")</f>
        <v>9.973111956803149E-2</v>
      </c>
    </row>
    <row r="8" spans="2:21" ht="18" customHeight="1">
      <c r="B8" s="32" t="str">
        <f>'Data Entry'!A8</f>
        <v>3. Refer to Juvenile Court</v>
      </c>
      <c r="C8" s="33">
        <f>'Data Entry'!C8</f>
        <v>79</v>
      </c>
      <c r="D8" s="34">
        <f>IF((AND(C67&gt;0,C8&gt;0)),(C8/C67),0)</f>
        <v>987.5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79</v>
      </c>
      <c r="Q8" s="42">
        <f>(C$67*L67)-C8</f>
        <v>-71</v>
      </c>
      <c r="R8" s="42">
        <f t="shared" si="5"/>
        <v>8.0499999999999972</v>
      </c>
      <c r="S8" s="30">
        <f t="shared" si="6"/>
        <v>125.60012499999996</v>
      </c>
      <c r="T8" s="30">
        <f t="shared" si="7"/>
        <v>-2242.02</v>
      </c>
      <c r="U8" s="31">
        <f t="shared" si="8"/>
        <v>-5.6020965468639869E-2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18.987341772151897</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64</v>
      </c>
      <c r="R11" s="42">
        <f t="shared" si="5"/>
        <v>79</v>
      </c>
      <c r="S11" s="30">
        <f t="shared" si="6"/>
        <v>0</v>
      </c>
      <c r="T11" s="30">
        <f t="shared" si="7"/>
        <v>0</v>
      </c>
      <c r="U11" s="31" t="str">
        <f t="shared" si="8"/>
        <v>- -</v>
      </c>
    </row>
    <row r="12" spans="2:21" ht="18" customHeight="1">
      <c r="B12" s="32" t="str">
        <f>'Data Entry'!A12</f>
        <v>7. Cases Resulting in Delinquent Findings</v>
      </c>
      <c r="C12" s="33">
        <f>'Data Entry'!C12</f>
        <v>65</v>
      </c>
      <c r="D12" s="34">
        <f>IF(((AND(C69&gt;0,C12&gt;0))),(C12/(C69)),0)</f>
        <v>433.33333333333337</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65</v>
      </c>
      <c r="Q12" s="42">
        <f>(C69*L69)-C12</f>
        <v>-50</v>
      </c>
      <c r="R12" s="42">
        <f t="shared" si="5"/>
        <v>15</v>
      </c>
      <c r="S12" s="30">
        <f t="shared" si="6"/>
        <v>0</v>
      </c>
      <c r="T12" s="30">
        <f t="shared" si="7"/>
        <v>0</v>
      </c>
      <c r="U12" s="31" t="str">
        <f t="shared" si="8"/>
        <v>- -</v>
      </c>
    </row>
    <row r="13" spans="2:21" ht="18" customHeight="1">
      <c r="B13" s="32" t="str">
        <f>'Data Entry'!A13</f>
        <v>8. Cases Resulting in Probation Placement</v>
      </c>
      <c r="C13" s="33">
        <f>'Data Entry'!C13</f>
        <v>63</v>
      </c>
      <c r="D13" s="34">
        <f>IF(((AND(C70&gt;0,C13&gt;0))),(C13/(C70)),0)</f>
        <v>96.92307692307692</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63</v>
      </c>
      <c r="Q13" s="42">
        <f>(C70*L70)-C13</f>
        <v>2</v>
      </c>
      <c r="R13" s="42">
        <f t="shared" si="5"/>
        <v>65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23.076923076923077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50</v>
      </c>
      <c r="R14" s="42">
        <f t="shared" si="5"/>
        <v>65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1.532</v>
      </c>
      <c r="D42" s="56">
        <f>E6/1000</f>
        <v>1.9E-2</v>
      </c>
      <c r="E42" s="56">
        <f>MAX(C42:D42)</f>
        <v>1.532</v>
      </c>
      <c r="G42" s="1" t="str">
        <f>B42</f>
        <v>per 1000 youth</v>
      </c>
      <c r="L42" s="57">
        <v>1000</v>
      </c>
      <c r="M42" s="57"/>
      <c r="R42" s="49"/>
    </row>
    <row r="43" spans="2:18" ht="15" hidden="1" customHeight="1">
      <c r="B43" s="49" t="s">
        <v>87</v>
      </c>
      <c r="C43" s="56">
        <f>C7/100</f>
        <v>0.08</v>
      </c>
      <c r="D43" s="56">
        <f>E7/100</f>
        <v>0</v>
      </c>
      <c r="E43" s="56">
        <f>MAX(C43:D43,0)</f>
        <v>0.08</v>
      </c>
      <c r="G43" s="1" t="str">
        <f>B43</f>
        <v>per 100 arrests</v>
      </c>
      <c r="L43" s="57">
        <v>100</v>
      </c>
      <c r="M43" s="57"/>
      <c r="R43" s="49"/>
    </row>
    <row r="44" spans="2:18" ht="15" hidden="1" customHeight="1">
      <c r="B44" s="49" t="s">
        <v>88</v>
      </c>
      <c r="C44" s="56">
        <f>C8/100</f>
        <v>0.79</v>
      </c>
      <c r="D44" s="56">
        <f>E8/100</f>
        <v>0</v>
      </c>
      <c r="E44" s="56">
        <f>MAX(C44:D44,0)</f>
        <v>0.79</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0.65</v>
      </c>
      <c r="D46" s="49">
        <f>E12/100</f>
        <v>0</v>
      </c>
      <c r="E46" s="56">
        <f>MAX(C46:D46)</f>
        <v>0.65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1.532</v>
      </c>
      <c r="D48" s="56">
        <f>D42</f>
        <v>1.9E-2</v>
      </c>
      <c r="E48" s="56">
        <f>MAX(C48:D48)</f>
        <v>1.532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0.08</v>
      </c>
      <c r="D49" s="49">
        <f t="shared" si="9"/>
        <v>0</v>
      </c>
      <c r="E49" s="49">
        <f>MAX(C49:D49)</f>
        <v>0.08</v>
      </c>
      <c r="G49" s="1" t="str">
        <f>G43</f>
        <v>per 100 arrests</v>
      </c>
      <c r="L49" s="58">
        <f>IF(($E43&gt;0),L43,L42)</f>
        <v>100</v>
      </c>
      <c r="M49" s="58"/>
      <c r="N49" s="21"/>
      <c r="O49" s="21"/>
      <c r="P49" s="21"/>
      <c r="Q49" s="21"/>
      <c r="R49" s="21"/>
    </row>
    <row r="50" spans="2:18" ht="15" hidden="1" customHeight="1">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0.65</v>
      </c>
      <c r="D52" s="49">
        <f>IF(($E46&gt;0),D46,D45)</f>
        <v>0</v>
      </c>
      <c r="E52" s="56">
        <f>MAX(C52:D52)</f>
        <v>0.65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1.532</v>
      </c>
      <c r="D54" s="56">
        <f>D48</f>
        <v>1.9E-2</v>
      </c>
      <c r="E54" s="56">
        <f>MAX(C54:D54)</f>
        <v>1.532</v>
      </c>
      <c r="G54" s="1" t="str">
        <f>G48</f>
        <v>per 1000 youth</v>
      </c>
      <c r="L54" s="58">
        <f>L48</f>
        <v>1000</v>
      </c>
      <c r="M54" s="58"/>
    </row>
    <row r="55" spans="2:18" ht="15" hidden="1" customHeight="1">
      <c r="B55" s="49" t="str">
        <f t="shared" ref="B55:D56" si="10">IF(($E49&gt;0),B49,B48)</f>
        <v>per 100 arrests</v>
      </c>
      <c r="C55" s="49">
        <f t="shared" si="10"/>
        <v>0.08</v>
      </c>
      <c r="D55" s="49">
        <f t="shared" si="10"/>
        <v>0</v>
      </c>
      <c r="E55" s="49">
        <f>MAX(C55:D55)</f>
        <v>0.08</v>
      </c>
      <c r="G55" s="1" t="str">
        <f>G49</f>
        <v>per 100 arrests</v>
      </c>
      <c r="L55" s="58">
        <f>IF(($E49&gt;0),L49,L48)</f>
        <v>100</v>
      </c>
      <c r="M55" s="58"/>
    </row>
    <row r="56" spans="2:18" ht="15" hidden="1" customHeight="1">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0.65</v>
      </c>
      <c r="D58" s="49">
        <f>IF(($E52&gt;0),D52,D51)</f>
        <v>0</v>
      </c>
      <c r="E58" s="56">
        <f>MAX(C58:D58)</f>
        <v>0.65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1.532</v>
      </c>
      <c r="D60" s="56">
        <f>D54</f>
        <v>1.9E-2</v>
      </c>
      <c r="E60" s="56">
        <f>MAX(C60:D60)</f>
        <v>1.532</v>
      </c>
      <c r="G60" s="1" t="str">
        <f>G54</f>
        <v>per 1000 youth</v>
      </c>
      <c r="L60" s="58">
        <f>L54</f>
        <v>1000</v>
      </c>
      <c r="M60" s="58"/>
    </row>
    <row r="61" spans="2:18" ht="15" hidden="1" customHeight="1">
      <c r="B61" s="49" t="str">
        <f t="shared" ref="B61:D62" si="11">IF(($E55&gt;0),B55,B54)</f>
        <v>per 100 arrests</v>
      </c>
      <c r="C61" s="49">
        <f t="shared" si="11"/>
        <v>0.08</v>
      </c>
      <c r="D61" s="49">
        <f t="shared" si="11"/>
        <v>0</v>
      </c>
      <c r="E61" s="49">
        <f>MAX(C61:D61)</f>
        <v>0.08</v>
      </c>
      <c r="G61" s="1" t="str">
        <f>G55</f>
        <v>per 100 arrests</v>
      </c>
      <c r="L61" s="58">
        <f>IF(($E55&gt;0),L55,L54)</f>
        <v>100</v>
      </c>
      <c r="M61" s="58"/>
    </row>
    <row r="62" spans="2:18" ht="15" hidden="1" customHeight="1">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0.65</v>
      </c>
      <c r="D64" s="49">
        <f>IF(($E58&gt;0),D58,D57)</f>
        <v>0</v>
      </c>
      <c r="E64" s="56">
        <f>MAX(C64:D64)</f>
        <v>0.65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1.532</v>
      </c>
      <c r="D66" s="56">
        <f>D60</f>
        <v>1.9E-2</v>
      </c>
      <c r="E66" s="56">
        <f>MAX(C66:D66)</f>
        <v>1.532</v>
      </c>
      <c r="G66" s="1" t="str">
        <f>G60</f>
        <v>per 1000 youth</v>
      </c>
      <c r="L66" s="58">
        <f>L60</f>
        <v>1000</v>
      </c>
      <c r="M66" s="58">
        <f>IF((B66=G66),1,2)</f>
        <v>1</v>
      </c>
    </row>
    <row r="67" spans="2:13" ht="15" hidden="1" customHeight="1">
      <c r="B67" s="49" t="str">
        <f t="shared" ref="B67:D68" si="12">IF(($E61&gt;0),B61,B60)</f>
        <v>per 100 arrests</v>
      </c>
      <c r="C67" s="49">
        <f t="shared" si="12"/>
        <v>0.08</v>
      </c>
      <c r="D67" s="49">
        <f t="shared" si="12"/>
        <v>0</v>
      </c>
      <c r="E67" s="49">
        <f>MAX(C67:D67)</f>
        <v>0.08</v>
      </c>
      <c r="G67" s="1" t="str">
        <f>G61</f>
        <v>per 100 arrests</v>
      </c>
      <c r="L67" s="58">
        <f>IF(($E61&gt;0),L61,L60)</f>
        <v>100</v>
      </c>
      <c r="M67" s="58">
        <f>IF((B67=G67),1,2)</f>
        <v>1</v>
      </c>
    </row>
    <row r="68" spans="2:13" ht="15" hidden="1" customHeight="1">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0.65</v>
      </c>
      <c r="D70" s="49">
        <f>IF(($E64&gt;0),D64,D63)</f>
        <v>0</v>
      </c>
      <c r="E70" s="56">
        <f>MAX(C70:D70)</f>
        <v>0.65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U47JMPN4QEAR-1806752177-30501</_dlc_DocId>
    <_dlc_DocIdUrl xmlns="ac3811b5-0f3e-49e2-ba69-f2ffa0c782af">
      <Url>https://michiganphi.sharepoint.com/sites/CMDMC/_layouts/15/DocIdRedir.aspx?ID=U47JMPN4QEAR-1806752177-30501</Url>
      <Description>U47JMPN4QEAR-1806752177-30501</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4E8DADB-AE9C-43C7-9342-755BF5F41C39}">
  <ds:schemaRefs>
    <ds:schemaRef ds:uri="http://schemas.microsoft.com/sharepoint/v3/contenttype/forms"/>
  </ds:schemaRefs>
</ds:datastoreItem>
</file>

<file path=customXml/itemProps2.xml><?xml version="1.0" encoding="utf-8"?>
<ds:datastoreItem xmlns:ds="http://schemas.openxmlformats.org/officeDocument/2006/customXml" ds:itemID="{99F5A5C9-9AB4-4BFA-A100-F9E4908DD1DE}"/>
</file>

<file path=customXml/itemProps3.xml><?xml version="1.0" encoding="utf-8"?>
<ds:datastoreItem xmlns:ds="http://schemas.openxmlformats.org/officeDocument/2006/customXml" ds:itemID="{31EFF555-ABC4-4729-8123-E4CF82D3EEF6}">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76C971F7-3DE8-423F-82CA-E0D758CEF9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2fde0245-1b4a-4655-a86f-03aacb2fcb16</vt:lpwstr>
  </property>
</Properties>
</file>