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E6102904-874C-4719-8946-5226CABE55EF}"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L48" i="7"/>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D49" i="6" s="1"/>
  <c r="E44" i="6"/>
  <c r="L50"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B49" i="6"/>
  <c r="D23" i="10"/>
  <c r="C48" i="7"/>
  <c r="E42" i="7"/>
  <c r="C54" i="8"/>
  <c r="E48" i="8"/>
  <c r="H26" i="10"/>
  <c r="D26" i="10"/>
  <c r="I26" i="10"/>
  <c r="C26" i="10"/>
  <c r="E20" i="10"/>
  <c r="C20" i="10"/>
  <c r="G20" i="10"/>
  <c r="H20" i="10"/>
  <c r="D20" i="10"/>
  <c r="G23" i="10"/>
  <c r="G19" i="10"/>
  <c r="E44" i="7"/>
  <c r="H23" i="10"/>
  <c r="E22" i="10"/>
  <c r="E25" i="10"/>
  <c r="F20" i="10"/>
  <c r="D50" i="6" l="1"/>
  <c r="E50" i="6"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D64" i="5"/>
  <c r="L64" i="3"/>
  <c r="B56" i="8"/>
  <c r="L56" i="8"/>
  <c r="E58"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L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3" i="6" s="1"/>
  <c r="L69" i="7"/>
  <c r="C63" i="8"/>
  <c r="C69" i="7"/>
  <c r="D12" i="7" s="1"/>
  <c r="D63" i="8"/>
  <c r="L63" i="8"/>
  <c r="L70" i="8" s="1"/>
  <c r="E63" i="3"/>
  <c r="C69" i="3" s="1"/>
  <c r="D12" i="3" s="1"/>
  <c r="B70" i="3"/>
  <c r="M70"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6" l="1"/>
  <c r="D15" i="7"/>
  <c r="O14" i="6"/>
  <c r="E63" i="8"/>
  <c r="D69" i="8" s="1"/>
  <c r="F15" i="8" s="1"/>
  <c r="Q15" i="7"/>
  <c r="D15" i="3"/>
  <c r="B69" i="3"/>
  <c r="M69" i="3" s="1"/>
  <c r="O13" i="6"/>
  <c r="Q12" i="7"/>
  <c r="L69" i="3"/>
  <c r="Q12" i="3" s="1"/>
  <c r="C70" i="8"/>
  <c r="Q13" i="8" s="1"/>
  <c r="F33" i="3"/>
  <c r="D69" i="3"/>
  <c r="E69" i="3" s="1"/>
  <c r="B69" i="6"/>
  <c r="M69" i="6" s="1"/>
  <c r="E70" i="3"/>
  <c r="D13" i="6"/>
  <c r="D13" i="3"/>
  <c r="F14" i="3"/>
  <c r="O13" i="3"/>
  <c r="E69" i="7"/>
  <c r="C69" i="6"/>
  <c r="D12" i="6" s="1"/>
  <c r="Q14" i="3"/>
  <c r="F12" i="7"/>
  <c r="O12" i="7"/>
  <c r="D14" i="6"/>
  <c r="O15" i="7"/>
  <c r="Q13" i="3"/>
  <c r="Q13" i="6"/>
  <c r="Q14" i="6"/>
  <c r="K14"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R14" i="5"/>
  <c r="S14" i="5" s="1"/>
  <c r="U14" i="5" s="1"/>
  <c r="J14" i="5" s="1"/>
  <c r="M14" i="5" s="1"/>
  <c r="F33" i="8"/>
  <c r="C70" i="2"/>
  <c r="D14" i="2" s="1"/>
  <c r="T14" i="5"/>
  <c r="K14" i="5"/>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5" i="3" l="1"/>
  <c r="B69" i="8"/>
  <c r="M69" i="8" s="1"/>
  <c r="R14" i="3"/>
  <c r="S14" i="3" s="1"/>
  <c r="U14" i="3" s="1"/>
  <c r="J14" i="3" s="1"/>
  <c r="M14" i="3" s="1"/>
  <c r="G14" i="3" s="1"/>
  <c r="I15" i="16" s="1"/>
  <c r="O15" i="3"/>
  <c r="F12" i="8"/>
  <c r="Q14" i="8"/>
  <c r="K14" i="8" s="1"/>
  <c r="C69" i="8"/>
  <c r="D14" i="8"/>
  <c r="R13" i="8"/>
  <c r="S13" i="8" s="1"/>
  <c r="L69" i="8"/>
  <c r="O15" i="8" s="1"/>
  <c r="K12" i="7"/>
  <c r="F35" i="6"/>
  <c r="K13" i="3"/>
  <c r="F12" i="3"/>
  <c r="T13" i="6"/>
  <c r="D13" i="8"/>
  <c r="F35" i="3"/>
  <c r="F15" i="3"/>
  <c r="T12" i="7"/>
  <c r="E70" i="8"/>
  <c r="F32" i="3"/>
  <c r="T15" i="7"/>
  <c r="F32" i="6"/>
  <c r="R14" i="6"/>
  <c r="S14" i="6" s="1"/>
  <c r="U14" i="6" s="1"/>
  <c r="J14" i="6" s="1"/>
  <c r="M14" i="6" s="1"/>
  <c r="G14" i="6" s="1"/>
  <c r="M15" i="13" s="1"/>
  <c r="D15" i="6"/>
  <c r="T14" i="6"/>
  <c r="K13" i="6"/>
  <c r="O12" i="6"/>
  <c r="R13" i="6"/>
  <c r="S13" i="6" s="1"/>
  <c r="U13" i="6" s="1"/>
  <c r="J13" i="6" s="1"/>
  <c r="M13" i="6" s="1"/>
  <c r="G13" i="6" s="1"/>
  <c r="G13" i="9" s="1"/>
  <c r="R12" i="7"/>
  <c r="S12" i="7" s="1"/>
  <c r="U12" i="7" s="1"/>
  <c r="J12" i="7" s="1"/>
  <c r="M12" i="7" s="1"/>
  <c r="R15" i="7"/>
  <c r="S15" i="7" s="1"/>
  <c r="U15" i="7" s="1"/>
  <c r="J15" i="7" s="1"/>
  <c r="M15" i="7" s="1"/>
  <c r="T13" i="8"/>
  <c r="U13" i="8" s="1"/>
  <c r="J13" i="8" s="1"/>
  <c r="M13" i="8" s="1"/>
  <c r="G13" i="8" s="1"/>
  <c r="K14" i="16" s="1"/>
  <c r="E69" i="6"/>
  <c r="T13" i="3"/>
  <c r="K14" i="3"/>
  <c r="L14" i="3" s="1"/>
  <c r="P15" i="16" s="1"/>
  <c r="T14" i="3"/>
  <c r="K15" i="7"/>
  <c r="R13" i="3"/>
  <c r="S13" i="3" s="1"/>
  <c r="U13" i="3" s="1"/>
  <c r="J13" i="3" s="1"/>
  <c r="M13" i="3" s="1"/>
  <c r="G13" i="3" s="1"/>
  <c r="O15" i="6"/>
  <c r="Q12" i="6"/>
  <c r="Q15" i="6"/>
  <c r="F15" i="6"/>
  <c r="L13" i="4"/>
  <c r="O14" i="16" s="1"/>
  <c r="L11" i="4"/>
  <c r="O12" i="16" s="1"/>
  <c r="K8" i="7"/>
  <c r="O13" i="2"/>
  <c r="O12" i="8"/>
  <c r="T8" i="7"/>
  <c r="U8" i="7" s="1"/>
  <c r="J8" i="7" s="1"/>
  <c r="M8" i="7" s="1"/>
  <c r="T13" i="7"/>
  <c r="F32" i="8"/>
  <c r="Q10" i="7"/>
  <c r="F13" i="2"/>
  <c r="Q11" i="7"/>
  <c r="R8" i="6"/>
  <c r="S8" i="6" s="1"/>
  <c r="F14" i="2"/>
  <c r="F10" i="7"/>
  <c r="L10" i="3"/>
  <c r="P11" i="16" s="1"/>
  <c r="F30" i="7"/>
  <c r="D12" i="8"/>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I15" i="13" l="1"/>
  <c r="T14" i="8"/>
  <c r="F35" i="8"/>
  <c r="R14" i="8"/>
  <c r="S14" i="8" s="1"/>
  <c r="U14" i="8" s="1"/>
  <c r="J14" i="8" s="1"/>
  <c r="Q12" i="8"/>
  <c r="D15" i="8"/>
  <c r="Q15" i="8"/>
  <c r="R15" i="8" s="1"/>
  <c r="S15" i="8" s="1"/>
  <c r="U15" i="8" s="1"/>
  <c r="J15" i="8" s="1"/>
  <c r="E69" i="8"/>
  <c r="M14" i="13"/>
  <c r="L13" i="8"/>
  <c r="T14" i="16" s="1"/>
  <c r="I13" i="9"/>
  <c r="K15" i="6"/>
  <c r="L13" i="6"/>
  <c r="R14" i="16" s="1"/>
  <c r="L12" i="7"/>
  <c r="S13" i="16" s="1"/>
  <c r="Q14" i="13"/>
  <c r="T12" i="6"/>
  <c r="L13" i="3"/>
  <c r="P14" i="16" s="1"/>
  <c r="K12" i="6"/>
  <c r="R12" i="6"/>
  <c r="S12" i="6" s="1"/>
  <c r="U12" i="6" s="1"/>
  <c r="J12" i="6" s="1"/>
  <c r="M12" i="6" s="1"/>
  <c r="G12" i="6" s="1"/>
  <c r="L15" i="7"/>
  <c r="S16" i="16" s="1"/>
  <c r="R15" i="6"/>
  <c r="S15" i="6" s="1"/>
  <c r="U15" i="6" s="1"/>
  <c r="J15" i="6" s="1"/>
  <c r="M15" i="6" s="1"/>
  <c r="G15" i="6" s="1"/>
  <c r="T15"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N30" i="8" l="1"/>
  <c r="L14" i="8"/>
  <c r="T15" i="16" s="1"/>
  <c r="M14" i="8"/>
  <c r="G14" i="8" s="1"/>
  <c r="K15" i="16" s="1"/>
  <c r="P13" i="9"/>
  <c r="L15" i="6"/>
  <c r="R16" i="16" s="1"/>
  <c r="Y13" i="13"/>
  <c r="X14" i="13"/>
  <c r="R13" i="9"/>
  <c r="Z14" i="13"/>
  <c r="V14" i="13"/>
  <c r="Q12" i="9"/>
  <c r="Y16" i="13"/>
  <c r="Q15" i="9"/>
  <c r="N13" i="9"/>
  <c r="L12" i="6"/>
  <c r="R13" i="16" s="1"/>
  <c r="L8" i="6"/>
  <c r="R9" i="16" s="1"/>
  <c r="L10" i="7"/>
  <c r="S11" i="16" s="1"/>
  <c r="R14" i="9"/>
  <c r="L15" i="5"/>
  <c r="Q16" i="16" s="1"/>
  <c r="T9" i="13"/>
  <c r="L8" i="9"/>
  <c r="X15" i="13"/>
  <c r="P14" i="9"/>
  <c r="G8" i="9"/>
  <c r="Z15" i="13"/>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Q15" i="13" l="1"/>
  <c r="I14" i="9"/>
  <c r="X16" i="13"/>
  <c r="P15"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<sst xmlns="http://schemas.openxmlformats.org/spreadsheetml/2006/main" count="654" uniqueCount="141">
  <si>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</si>
  <si>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</si>
  <si>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</si>
  <si>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</si>
  <si>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</si>
  <si>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</si>
  <si>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</si>
  <si>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</si>
  <si>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</si>
  <si>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</si>
  <si>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</si>
  <si>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</si>
  <si>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</si>
  <si>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</si>
  <si>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</si>
  <si>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</si>
  <si>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</si>
  <si>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</si>
  <si>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</si>
  <si>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</si>
  <si>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</si>
  <si>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</si>
  <si>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</si>
  <si>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</si>
  <si>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</si>
  <si>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</si>
  <si>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</si>
  <si>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</si>
  <si>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</si>
  <si>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</si>
  <si>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</si>
  <si>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</si>
  <si>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</si>
  <si>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</si>
  <si>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</si>
  <si>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</si>
  <si>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</si>
  <si>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</si>
  <si>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</si>
  <si>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</si>
  <si>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</si>
  <si>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</si>
  <si>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</si>
  <si>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</si>
  <si>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</si>
  <si>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</si>
  <si>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</si>
  <si>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</si>
  <si>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</si>
  <si>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</si>
  <si>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</si>
  <si>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</si>
  <si>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</si>
  <si>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</si>
  <si>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</si>
  <si>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</si>
  <si>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</si>
  <si>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</si>
  <si>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</si>
  <si>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</si>
  <si>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</si>
  <si>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</si>
  <si>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</si>
  <si>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</si>
  <si>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</si>
  <si>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</si>
  <si>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</si>
  <si>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</si>
  <si>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</si>
  <si>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</si>
  <si>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</si>
  <si>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</si>
  <si>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</si>
  <si>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</si>
  <si>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</si>
  <si>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</si>
  <si>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</si>
  <si>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</si>
  <si>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</si>
  <si>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</si>
  <si>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</si>
  <si>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</si>
  <si>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</si>
  <si>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</si>
  <si>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</si>
  <si>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</si>
  <si>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</si>
  <si>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</si>
  <si>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</si>
  <si>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</si>
  <si>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</si>
  <si>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</si>
  <si>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</si>
  <si>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</si>
  <si>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</si>
  <si>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</si>
  <si>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</si>
  <si>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</si>
  <si>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</si>
  <si>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</si>
  <si>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</si>
  <si>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</si>
  <si>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</si>
  <si>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</si>
  <si>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</si>
  <si>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</si>
  <si>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</si>
  <si>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</si>
  <si>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</si>
  <si>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</si>
  <si>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</si>
  <si>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</si>
  <si>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</si>
  <si>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</si>
  <si>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</si>
  <si>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</si>
  <si>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</si>
  <si>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</si>
  <si>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</si>
  <si>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</si>
  <si>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</si>
  <si>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</si>
  <si>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</si>
  <si>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</si>
  <si>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</si>
  <si>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</si>
  <si>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</si>
  <si>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</si>
  <si>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</si>
  <si>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</si>
  <si>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</si>
  <si>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</si>
  <si>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</si>
  <si>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</si>
  <si>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</si>
  <si>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</si>
  <si>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</si>
  <si>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Roscommon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</si>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</sst>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Roscommon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N=46</c:v>
                </c:pt>
                <c:pt idx="3">
                  <c:v>Petitions, total N=16</c:v>
                </c:pt>
                <c:pt idx="4">
                  <c:v>Detentions, total N=1</c:v>
                </c:pt>
                <c:pt idx="5">
                  <c:v>Referrals, total N=66</c:v>
                </c:pt>
                <c:pt idx="6">
                  <c:v>Arrests, total N=6</c:v>
                </c:pt>
                <c:pt idx="7">
                  <c:v>Population, total N=1476</c:v>
                </c:pt>
              </c:strCache>
            </c:strRef>
          </c:cat>
          <c:val>
            <c:numRef>
              <c:f>'Stacked 100%'!$B$7:$B$14</c:f>
              <c:numCache>
                <c:formatCode>0%</c:formatCode>
                <c:ptCount val="8"/>
                <c:pt idx="0">
                  <c:v>0</c:v>
                </c:pt>
                <c:pt idx="1">
                  <c:v>0</c:v>
                </c:pt>
                <c:pt idx="2">
                  <c:v>0</c:v>
                </c:pt>
                <c:pt idx="3">
                  <c:v>0</c:v>
                </c:pt>
                <c:pt idx="4">
                  <c:v>0</c:v>
                </c:pt>
                <c:pt idx="5">
                  <c:v>0</c:v>
                </c:pt>
                <c:pt idx="6">
                  <c:v>0</c:v>
                </c:pt>
                <c:pt idx="7">
                  <c:v>1.5582655826558265E-2</c:v>
                </c:pt>
              </c:numCache>
            </c:numRef>
          </c:val>
          <c:extLst>
            <c:ext xmlns:c16="http://schemas.microsoft.com/office/drawing/2014/chart" uri="{C3380CC4-5D6E-409C-BE32-E72D297353CC}">
              <c16:uniqueId val="{00000000-213F-4E05-B23C-7F4E0636A02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N=46</c:v>
                </c:pt>
                <c:pt idx="3">
                  <c:v>Petitions, total N=16</c:v>
                </c:pt>
                <c:pt idx="4">
                  <c:v>Detentions, total N=1</c:v>
                </c:pt>
                <c:pt idx="5">
                  <c:v>Referrals, total N=66</c:v>
                </c:pt>
                <c:pt idx="6">
                  <c:v>Arrests, total N=6</c:v>
                </c:pt>
                <c:pt idx="7">
                  <c:v>Population, total N=1476</c:v>
                </c:pt>
              </c:strCache>
            </c:strRef>
          </c:cat>
          <c:val>
            <c:numRef>
              <c:f>'Stacked 100%'!$C$7:$C$14</c:f>
              <c:numCache>
                <c:formatCode>0%</c:formatCode>
                <c:ptCount val="8"/>
                <c:pt idx="0">
                  <c:v>0</c:v>
                </c:pt>
                <c:pt idx="1">
                  <c:v>0</c:v>
                </c:pt>
                <c:pt idx="2">
                  <c:v>0</c:v>
                </c:pt>
                <c:pt idx="3">
                  <c:v>0</c:v>
                </c:pt>
                <c:pt idx="4">
                  <c:v>0</c:v>
                </c:pt>
                <c:pt idx="5">
                  <c:v>0</c:v>
                </c:pt>
                <c:pt idx="6">
                  <c:v>0</c:v>
                </c:pt>
                <c:pt idx="7">
                  <c:v>3.3197831978319783E-2</c:v>
                </c:pt>
              </c:numCache>
            </c:numRef>
          </c:val>
          <c:extLst>
            <c:ext xmlns:c16="http://schemas.microsoft.com/office/drawing/2014/chart" uri="{C3380CC4-5D6E-409C-BE32-E72D297353CC}">
              <c16:uniqueId val="{00000001-213F-4E05-B23C-7F4E0636A02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N=15</c:v>
                </c:pt>
                <c:pt idx="2">
                  <c:v>Delinquent Findings, total N=46</c:v>
                </c:pt>
                <c:pt idx="3">
                  <c:v>Petitions, total N=16</c:v>
                </c:pt>
                <c:pt idx="4">
                  <c:v>Detentions, total N=1</c:v>
                </c:pt>
                <c:pt idx="5">
                  <c:v>Referrals, total N=66</c:v>
                </c:pt>
                <c:pt idx="6">
                  <c:v>Arrests, total N=6</c:v>
                </c:pt>
                <c:pt idx="7">
                  <c:v>Population, total N=1476</c:v>
                </c:pt>
              </c:strCache>
            </c:strRef>
          </c:cat>
          <c:val>
            <c:numRef>
              <c:f>'Stacked 100%'!$H$7:$H$14</c:f>
              <c:numCache>
                <c:formatCode>0%</c:formatCode>
                <c:ptCount val="8"/>
                <c:pt idx="0">
                  <c:v>0</c:v>
                </c:pt>
                <c:pt idx="1">
                  <c:v>0</c:v>
                </c:pt>
                <c:pt idx="2">
                  <c:v>0</c:v>
                </c:pt>
                <c:pt idx="3">
                  <c:v>0</c:v>
                </c:pt>
                <c:pt idx="4">
                  <c:v>0</c:v>
                </c:pt>
                <c:pt idx="5">
                  <c:v>0</c:v>
                </c:pt>
                <c:pt idx="6">
                  <c:v>0</c:v>
                </c:pt>
                <c:pt idx="7">
                  <c:v>2.2032740652609774E-5</c:v>
                </c:pt>
              </c:numCache>
            </c:numRef>
          </c:val>
          <c:extLst>
            <c:ext xmlns:c16="http://schemas.microsoft.com/office/drawing/2014/chart" uri="{C3380CC4-5D6E-409C-BE32-E72D297353CC}">
              <c16:uniqueId val="{00000002-213F-4E05-B23C-7F4E0636A02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N=15</c:v>
                </c:pt>
                <c:pt idx="2">
                  <c:v>Delinquent Findings, total N=46</c:v>
                </c:pt>
                <c:pt idx="3">
                  <c:v>Petitions, total N=16</c:v>
                </c:pt>
                <c:pt idx="4">
                  <c:v>Detentions, total N=1</c:v>
                </c:pt>
                <c:pt idx="5">
                  <c:v>Referrals, total N=66</c:v>
                </c:pt>
                <c:pt idx="6">
                  <c:v>Arrests, total N=6</c:v>
                </c:pt>
                <c:pt idx="7">
                  <c:v>Population, total N=1476</c:v>
                </c:pt>
              </c:strCache>
            </c:strRef>
          </c:cat>
          <c:val>
            <c:numRef>
              <c:f>'Stacked 100%'!$I$7:$I$14</c:f>
              <c:numCache>
                <c:formatCode>0%</c:formatCode>
                <c:ptCount val="8"/>
                <c:pt idx="0">
                  <c:v>0</c:v>
                </c:pt>
                <c:pt idx="1">
                  <c:v>1</c:v>
                </c:pt>
                <c:pt idx="2">
                  <c:v>0.97826086956521741</c:v>
                </c:pt>
                <c:pt idx="3">
                  <c:v>1</c:v>
                </c:pt>
                <c:pt idx="4">
                  <c:v>1</c:v>
                </c:pt>
                <c:pt idx="5">
                  <c:v>0.96969696969696972</c:v>
                </c:pt>
                <c:pt idx="6">
                  <c:v>1</c:v>
                </c:pt>
                <c:pt idx="7">
                  <c:v>0.91869918699186992</c:v>
                </c:pt>
              </c:numCache>
            </c:numRef>
          </c:val>
          <c:extLst>
            <c:ext xmlns:c16="http://schemas.microsoft.com/office/drawing/2014/chart" uri="{C3380CC4-5D6E-409C-BE32-E72D297353CC}">
              <c16:uniqueId val="{00000003-213F-4E05-B23C-7F4E0636A02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N=15</c:v>
                </c:pt>
                <c:pt idx="2">
                  <c:v>Delinquent Findings, total N=46</c:v>
                </c:pt>
                <c:pt idx="3">
                  <c:v>Petitions, total N=16</c:v>
                </c:pt>
                <c:pt idx="4">
                  <c:v>Detentions, total N=1</c:v>
                </c:pt>
                <c:pt idx="5">
                  <c:v>Referrals, total N=66</c:v>
                </c:pt>
                <c:pt idx="6">
                  <c:v>Arrests, total N=6</c:v>
                </c:pt>
                <c:pt idx="7">
                  <c:v>Population, total N=1476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13F-4E05-B23C-7F4E0636A02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1476</v>
      </c>
      <c r="C6" s="11">
        <v>1356</v>
      </c>
      <c r="D6" s="11">
        <v>23</v>
      </c>
      <c r="E6" s="11">
        <v>49</v>
      </c>
      <c r="F6" s="11">
        <v>29</v>
      </c>
      <c r="G6" s="11"/>
      <c r="H6" s="11">
        <v>19</v>
      </c>
      <c r="I6" s="11"/>
      <c r="J6" s="91">
        <f>SUM(D6:I6)</f>
        <v>120</v>
      </c>
      <c r="K6" s="92"/>
    </row>
    <row r="7" spans="1:11" ht="15.75" customHeight="1" thickBot="1" x14ac:dyDescent="0.25">
      <c r="A7" s="10" t="s">
        <v>8</v>
      </c>
      <c r="B7" s="11">
        <f t="shared" ref="B7:B15" si="0">SUM(C7:I7)+K7</f>
        <v>6</v>
      </c>
      <c r="C7" s="11">
        <v>6</v>
      </c>
      <c r="D7" s="11"/>
      <c r="E7" s="11"/>
      <c r="F7" s="11"/>
      <c r="G7" s="11"/>
      <c r="H7" s="11"/>
      <c r="I7" s="11"/>
      <c r="J7" s="91">
        <f t="shared" ref="J7:J15" si="1">SUM(D7:I7)</f>
        <v>0</v>
      </c>
      <c r="K7" s="92"/>
    </row>
    <row r="8" spans="1:11" ht="15.75" customHeight="1" thickBot="1" x14ac:dyDescent="0.25">
      <c r="A8" s="10" t="s">
        <v>9</v>
      </c>
      <c r="B8" s="11">
        <f t="shared" si="0"/>
        <v>66</v>
      </c>
      <c r="C8" s="11">
        <v>64</v>
      </c>
      <c r="D8" s="11"/>
      <c r="E8" s="11"/>
      <c r="F8" s="11"/>
      <c r="G8" s="11"/>
      <c r="H8" s="11"/>
      <c r="I8" s="11"/>
      <c r="J8" s="91">
        <f t="shared" si="1"/>
        <v>0</v>
      </c>
      <c r="K8" s="92">
        <v>2</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v>
      </c>
      <c r="C10" s="11">
        <v>1</v>
      </c>
      <c r="D10" s="11"/>
      <c r="E10" s="11"/>
      <c r="F10" s="11"/>
      <c r="G10" s="11"/>
      <c r="H10" s="11"/>
      <c r="I10" s="11"/>
      <c r="J10" s="91">
        <f t="shared" si="1"/>
        <v>0</v>
      </c>
      <c r="K10" s="92"/>
    </row>
    <row r="11" spans="1:11" ht="15.75" customHeight="1" thickBot="1" x14ac:dyDescent="0.25">
      <c r="A11" s="10" t="s">
        <v>12</v>
      </c>
      <c r="B11" s="11">
        <f t="shared" si="0"/>
        <v>16</v>
      </c>
      <c r="C11" s="11">
        <v>16</v>
      </c>
      <c r="D11" s="11"/>
      <c r="E11" s="11"/>
      <c r="F11" s="11"/>
      <c r="G11" s="11"/>
      <c r="H11" s="11"/>
      <c r="I11" s="11"/>
      <c r="J11" s="91">
        <f t="shared" si="1"/>
        <v>0</v>
      </c>
      <c r="K11" s="92"/>
    </row>
    <row r="12" spans="1:11" ht="15.75" customHeight="1" thickBot="1" x14ac:dyDescent="0.25">
      <c r="A12" s="10" t="s">
        <v>13</v>
      </c>
      <c r="B12" s="11">
        <f t="shared" si="0"/>
        <v>46</v>
      </c>
      <c r="C12" s="11">
        <v>45</v>
      </c>
      <c r="D12" s="11"/>
      <c r="E12" s="11"/>
      <c r="F12" s="11"/>
      <c r="G12" s="11"/>
      <c r="H12" s="11"/>
      <c r="I12" s="11"/>
      <c r="J12" s="91">
        <f t="shared" si="1"/>
        <v>0</v>
      </c>
      <c r="K12" s="92">
        <v>1</v>
      </c>
    </row>
    <row r="13" spans="1:11" ht="15.75" customHeight="1" thickBot="1" x14ac:dyDescent="0.25">
      <c r="A13" s="10" t="s">
        <v>133</v>
      </c>
      <c r="B13" s="11">
        <f t="shared" si="0"/>
        <v>61</v>
      </c>
      <c r="C13" s="11">
        <v>59</v>
      </c>
      <c r="D13" s="11"/>
      <c r="E13" s="11"/>
      <c r="F13" s="11"/>
      <c r="G13" s="11"/>
      <c r="H13" s="11"/>
      <c r="I13" s="11"/>
      <c r="J13" s="91">
        <f t="shared" si="1"/>
        <v>0</v>
      </c>
      <c r="K13" s="92">
        <v>2</v>
      </c>
    </row>
    <row r="14" spans="1:11" ht="26.25" customHeight="1" thickBot="1" x14ac:dyDescent="0.25">
      <c r="A14" s="10" t="s">
        <v>123</v>
      </c>
      <c r="B14" s="11">
        <f t="shared" si="0"/>
        <v>15</v>
      </c>
      <c r="C14" s="11">
        <v>15</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1350</v>
      </c>
      <c r="R7" s="42">
        <f t="shared" ref="R7:R15" si="5">SUM(N7:Q7)</f>
        <v>1356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64</v>
      </c>
      <c r="D8" s="34">
        <f>IF((AND(C67&gt;0,C8&gt;0)),(C8/C67),0)</f>
        <v>1066.6666666666667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0</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0</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0</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0</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0</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Entry'!J6</f>
        <v>120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120</v>
      </c>
      <c r="P7" s="42">
        <f t="shared" ref="P7:P15" si="4">C7</f>
        <v>6</v>
      </c>
      <c r="Q7" s="42">
        <f>C6-C7</f>
        <v>1350</v>
      </c>
      <c r="R7" s="42">
        <f t="shared" ref="R7:R15" si="5">SUM(N7:Q7)</f>
        <v>1476</v>
      </c>
      <c r="S7" s="30">
        <f t="shared" ref="S7:S15" si="6">R7*((((N7*Q7)-(O7*P7))^2))</f>
        <v>765158400</v>
      </c>
      <c r="T7" s="30">
        <f t="shared" ref="T7:T15" si="7">(N7+O7)*(P7+Q7)*(N7+P7)*(O7+Q7)</f>
        <v>1435190400</v>
      </c>
      <c r="U7" s="31">
        <f t="shared" ref="U7:U15" si="8">IF((S7&gt;0),S7/T7,"- -")</f>
        <v>0.53314068990428032</v>
      </c>
    </row>
    <row r="8" spans="2:21" ht="18" customHeight="1" x14ac:dyDescent="0.25">
      <c r="B8" s="32" t="str">
        <f>'Data Entry'!A8</f>
        <v>3. Refer to Juvenile Court</v>
      </c>
      <c r="C8" s="33">
        <f>'Data Entry'!C8</f>
        <v>64</v>
      </c>
      <c r="D8" s="34">
        <f>IF((AND(C67&gt;0,C8&gt;0)),(C8/C67),0)</f>
        <v>1066.6666666666667</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0.12</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0.12</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0.12</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0.12</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0.12</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Roscommon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1476</v>
      </c>
      <c r="D3" s="57">
        <f>'Data Entry'!C6</f>
        <v>1356</v>
      </c>
      <c r="E3" s="57">
        <f>'Data Entry'!D6</f>
        <v>23</v>
      </c>
      <c r="F3" s="57">
        <f>'Data Entry'!E6</f>
        <v>49</v>
      </c>
      <c r="G3" s="57">
        <f>'Data Entry'!F6</f>
        <v>29</v>
      </c>
      <c r="H3" s="57">
        <f>'Data Entry'!G6</f>
        <v>0</v>
      </c>
      <c r="I3" s="57">
        <f>'Data Entry'!H6</f>
        <v>19</v>
      </c>
      <c r="J3" s="57">
        <f>'Data Entry'!I6</f>
        <v>0</v>
      </c>
      <c r="K3" s="57">
        <f>'Data Entry'!J6</f>
        <v>120</v>
      </c>
    </row>
    <row r="4" spans="2:11" ht="15" customHeight="1" x14ac:dyDescent="0.25">
      <c r="B4" s="16" t="s">
        <v>8</v>
      </c>
      <c r="C4" s="1">
        <f>IF((C$3&gt;0),(1000*('Data Entry'!B7/'Data Entry'!B$6)), 0)</f>
        <v>4.0650406504065044</v>
      </c>
      <c r="D4" s="1">
        <f>IF((D$3&gt;0),(1000*('Data Entry'!C7/'Data Entry'!C$6)), 0)</f>
        <v>4.4247787610619467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44.715447154471548</v>
      </c>
      <c r="D5" s="1">
        <f>IF((D$3&gt;0),(1000*('Data Entry'!C8/'Data Entry'!C$6)), 0)</f>
        <v>47.197640117994098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0.6775067750677507</v>
      </c>
      <c r="D7" s="1">
        <f>IF((D$3&gt;0),(1000*('Data Entry'!C10/'Data Entry'!C$6)), 0)</f>
        <v>0.73746312684365778</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10.840108401084011</v>
      </c>
      <c r="D8" s="1">
        <f>IF((D$3&gt;0),(1000*('Data Entry'!C11/'Data Entry'!C$6)), 0)</f>
        <v>11.799410029498524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31.165311653116532</v>
      </c>
      <c r="D9" s="1">
        <f>IF((D$3&gt;0),(1000*('Data Entry'!C12/'Data Entry'!C$6)), 0)</f>
        <v>33.185840707964601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41.327913279132794</v>
      </c>
      <c r="D10" s="1">
        <f>IF((D$3&gt;0),(1000*('Data Entry'!C13/'Data Entry'!C$6)), 0)</f>
        <v>43.510324483775811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10.16260162601626</v>
      </c>
      <c r="D11" s="1">
        <f>IF((D$3&gt;0),(1000*('Data Entry'!C14/'Data Entry'!C$6)), 0)</f>
        <v>11.061946902654867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Roscommon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Roscommon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1356</v>
      </c>
      <c r="D7" s="105">
        <f>'Data Entry'!D6</f>
        <v>23</v>
      </c>
      <c r="E7" s="106"/>
      <c r="F7" s="107">
        <f>'Data Entry'!E6</f>
        <v>49</v>
      </c>
      <c r="G7" s="106"/>
      <c r="H7" s="107">
        <f>'Data Entry'!F6</f>
        <v>29</v>
      </c>
      <c r="I7" s="106"/>
      <c r="J7" s="107">
        <f>'Data Entry'!G6</f>
        <v>0</v>
      </c>
      <c r="K7" s="106"/>
      <c r="L7" s="107">
        <f>'Data Entry'!H6</f>
        <v>19</v>
      </c>
      <c r="M7" s="106"/>
      <c r="N7" s="107">
        <f>'Data Entry'!I6</f>
        <v>0</v>
      </c>
      <c r="O7" s="106"/>
      <c r="P7" s="107">
        <f>'Data Entry'!J6</f>
        <v>120</v>
      </c>
      <c r="Q7" s="108"/>
    </row>
    <row r="8" spans="2:26" s="1" customFormat="1" ht="15" customHeight="1" x14ac:dyDescent="0.3">
      <c r="B8" s="149" t="s">
        <v>8</v>
      </c>
      <c r="C8" s="104">
        <f>'Data Entry'!C7</f>
        <v>6</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64</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16</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45</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59</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15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Roscommon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Roscommon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11.3</v>
      </c>
    </row>
    <row r="8" spans="1:12" ht="25.5" customHeight="1" x14ac:dyDescent="0.2">
      <c r="A8" s="158" t="str">
        <f>CONCATENATE("Confinement, total N=", 'Data Entry'!B14)</f>
        <v>Confinement, total N=15</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N=15</v>
      </c>
      <c r="L8">
        <f>I14/(SUM(B14:G14))</f>
        <v>11.3</v>
      </c>
    </row>
    <row r="9" spans="1:12" x14ac:dyDescent="0.2">
      <c r="A9" s="132" t="str">
        <f>CONCATENATE("Delinquent Findings, total N=", 'Data Entry'!B12)</f>
        <v>Delinquent Findings, total N=46</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0.97826086956521741</v>
      </c>
      <c r="K9" s="97" t="str">
        <f t="shared" si="0"/>
        <v>Delinquent Findings, total N=46</v>
      </c>
      <c r="L9">
        <f>I14/(SUM(B14:G14))</f>
        <v>11.3</v>
      </c>
    </row>
    <row r="10" spans="1:12" x14ac:dyDescent="0.2">
      <c r="A10" s="132" t="str">
        <f>CONCATENATE("Petitions, total N=", 'Data Entry'!B11)</f>
        <v>Petitions, total N=16</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N=16</v>
      </c>
      <c r="L10">
        <f>I14/(SUM(B14:G14))</f>
        <v>11.3</v>
      </c>
    </row>
    <row r="11" spans="1:12" x14ac:dyDescent="0.2">
      <c r="A11" s="132" t="str">
        <f>CONCATENATE("Detentions, total N=", 'Data Entry'!B10)</f>
        <v>Detentions, total N=1</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N=1</v>
      </c>
      <c r="L11">
        <f>I14/(SUM(B14:G14))</f>
        <v>11.3</v>
      </c>
    </row>
    <row r="12" spans="1:12" x14ac:dyDescent="0.2">
      <c r="A12" s="132" t="str">
        <f>CONCATENATE("Referrals, total N=", 'Data Entry'!B8)</f>
        <v>Referrals, total N=66</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0.96969696969696972</v>
      </c>
      <c r="K12" s="97" t="str">
        <f t="shared" si="0"/>
        <v>Referrals, total N=66</v>
      </c>
      <c r="L12">
        <f>I14/(SUM(B14:G14))</f>
        <v>11.3</v>
      </c>
    </row>
    <row r="13" spans="1:12" x14ac:dyDescent="0.2">
      <c r="A13" s="132" t="str">
        <f>CONCATENATE("Arrests, total N=", 'Data Entry'!B7)</f>
        <v>Arrests, total N=6</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N=6</v>
      </c>
      <c r="L13">
        <f>I14/(SUM(B14:G14))</f>
        <v>11.3</v>
      </c>
    </row>
    <row r="14" spans="1:12" x14ac:dyDescent="0.2">
      <c r="A14" s="132" t="str">
        <f>CONCATENATE("Population, total N=", 'Data Entry'!B6)</f>
        <v>Population, total N=1476</v>
      </c>
      <c r="B14" s="157">
        <f>'Data Entry'!D6/'Data Entry'!B6</f>
        <v>1.5582655826558265E-2</v>
      </c>
      <c r="C14" s="157">
        <f>'Data Entry'!E6/'Data Entry'!B6</f>
        <v>3.3197831978319783E-2</v>
      </c>
      <c r="D14" s="157">
        <f>'Data Entry'!F6/'Data Entry'!B6</f>
        <v>1.9647696476964769E-2</v>
      </c>
      <c r="E14" s="157">
        <f>'Data Entry'!G6/'Data Entry'!B6</f>
        <v>0</v>
      </c>
      <c r="F14" s="157">
        <f>'Data Entry'!H6/'Data Entry'!B6</f>
        <v>1.2872628726287264E-2</v>
      </c>
      <c r="G14" s="157">
        <f>'Data Entry'!I6/'Data Entry'!B6</f>
        <v>0</v>
      </c>
      <c r="H14" s="157">
        <f>SUM(D14:G14)/'Data Entry'!B6</f>
        <v>2.2032740652609774E-5</v>
      </c>
      <c r="I14" s="157">
        <f>'Data Entry'!C6/'Data Entry'!B6</f>
        <v>0.91869918699186992</v>
      </c>
      <c r="K14" s="97" t="str">
        <f t="shared" si="0"/>
        <v>Population, total N=1476</v>
      </c>
      <c r="L14">
        <f>I14/(SUM(B14:G14))</f>
        <v>11.3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Roscommon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1356</v>
      </c>
      <c r="D7" s="105">
        <f>'Data Entry'!D6</f>
        <v>23</v>
      </c>
      <c r="E7" s="106"/>
      <c r="F7" s="107">
        <f>'Data Entry'!E6</f>
        <v>49</v>
      </c>
      <c r="G7" s="106"/>
      <c r="H7" s="107">
        <f>'Data Entry'!F6</f>
        <v>29</v>
      </c>
      <c r="I7" s="106"/>
      <c r="J7" s="107">
        <f>'Data Entry'!J6</f>
        <v>120</v>
      </c>
      <c r="K7" s="108"/>
    </row>
    <row r="8" spans="2:30" s="1" customFormat="1" ht="15" customHeight="1" x14ac:dyDescent="0.3">
      <c r="B8" s="125" t="s">
        <v>8</v>
      </c>
      <c r="C8" s="104">
        <f>'Data Entry'!C7</f>
        <v>6</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64</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1</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16</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45</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59</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15</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Entry'!D6</f>
        <v>23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23</v>
      </c>
      <c r="P7" s="42">
        <f t="shared" ref="P7:P15" si="2">C7</f>
        <v>6</v>
      </c>
      <c r="Q7" s="42">
        <f>C6-C7</f>
        <v>1350</v>
      </c>
      <c r="R7" s="42">
        <f t="shared" ref="R7:R15" si="3">SUM(N7:Q7)</f>
        <v>1379</v>
      </c>
      <c r="S7" s="30">
        <f t="shared" ref="S7:S15" si="4">R7*((((N7*Q7)-(O7*P7))^2))</f>
        <v>26261676</v>
      </c>
      <c r="T7" s="30">
        <f t="shared" ref="T7:T15" si="5">(N7+O7)*(P7+Q7)*(N7+P7)*(O7+Q7)</f>
        <v>256926744</v>
      </c>
      <c r="U7" s="31">
        <f t="shared" ref="U7:U15" si="6">IF((S7&gt;0),S7/T7,"- -")</f>
        <v>0.10221464527647617</v>
      </c>
    </row>
    <row r="8" spans="2:21" ht="18" customHeight="1" x14ac:dyDescent="0.25">
      <c r="B8" s="32" t="str">
        <f>'Data Entry'!A8</f>
        <v>3. Refer to Juvenile Court</v>
      </c>
      <c r="C8" s="33">
        <f>'Data Entry'!C8</f>
        <v>64</v>
      </c>
      <c r="D8" s="34">
        <f>IF((AND(C67&gt;0,C8&gt;0)),(C8/C67),0)</f>
        <v>1066.6666666666667</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64</v>
      </c>
      <c r="Q8" s="42">
        <f>(C$67*L67)-C8</f>
        <v>-58</v>
      </c>
      <c r="R8" s="42">
        <f t="shared" si="3"/>
        <v>6.0499999999999972</v>
      </c>
      <c r="S8" s="30">
        <f t="shared" si="4"/>
        <v>61.951999999999984</v>
      </c>
      <c r="T8" s="30">
        <f t="shared" si="5"/>
        <v>-1112.6400000000003</v>
      </c>
      <c r="U8" s="31">
        <f t="shared" si="6"/>
        <v>-5.5680184066724155E-2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64</v>
      </c>
      <c r="R9" s="42">
        <f t="shared" si="3"/>
        <v>64</v>
      </c>
      <c r="S9" s="30">
        <f t="shared" si="4"/>
        <v>0</v>
      </c>
      <c r="T9" s="30">
        <f t="shared" si="5"/>
        <v>0</v>
      </c>
      <c r="U9" s="31" t="str">
        <f t="shared" si="6"/>
        <v>- -</v>
      </c>
    </row>
    <row r="10" spans="2:21" ht="18" customHeight="1" x14ac:dyDescent="0.25">
      <c r="B10" s="32" t="str">
        <f>'Data Entry'!A10</f>
        <v>5. Cases Involving Secure Detention</v>
      </c>
      <c r="C10" s="33">
        <f>'Data Entry'!C10</f>
        <v>1</v>
      </c>
      <c r="D10" s="34">
        <f>IF(((AND(C68&gt;0,C10&gt;0))),(C10/(C68)),0)</f>
        <v>1.5625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63</v>
      </c>
      <c r="R10" s="42">
        <f t="shared" si="3"/>
        <v>64</v>
      </c>
      <c r="S10" s="30">
        <f t="shared" si="4"/>
        <v>0</v>
      </c>
      <c r="T10" s="30">
        <f t="shared" si="5"/>
        <v>0</v>
      </c>
      <c r="U10" s="31" t="str">
        <f t="shared" si="6"/>
        <v>- -</v>
      </c>
    </row>
    <row r="11" spans="2:21" ht="18" customHeight="1" x14ac:dyDescent="0.25">
      <c r="B11" s="32" t="str">
        <f>'Data Entry'!A11</f>
        <v>6. Cases Petitioned (Charge Filed)</v>
      </c>
      <c r="C11" s="33">
        <f>'Data Entry'!C11</f>
        <v>16</v>
      </c>
      <c r="D11" s="34">
        <f>IF(((AND(C68&gt;0,C11&gt;0))),(C11/(C68)),0)</f>
        <v>25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16</v>
      </c>
      <c r="Q11" s="42">
        <f>(C$68*L68)-C11</f>
        <v>48</v>
      </c>
      <c r="R11" s="42">
        <f t="shared" si="3"/>
        <v>64</v>
      </c>
      <c r="S11" s="30">
        <f t="shared" si="4"/>
        <v>0</v>
      </c>
      <c r="T11" s="30">
        <f t="shared" si="5"/>
        <v>0</v>
      </c>
      <c r="U11" s="31" t="str">
        <f t="shared" si="6"/>
        <v>- -</v>
      </c>
    </row>
    <row r="12" spans="2:21" ht="18" customHeight="1" x14ac:dyDescent="0.25">
      <c r="B12" s="32" t="str">
        <f>'Data Entry'!A12</f>
        <v>7. Cases Resulting in Delinquent Findings</v>
      </c>
      <c r="C12" s="33">
        <f>'Data Entry'!C12</f>
        <v>45</v>
      </c>
      <c r="D12" s="34">
        <f>IF(((AND(C69&gt;0,C12&gt;0))),(C12/(C69)),0)</f>
        <v>281.25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45</v>
      </c>
      <c r="Q12" s="42">
        <f>(C69*L69)-C12</f>
        <v>-29</v>
      </c>
      <c r="R12" s="42">
        <f t="shared" si="3"/>
        <v>16</v>
      </c>
      <c r="S12" s="30">
        <f t="shared" si="4"/>
        <v>0</v>
      </c>
      <c r="T12" s="30">
        <f t="shared" si="5"/>
        <v>0</v>
      </c>
      <c r="U12" s="31" t="str">
        <f t="shared" si="6"/>
        <v>- -</v>
      </c>
    </row>
    <row r="13" spans="2:21" ht="18" customHeight="1" x14ac:dyDescent="0.25">
      <c r="B13" s="32" t="str">
        <f>'Data Entry'!A13</f>
        <v>8. Cases Resulting in Probation Placement</v>
      </c>
      <c r="C13" s="33">
        <f>'Data Entry'!C13</f>
        <v>59</v>
      </c>
      <c r="D13" s="34">
        <f>IF(((AND(C70&gt;0,C13&gt;0))),(C13/(C70)),0)</f>
        <v>131.11111111111111</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59</v>
      </c>
      <c r="Q13" s="42">
        <f>(C70*L70)-C13</f>
        <v>-14</v>
      </c>
      <c r="R13" s="42">
        <f t="shared" si="3"/>
        <v>45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15</v>
      </c>
      <c r="Q14" s="42">
        <f>(C70*L70)-C14</f>
        <v>30</v>
      </c>
      <c r="R14" s="42">
        <f t="shared" si="3"/>
        <v>45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16</v>
      </c>
      <c r="R15" s="42">
        <f t="shared" si="3"/>
        <v>16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2.3E-2</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2.3E-2</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2.3E-2</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2.3E-2</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2.3E-2</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Entry'!F6</f>
        <v>29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v>
      </c>
      <c r="P7" s="42">
        <f t="shared" ref="P7:P15" si="4">C7</f>
        <v>6</v>
      </c>
      <c r="Q7" s="42">
        <f>C6-C7</f>
        <v>1350</v>
      </c>
      <c r="R7" s="42">
        <f t="shared" ref="R7:R15" si="5">SUM(N7:Q7)</f>
        <v>1385</v>
      </c>
      <c r="S7" s="30">
        <f t="shared" ref="S7:S15" si="6">R7*((((N7*Q7)-(O7*P7))^2))</f>
        <v>41932260</v>
      </c>
      <c r="T7" s="30">
        <f t="shared" ref="T7:T15" si="7">(N7+O7)*(P7+Q7)*(N7+P7)*(O7+Q7)</f>
        <v>325366776</v>
      </c>
      <c r="U7" s="31">
        <f t="shared" ref="U7:U15" si="8">IF((S7&gt;0),S7/T7,"- -")</f>
        <v>0.1288768955315831</v>
      </c>
    </row>
    <row r="8" spans="2:21" ht="18" customHeight="1" x14ac:dyDescent="0.25">
      <c r="B8" s="32" t="str">
        <f>'Data Entry'!A8</f>
        <v>3. Refer to Juvenile Court</v>
      </c>
      <c r="C8" s="33">
        <f>'Data Entry'!C8</f>
        <v>64</v>
      </c>
      <c r="D8" s="34">
        <f>IF((AND(C67&gt;0,C8&gt;0)),(C8/C67),0)</f>
        <v>1066.6666666666667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2.9000000000000001E-2</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2.9000000000000001E-2</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2.9000000000000001E-2</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2.9000000000000001E-2</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2.9000000000000001E-2</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Entry'!E6</f>
        <v>49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49</v>
      </c>
      <c r="P7" s="42">
        <f t="shared" ref="P7:P15" si="4">C7</f>
        <v>6</v>
      </c>
      <c r="Q7" s="42">
        <f>C6-C7</f>
        <v>1350</v>
      </c>
      <c r="R7" s="42">
        <f t="shared" ref="R7:R15" si="5">SUM(N7:Q7)</f>
        <v>1405</v>
      </c>
      <c r="S7" s="30">
        <f t="shared" ref="S7:S15" si="6">R7*((((N7*Q7)-(O7*P7))^2))</f>
        <v>121442580</v>
      </c>
      <c r="T7" s="30">
        <f t="shared" ref="T7:T15" si="7">(N7+O7)*(P7+Q7)*(N7+P7)*(O7+Q7)</f>
        <v>557730936</v>
      </c>
      <c r="U7" s="31">
        <f t="shared" ref="U7:U15" si="8">IF((S7&gt;0),S7/T7,"- -")</f>
        <v>0.21774402702309487</v>
      </c>
    </row>
    <row r="8" spans="2:21" ht="18" customHeight="1" x14ac:dyDescent="0.25">
      <c r="B8" s="32" t="str">
        <f>'Data Entry'!A8</f>
        <v>3. Refer to Juvenile Court</v>
      </c>
      <c r="C8" s="33">
        <f>'Data Entry'!C8</f>
        <v>64</v>
      </c>
      <c r="D8" s="34">
        <f>IF((AND(C67&gt;0,C8&gt;0)),(C8/C67),0)</f>
        <v>1066.6666666666667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4.9000000000000002E-2</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4.9000000000000002E-2</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4.9000000000000002E-2</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4.9000000000000002E-2</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4.9000000000000002E-2</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1350</v>
      </c>
      <c r="R7" s="42">
        <f t="shared" ref="R7:R15" si="5">SUM(N7:Q7)</f>
        <v>1356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64</v>
      </c>
      <c r="D8" s="34">
        <f>IF((AND(C67&gt;0,C8&gt;0)),(C8/C67),0)</f>
        <v>1066.6666666666667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0</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0</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0</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0</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0</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Roscommon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1356</v>
      </c>
      <c r="D6" s="34"/>
      <c r="E6" s="33">
        <f>'Data Entry'!H6</f>
        <v>19</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4.4247787610619467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6</v>
      </c>
      <c r="Q7" s="42">
        <f>C6-C7</f>
        <v>1350</v>
      </c>
      <c r="R7" s="42">
        <f t="shared" ref="R7:R15" si="5">SUM(N7:Q7)</f>
        <v>1375</v>
      </c>
      <c r="S7" s="30">
        <f t="shared" ref="S7:S15" si="6">R7*((((N7*Q7)-(O7*P7))^2))</f>
        <v>17869500</v>
      </c>
      <c r="T7" s="30">
        <f t="shared" ref="T7:T15" si="7">(N7+O7)*(P7+Q7)*(N7+P7)*(O7+Q7)</f>
        <v>211625496</v>
      </c>
      <c r="U7" s="31">
        <f t="shared" ref="U7:U15" si="8">IF((S7&gt;0),S7/T7,"- -")</f>
        <v>8.4439258679870968E-2</v>
      </c>
    </row>
    <row r="8" spans="2:21" ht="18" customHeight="1" x14ac:dyDescent="0.25">
      <c r="B8" s="32" t="str">
        <f>'Data Entry'!A8</f>
        <v>3. Refer to Juvenile Court</v>
      </c>
      <c r="C8" s="33">
        <f>'Data Entry'!C8</f>
        <v>64</v>
      </c>
      <c r="D8" s="34">
        <f>IF((AND(C67&gt;0,C8&gt;0)),(C8/C67),0)</f>
        <v>1066.6666666666667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64</v>
      </c>
      <c r="Q8" s="42">
        <f>(C$67*L67)-C8</f>
        <v>-58</v>
      </c>
      <c r="R8" s="42">
        <f t="shared" si="5"/>
        <v>6.0499999999999972</v>
      </c>
      <c r="S8" s="30">
        <f t="shared" si="6"/>
        <v>61.951999999999984</v>
      </c>
      <c r="T8" s="30">
        <f t="shared" si="7"/>
        <v>-1112.6400000000003</v>
      </c>
      <c r="U8" s="31">
        <f t="shared" si="8"/>
        <v>-5.5680184066724155E-2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64</v>
      </c>
      <c r="R9" s="42">
        <f t="shared" si="5"/>
        <v>64</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1.5625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63</v>
      </c>
      <c r="R10" s="42">
        <f t="shared" si="5"/>
        <v>64</v>
      </c>
      <c r="S10" s="30">
        <f t="shared" si="6"/>
        <v>0</v>
      </c>
      <c r="T10" s="30">
        <f t="shared" si="7"/>
        <v>0</v>
      </c>
      <c r="U10" s="31" t="str">
        <f t="shared" si="8"/>
        <v>- -</v>
      </c>
    </row>
    <row r="11" spans="2:21" ht="18" customHeight="1" x14ac:dyDescent="0.25">
      <c r="B11" s="32" t="str">
        <f>'Data Entry'!A11</f>
        <v>6. Cases Petitioned (Charge Filed)</v>
      </c>
      <c r="C11" s="33">
        <f>'Data Entry'!C11</f>
        <v>16</v>
      </c>
      <c r="D11" s="34">
        <f>IF(((AND(C68&gt;0,C11&gt;0))),(C11/(C68)),0)</f>
        <v>25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48</v>
      </c>
      <c r="R11" s="42">
        <f t="shared" si="5"/>
        <v>64</v>
      </c>
      <c r="S11" s="30">
        <f t="shared" si="6"/>
        <v>0</v>
      </c>
      <c r="T11" s="30">
        <f t="shared" si="7"/>
        <v>0</v>
      </c>
      <c r="U11" s="31" t="str">
        <f t="shared" si="8"/>
        <v>- -</v>
      </c>
    </row>
    <row r="12" spans="2:21" ht="18" customHeight="1" x14ac:dyDescent="0.25">
      <c r="B12" s="32" t="str">
        <f>'Data Entry'!A12</f>
        <v>7. Cases Resulting in Delinquent Findings</v>
      </c>
      <c r="C12" s="33">
        <f>'Data Entry'!C12</f>
        <v>45</v>
      </c>
      <c r="D12" s="34">
        <f>IF(((AND(C69&gt;0,C12&gt;0))),(C12/(C69)),0)</f>
        <v>281.25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45</v>
      </c>
      <c r="Q12" s="42">
        <f>(C69*L69)-C12</f>
        <v>-29</v>
      </c>
      <c r="R12" s="42">
        <f t="shared" si="5"/>
        <v>16</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131.11111111111111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-14</v>
      </c>
      <c r="R13" s="42">
        <f t="shared" si="5"/>
        <v>45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15</v>
      </c>
      <c r="D14" s="34">
        <f>IF(((AND(C70&gt;0,C14&gt;0))), ((C14/(C70))),0)</f>
        <v>33.333333333333336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30</v>
      </c>
      <c r="R14" s="42">
        <f t="shared" si="5"/>
        <v>45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1.3560000000000001</v>
      </c>
      <c r="D42" s="56">
        <f>E6/1000</f>
        <v>1.9E-2</v>
      </c>
      <c r="E42" s="56">
        <f>MAX(C42:D42)</f>
        <v>1.3560000000000001</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0.64</v>
      </c>
      <c r="D44" s="56">
        <f>E8/100</f>
        <v>0</v>
      </c>
      <c r="E44" s="56">
        <f>MAX(C44:D44,0)</f>
        <v>0.64</v>
      </c>
      <c r="G44" s="1" t="str">
        <f>B44</f>
        <v>per 100 referrals</v>
      </c>
      <c r="L44" s="57">
        <v>100</v>
      </c>
      <c r="M44" s="57"/>
      <c r="R44" s="49"/>
    </row>
    <row r="45" spans="2:18" ht="15" hidden="1" customHeight="1" x14ac:dyDescent="0.25">
      <c r="B45" s="49" t="s">
        <v>89</v>
      </c>
      <c r="C45" s="49">
        <f>C11/100</f>
        <v>0.16</v>
      </c>
      <c r="D45" s="49">
        <f>E11/100</f>
        <v>0</v>
      </c>
      <c r="E45" s="56">
        <f>MAX(C45:D45,0)</f>
        <v>0.16</v>
      </c>
      <c r="G45" s="1" t="str">
        <f>B45</f>
        <v>per 100 youth petitioned</v>
      </c>
      <c r="L45" s="57">
        <v>100</v>
      </c>
      <c r="M45" s="57"/>
      <c r="R45" s="49"/>
    </row>
    <row r="46" spans="2:18" ht="15" hidden="1" customHeight="1" x14ac:dyDescent="0.25">
      <c r="B46" s="49" t="s">
        <v>90</v>
      </c>
      <c r="C46" s="49">
        <f>C12/100</f>
        <v>0.45</v>
      </c>
      <c r="D46" s="49">
        <f>E12/100</f>
        <v>0</v>
      </c>
      <c r="E46" s="56">
        <f>MAX(C46:D46)</f>
        <v>0.45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1.3560000000000001</v>
      </c>
      <c r="D48" s="56">
        <f>D42</f>
        <v>1.9E-2</v>
      </c>
      <c r="E48" s="56">
        <f>MAX(C48:D48)</f>
        <v>1.3560000000000001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0.64</v>
      </c>
      <c r="D50" s="49">
        <f t="shared" si="9"/>
        <v>0</v>
      </c>
      <c r="E50" s="49">
        <f>MAX(C50:D50)</f>
        <v>0.64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x14ac:dyDescent="0.25">
      <c r="B52" s="49" t="str">
        <f>IF(($E46&gt;0),B46,B45)</f>
        <v>per 100 youth found delinquent</v>
      </c>
      <c r="C52" s="49">
        <f>IF(($E46&gt;0),C46,C45)</f>
        <v>0.45</v>
      </c>
      <c r="D52" s="49">
        <f>IF(($E46&gt;0),D46,D45)</f>
        <v>0</v>
      </c>
      <c r="E52" s="56">
        <f>MAX(C52:D52)</f>
        <v>0.45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1.3560000000000001</v>
      </c>
      <c r="D54" s="56">
        <f>D48</f>
        <v>1.9E-2</v>
      </c>
      <c r="E54" s="56">
        <f>MAX(C54:D54)</f>
        <v>1.3560000000000001</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0.64</v>
      </c>
      <c r="D56" s="49">
        <f t="shared" si="10"/>
        <v>0</v>
      </c>
      <c r="E56" s="49">
        <f>MAX(C56:D56)</f>
        <v>0.64</v>
      </c>
      <c r="G56" s="1" t="str">
        <f>G50</f>
        <v>per 100 referrals</v>
      </c>
      <c r="L56" s="58">
        <f>IF(($E50&gt;0),L50,L49)</f>
        <v>100</v>
      </c>
      <c r="M56" s="58"/>
    </row>
    <row r="57" spans="2:18" ht="15" hidden="1" customHeight="1" x14ac:dyDescent="0.25">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x14ac:dyDescent="0.25">
      <c r="B58" s="49" t="str">
        <f>IF(($E52&gt;0),B52,B51)</f>
        <v>per 100 youth found delinquent</v>
      </c>
      <c r="C58" s="49">
        <f>IF(($E52&gt;0),C52,C51)</f>
        <v>0.45</v>
      </c>
      <c r="D58" s="49">
        <f>IF(($E52&gt;0),D52,D51)</f>
        <v>0</v>
      </c>
      <c r="E58" s="56">
        <f>MAX(C58:D58)</f>
        <v>0.45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1.3560000000000001</v>
      </c>
      <c r="D60" s="56">
        <f>D54</f>
        <v>1.9E-2</v>
      </c>
      <c r="E60" s="56">
        <f>MAX(C60:D60)</f>
        <v>1.3560000000000001</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0.64</v>
      </c>
      <c r="D62" s="49">
        <f t="shared" si="11"/>
        <v>0</v>
      </c>
      <c r="E62" s="49">
        <f>MAX(C62:D62)</f>
        <v>0.64</v>
      </c>
      <c r="G62" s="1" t="str">
        <f>G56</f>
        <v>per 100 referrals</v>
      </c>
      <c r="L62" s="58">
        <f>IF(($E56&gt;0),L56,L55)</f>
        <v>100</v>
      </c>
      <c r="M62" s="58"/>
    </row>
    <row r="63" spans="2:18" ht="15" hidden="1" customHeight="1" x14ac:dyDescent="0.25">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x14ac:dyDescent="0.25">
      <c r="B64" s="49" t="str">
        <f>IF(($E58&gt;0),B58,B57)</f>
        <v>per 100 youth found delinquent</v>
      </c>
      <c r="C64" s="49">
        <f>IF(($E58&gt;0),C58,C57)</f>
        <v>0.45</v>
      </c>
      <c r="D64" s="49">
        <f>IF(($E58&gt;0),D58,D57)</f>
        <v>0</v>
      </c>
      <c r="E64" s="56">
        <f>MAX(C64:D64)</f>
        <v>0.45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1.3560000000000001</v>
      </c>
      <c r="D66" s="56">
        <f>D60</f>
        <v>1.9E-2</v>
      </c>
      <c r="E66" s="56">
        <f>MAX(C66:D66)</f>
        <v>1.3560000000000001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0.64</v>
      </c>
      <c r="D68" s="49">
        <f t="shared" si="12"/>
        <v>0</v>
      </c>
      <c r="E68" s="49">
        <f>MAX(C68:D68)</f>
        <v>0.64</v>
      </c>
      <c r="G68" s="1" t="str">
        <f>G62</f>
        <v>per 100 referrals</v>
      </c>
      <c r="L68" s="58">
        <f>IF(($E62&gt;0),L62,L61)</f>
        <v>100</v>
      </c>
      <c r="M68" s="58">
        <f>IF((B68=G68),1,2)</f>
        <v>1</v>
      </c>
    </row>
    <row r="69" spans="2:13" ht="15" hidden="1" customHeight="1" x14ac:dyDescent="0.25">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0.45</v>
      </c>
      <c r="D70" s="49">
        <f>IF(($E64&gt;0),D64,D63)</f>
        <v>0</v>
      </c>
      <c r="E70" s="56">
        <f>MAX(C70:D70)</f>
        <v>0.45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U47JMPN4QEAR-1806752177-30217</_dlc_DocId>
    <_dlc_DocIdUrl xmlns="ac3811b5-0f3e-49e2-ba69-f2ffa0c782af">
      <Url>https://michiganphi.sharepoint.com/sites/CMDMC/_layouts/15/DocIdRedir.aspx?ID=U47JMPN4QEAR-1806752177-30217</Url>
      <Description>U47JMPN4QEAR-1806752177-30217</Description>
    </_dlc_DocIdUrl>
  </documentManagement>
</p:properties>
</file>

<file path=customXml/itemProps1.xml><?xml version="1.0" encoding="utf-8"?>
<ds:datastoreItem xmlns:ds="http://schemas.openxmlformats.org/officeDocument/2006/customXml" ds:itemID="{82B63C44-EA62-4A6E-905A-0558A94AA154}"/>
</file>

<file path=customXml/itemProps2.xml><?xml version="1.0" encoding="utf-8"?>
<ds:datastoreItem xmlns:ds="http://schemas.openxmlformats.org/officeDocument/2006/customXml" ds:itemID="{D950E7F2-E308-4904-B3C8-01C8C3CAE7A1}"/>
</file>

<file path=customXml/itemProps3.xml><?xml version="1.0" encoding="utf-8"?>
<ds:datastoreItem xmlns:ds="http://schemas.openxmlformats.org/officeDocument/2006/customXml" ds:itemID="{C592D050-6244-4911-88FF-234B38A7CEB0}"/>
</file>

<file path=customXml/itemProps4.xml><?xml version="1.0" encoding="utf-8"?>
<ds:datastoreItem xmlns:ds="http://schemas.openxmlformats.org/officeDocument/2006/customXml" ds:itemID="{4CF07734-DD7B-4B94-BC25-32A8E4B2A0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15097852-359f-4765-8e9f-68f4e1fbb787</vt:lpwstr>
  </property>
</Properties>
</file>