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9260" yWindow="-75" windowWidth="15480" windowHeight="10485"/>
  </bookViews>
  <sheets>
    <sheet name="Data Entry" sheetId="1" r:id="rId1"/>
    <sheet name="Standard Display" sheetId="13" r:id="rId2"/>
    <sheet name="Narrow Display" sheetId="16" r:id="rId3"/>
    <sheet name="Black or African-American" sheetId="2" r:id="rId4"/>
    <sheet name="Asian" sheetId="3" r:id="rId5"/>
    <sheet name="Hispanic" sheetId="4" r:id="rId6"/>
    <sheet name="Hawaiian" sheetId="5" r:id="rId7"/>
    <sheet name="Am Indian" sheetId="6" r:id="rId8"/>
    <sheet name="Other - Mixed" sheetId="7" r:id="rId9"/>
    <sheet name="All Minorities" sheetId="8" r:id="rId10"/>
    <sheet name="Summary" sheetId="9" r:id="rId11"/>
    <sheet name="Population based rates" sheetId="10" r:id="rId12"/>
    <sheet name="Defaults" sheetId="11" r:id="rId13"/>
  </sheets>
  <definedNames>
    <definedName name="_xlnm.Print_Area" localSheetId="0">'Data Entry'!$A$1:$K$23</definedName>
    <definedName name="_xlnm.Print_Area" localSheetId="2">'Narrow Display'!$B$2:$K$26</definedName>
    <definedName name="_xlnm.Print_Area" localSheetId="11">'Population based rates'!$B$14:$K$30</definedName>
    <definedName name="_xlnm.Print_Area" localSheetId="1">'Standard Display'!$B$2:$Q$26</definedName>
    <definedName name="_xlnm.Print_Area" localSheetId="10">Summary!$B$2:$I$25</definedName>
  </definedNames>
  <calcPr calcId="145621"/>
</workbook>
</file>

<file path=xl/calcChain.xml><?xml version="1.0" encoding="utf-8"?>
<calcChain xmlns="http://schemas.openxmlformats.org/spreadsheetml/2006/main">
  <c r="B4" i="16" l="1"/>
  <c r="B7" i="16" l="1"/>
  <c r="H7" i="16" l="1"/>
  <c r="F7" i="16"/>
  <c r="D7" i="16"/>
  <c r="C7" i="16"/>
  <c r="N7" i="13"/>
  <c r="L7" i="13"/>
  <c r="J7" i="13"/>
  <c r="H7" i="13"/>
  <c r="F7" i="13"/>
  <c r="D7" i="13"/>
  <c r="C7" i="13"/>
  <c r="B7" i="13"/>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5" i="16"/>
  <c r="F5" i="16"/>
  <c r="H4" i="16"/>
  <c r="H3" i="16"/>
  <c r="B3" i="16"/>
  <c r="B26" i="13" l="1"/>
  <c r="E26" i="13"/>
  <c r="B27" i="13"/>
  <c r="E27" i="13"/>
  <c r="B28" i="13"/>
  <c r="E28" i="13"/>
  <c r="B29" i="13"/>
  <c r="E29" i="13"/>
  <c r="B30" i="13"/>
  <c r="E30" i="13"/>
  <c r="B25" i="13"/>
  <c r="H5" i="13" l="1"/>
  <c r="L5" i="13"/>
  <c r="N5" i="13"/>
  <c r="P5" i="13"/>
  <c r="F5" i="13" l="1"/>
  <c r="B4" i="13"/>
  <c r="N4" i="13"/>
  <c r="B3" i="13"/>
  <c r="N3" i="13"/>
  <c r="F10" i="13" l="1"/>
  <c r="A17" i="1" l="1"/>
  <c r="F1" i="2"/>
  <c r="C6" i="9" s="1"/>
  <c r="B2" i="2"/>
  <c r="B3" i="2"/>
  <c r="B6" i="2"/>
  <c r="B7" i="2"/>
  <c r="D7" i="11"/>
  <c r="B8" i="2"/>
  <c r="B9" i="2"/>
  <c r="B10" i="2"/>
  <c r="B11" i="2"/>
  <c r="B12" i="2"/>
  <c r="B13" i="2"/>
  <c r="B14" i="2"/>
  <c r="B15" i="2"/>
  <c r="B48" i="2"/>
  <c r="B54" i="2"/>
  <c r="B60" i="2"/>
  <c r="B66" i="2"/>
  <c r="F27" i="2"/>
  <c r="J27" i="2"/>
  <c r="G42" i="2"/>
  <c r="G48" i="2"/>
  <c r="G54" i="2"/>
  <c r="G60" i="2"/>
  <c r="G66" i="2"/>
  <c r="G43" i="2"/>
  <c r="G44" i="2"/>
  <c r="G50" i="2"/>
  <c r="G45" i="2"/>
  <c r="G46" i="2"/>
  <c r="G52" i="2"/>
  <c r="G58" i="2"/>
  <c r="G64" i="2"/>
  <c r="G70" i="2"/>
  <c r="L48" i="2"/>
  <c r="L54" i="2"/>
  <c r="L60" i="2"/>
  <c r="G49" i="2"/>
  <c r="G51" i="2"/>
  <c r="G57" i="2"/>
  <c r="G63" i="2"/>
  <c r="G69" i="2"/>
  <c r="G55" i="2"/>
  <c r="G56" i="2"/>
  <c r="G61" i="2"/>
  <c r="G67" i="2"/>
  <c r="G62" i="2"/>
  <c r="G68" i="2"/>
  <c r="L66" i="2"/>
  <c r="F1" i="3"/>
  <c r="B2" i="3"/>
  <c r="B3" i="3"/>
  <c r="B6" i="3"/>
  <c r="B7" i="3"/>
  <c r="B8" i="3"/>
  <c r="B9" i="3"/>
  <c r="B10" i="3"/>
  <c r="B11" i="3"/>
  <c r="B12" i="3"/>
  <c r="B13" i="3"/>
  <c r="B14" i="3"/>
  <c r="B15" i="3"/>
  <c r="B48" i="3"/>
  <c r="B54" i="3"/>
  <c r="B60" i="3"/>
  <c r="B66" i="3"/>
  <c r="J27" i="3"/>
  <c r="G42" i="3"/>
  <c r="G43" i="3"/>
  <c r="G49" i="3"/>
  <c r="G55" i="3"/>
  <c r="G61" i="3"/>
  <c r="G67" i="3"/>
  <c r="G44" i="3"/>
  <c r="G50" i="3"/>
  <c r="G56" i="3"/>
  <c r="G62" i="3"/>
  <c r="G68" i="3"/>
  <c r="G45" i="3"/>
  <c r="G46" i="3"/>
  <c r="G48" i="3"/>
  <c r="G54" i="3"/>
  <c r="G60" i="3"/>
  <c r="G66" i="3"/>
  <c r="L48" i="3"/>
  <c r="G51" i="3"/>
  <c r="G57" i="3"/>
  <c r="G63" i="3"/>
  <c r="G52" i="3"/>
  <c r="G58" i="3"/>
  <c r="G64" i="3"/>
  <c r="G70" i="3"/>
  <c r="L54" i="3"/>
  <c r="L60" i="3"/>
  <c r="L66" i="3"/>
  <c r="G69" i="3"/>
  <c r="F1" i="4"/>
  <c r="B2" i="4"/>
  <c r="B3" i="4"/>
  <c r="B6" i="4"/>
  <c r="B7" i="4"/>
  <c r="B8" i="4"/>
  <c r="B9" i="4"/>
  <c r="E9" i="4"/>
  <c r="N9" i="4" s="1"/>
  <c r="B10" i="4"/>
  <c r="B11" i="4"/>
  <c r="B12" i="4"/>
  <c r="B13" i="4"/>
  <c r="B14" i="4"/>
  <c r="B15" i="4"/>
  <c r="B48" i="4"/>
  <c r="B54" i="4"/>
  <c r="B60" i="4"/>
  <c r="B66" i="4"/>
  <c r="J27" i="4"/>
  <c r="G42" i="4"/>
  <c r="G48" i="4"/>
  <c r="G54" i="4"/>
  <c r="G60" i="4"/>
  <c r="G43" i="4"/>
  <c r="G49" i="4"/>
  <c r="G55" i="4"/>
  <c r="G61" i="4"/>
  <c r="G67" i="4"/>
  <c r="G44" i="4"/>
  <c r="G45" i="4"/>
  <c r="G51" i="4"/>
  <c r="G46" i="4"/>
  <c r="L48" i="4"/>
  <c r="L54" i="4"/>
  <c r="G50" i="4"/>
  <c r="G52" i="4"/>
  <c r="G58" i="4"/>
  <c r="G64" i="4"/>
  <c r="G70" i="4"/>
  <c r="G56" i="4"/>
  <c r="G62" i="4"/>
  <c r="G68" i="4"/>
  <c r="G57" i="4"/>
  <c r="G63" i="4"/>
  <c r="L60" i="4"/>
  <c r="L66" i="4"/>
  <c r="G66" i="4"/>
  <c r="G69" i="4"/>
  <c r="F1" i="5"/>
  <c r="J5" i="13" s="1"/>
  <c r="B2" i="5"/>
  <c r="B3" i="5"/>
  <c r="B6" i="5"/>
  <c r="B7" i="5"/>
  <c r="B8" i="5"/>
  <c r="B9" i="5"/>
  <c r="B10" i="5"/>
  <c r="B11" i="5"/>
  <c r="B12" i="5"/>
  <c r="B13" i="5"/>
  <c r="B14" i="5"/>
  <c r="B15" i="5"/>
  <c r="B48" i="5"/>
  <c r="B54" i="5"/>
  <c r="B60" i="5"/>
  <c r="B66" i="5"/>
  <c r="J27" i="5"/>
  <c r="G42" i="5"/>
  <c r="G43" i="5"/>
  <c r="G49" i="5"/>
  <c r="G55" i="5"/>
  <c r="G61" i="5"/>
  <c r="G67" i="5"/>
  <c r="G44" i="5"/>
  <c r="G50" i="5"/>
  <c r="G56" i="5"/>
  <c r="G62" i="5"/>
  <c r="G45" i="5"/>
  <c r="G46" i="5"/>
  <c r="G48" i="5"/>
  <c r="G54" i="5"/>
  <c r="G60" i="5"/>
  <c r="G66" i="5"/>
  <c r="L48" i="5"/>
  <c r="G51" i="5"/>
  <c r="G57" i="5"/>
  <c r="G63" i="5"/>
  <c r="G69" i="5"/>
  <c r="G52" i="5"/>
  <c r="L54" i="5"/>
  <c r="L60" i="5"/>
  <c r="L66" i="5"/>
  <c r="G58" i="5"/>
  <c r="G64" i="5"/>
  <c r="G70" i="5"/>
  <c r="G68" i="5"/>
  <c r="F1" i="6"/>
  <c r="B2" i="6"/>
  <c r="B3" i="6"/>
  <c r="B6" i="6"/>
  <c r="B7" i="6"/>
  <c r="B8" i="6"/>
  <c r="B9" i="6"/>
  <c r="B10" i="6"/>
  <c r="B11" i="6"/>
  <c r="B12" i="6"/>
  <c r="B13" i="6"/>
  <c r="B14" i="6"/>
  <c r="B15" i="6"/>
  <c r="B48" i="6"/>
  <c r="B54" i="6"/>
  <c r="B60" i="6"/>
  <c r="B66" i="6"/>
  <c r="J27" i="6"/>
  <c r="G42" i="6"/>
  <c r="G48" i="6"/>
  <c r="G54" i="6"/>
  <c r="G60" i="6"/>
  <c r="G66" i="6"/>
  <c r="G43" i="6"/>
  <c r="G49" i="6"/>
  <c r="G55" i="6"/>
  <c r="G61" i="6"/>
  <c r="G67" i="6"/>
  <c r="G44" i="6"/>
  <c r="G45" i="6"/>
  <c r="G51" i="6"/>
  <c r="G46" i="6"/>
  <c r="G52" i="6"/>
  <c r="G58" i="6"/>
  <c r="G64" i="6"/>
  <c r="G70" i="6"/>
  <c r="L48" i="6"/>
  <c r="L54" i="6"/>
  <c r="L60" i="6"/>
  <c r="L66" i="6"/>
  <c r="G50" i="6"/>
  <c r="G56" i="6"/>
  <c r="G62" i="6"/>
  <c r="G68" i="6"/>
  <c r="G57" i="6"/>
  <c r="G63" i="6"/>
  <c r="G69" i="6"/>
  <c r="F1" i="7"/>
  <c r="B2" i="7"/>
  <c r="B3" i="7"/>
  <c r="B6" i="7"/>
  <c r="B7" i="7"/>
  <c r="B8" i="7"/>
  <c r="B9" i="7"/>
  <c r="B10" i="7"/>
  <c r="B11" i="7"/>
  <c r="B12" i="7"/>
  <c r="B13" i="7"/>
  <c r="B14" i="7"/>
  <c r="B15" i="7"/>
  <c r="B48" i="7"/>
  <c r="B54" i="7"/>
  <c r="B60" i="7"/>
  <c r="B66" i="7"/>
  <c r="J27" i="7"/>
  <c r="G42" i="7"/>
  <c r="G43" i="7"/>
  <c r="G49" i="7"/>
  <c r="G44" i="7"/>
  <c r="G45" i="7"/>
  <c r="G51" i="7"/>
  <c r="G57" i="7"/>
  <c r="G63" i="7"/>
  <c r="G69" i="7"/>
  <c r="G46" i="7"/>
  <c r="G48" i="7"/>
  <c r="G54" i="7"/>
  <c r="G60" i="7"/>
  <c r="G66" i="7"/>
  <c r="L48" i="7"/>
  <c r="G50" i="7"/>
  <c r="G56" i="7"/>
  <c r="G62" i="7"/>
  <c r="G68" i="7"/>
  <c r="G52" i="7"/>
  <c r="G58" i="7"/>
  <c r="G64" i="7"/>
  <c r="G70" i="7"/>
  <c r="L54" i="7"/>
  <c r="L60" i="7"/>
  <c r="L66" i="7"/>
  <c r="G55" i="7"/>
  <c r="G61" i="7"/>
  <c r="G67" i="7"/>
  <c r="F1" i="8"/>
  <c r="B2" i="8"/>
  <c r="B3" i="8"/>
  <c r="B6" i="8"/>
  <c r="B7" i="8"/>
  <c r="B8" i="8"/>
  <c r="B9" i="8"/>
  <c r="B10" i="8"/>
  <c r="B11" i="8"/>
  <c r="B12" i="8"/>
  <c r="B13" i="8"/>
  <c r="B14" i="8"/>
  <c r="B15" i="8"/>
  <c r="B48" i="8"/>
  <c r="B54" i="8"/>
  <c r="B60" i="8"/>
  <c r="B66" i="8"/>
  <c r="J27" i="8"/>
  <c r="G42" i="8"/>
  <c r="G43" i="8"/>
  <c r="G44" i="8"/>
  <c r="G45" i="8"/>
  <c r="G46" i="8"/>
  <c r="G52" i="8"/>
  <c r="G48" i="8"/>
  <c r="G54" i="8"/>
  <c r="G60" i="8"/>
  <c r="G66" i="8"/>
  <c r="L48" i="8"/>
  <c r="G49" i="8"/>
  <c r="G55" i="8"/>
  <c r="G50" i="8"/>
  <c r="G51" i="8"/>
  <c r="G57" i="8"/>
  <c r="G63" i="8"/>
  <c r="G69" i="8"/>
  <c r="L54" i="8"/>
  <c r="L60" i="8"/>
  <c r="L66" i="8"/>
  <c r="G56" i="8"/>
  <c r="G62" i="8"/>
  <c r="G58" i="8"/>
  <c r="G64" i="8"/>
  <c r="G70" i="8"/>
  <c r="G61" i="8"/>
  <c r="G67" i="8"/>
  <c r="G68" i="8"/>
  <c r="E3" i="9"/>
  <c r="B4" i="9"/>
  <c r="E4" i="9"/>
  <c r="B5" i="9"/>
  <c r="D6" i="9"/>
  <c r="E6" i="9"/>
  <c r="G6" i="9"/>
  <c r="H6" i="9"/>
  <c r="I6" i="9"/>
  <c r="B18" i="9"/>
  <c r="E2" i="10"/>
  <c r="D18" i="10" s="1"/>
  <c r="F2" i="10"/>
  <c r="G2" i="10"/>
  <c r="H2" i="10"/>
  <c r="G18" i="10" s="1"/>
  <c r="I2" i="10"/>
  <c r="H18" i="10" s="1"/>
  <c r="J2" i="10"/>
  <c r="B3" i="10"/>
  <c r="F15" i="10"/>
  <c r="B16" i="10"/>
  <c r="F16" i="10"/>
  <c r="B17" i="10"/>
  <c r="C18" i="10"/>
  <c r="E18" i="10"/>
  <c r="F18" i="10"/>
  <c r="I18" i="10"/>
  <c r="J18" i="10"/>
  <c r="B30" i="10"/>
  <c r="A15" i="11"/>
  <c r="M66" i="8"/>
  <c r="F27" i="8"/>
  <c r="F27" i="7"/>
  <c r="M66" i="7"/>
  <c r="F27" i="4"/>
  <c r="M66" i="4"/>
  <c r="F27" i="6"/>
  <c r="M66" i="6"/>
  <c r="M66" i="5"/>
  <c r="F27" i="5"/>
  <c r="F27" i="3"/>
  <c r="M66" i="3"/>
  <c r="M66" i="2"/>
  <c r="F6" i="9" l="1"/>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B12" i="1"/>
  <c r="N11" i="6"/>
  <c r="J3" i="10"/>
  <c r="E6" i="7"/>
  <c r="N11" i="3"/>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B13" i="1"/>
  <c r="E14" i="2"/>
  <c r="N14" i="2" s="1"/>
  <c r="E6" i="6"/>
  <c r="I3" i="10"/>
  <c r="E8" i="2"/>
  <c r="N9" i="3"/>
  <c r="C14" i="2"/>
  <c r="P14" i="2" s="1"/>
  <c r="C14" i="5"/>
  <c r="P14" i="5" s="1"/>
  <c r="C14" i="7"/>
  <c r="P14" i="7" s="1"/>
  <c r="C14" i="6"/>
  <c r="P14" i="6" s="1"/>
  <c r="C14" i="3"/>
  <c r="P14" i="3" s="1"/>
  <c r="C14" i="4"/>
  <c r="P14" i="4" s="1"/>
  <c r="C14" i="8"/>
  <c r="P14" i="8" s="1"/>
  <c r="D12" i="13"/>
  <c r="D46" i="7"/>
  <c r="N12" i="6"/>
  <c r="H3" i="10"/>
  <c r="E6" i="5"/>
  <c r="C7" i="3"/>
  <c r="C7" i="5"/>
  <c r="C7" i="2"/>
  <c r="C7" i="4"/>
  <c r="C7" i="7"/>
  <c r="C7" i="8"/>
  <c r="C7" i="6"/>
  <c r="N7" i="3"/>
  <c r="C10" i="3"/>
  <c r="P10" i="3" s="1"/>
  <c r="C10" i="4"/>
  <c r="P10" i="4" s="1"/>
  <c r="C10" i="8"/>
  <c r="P10" i="8" s="1"/>
  <c r="C10" i="5"/>
  <c r="P10" i="5" s="1"/>
  <c r="C10" i="2"/>
  <c r="P10" i="2" s="1"/>
  <c r="C10" i="7"/>
  <c r="P10" i="7" s="1"/>
  <c r="C10" i="6"/>
  <c r="P10" i="6" s="1"/>
  <c r="G3" i="10"/>
  <c r="E6" i="3"/>
  <c r="N8" i="5"/>
  <c r="C13" i="2"/>
  <c r="P13" i="2" s="1"/>
  <c r="C13" i="6"/>
  <c r="P13" i="6" s="1"/>
  <c r="C13" i="3"/>
  <c r="P13" i="3" s="1"/>
  <c r="C13" i="5"/>
  <c r="P13" i="5" s="1"/>
  <c r="C13" i="4"/>
  <c r="P13" i="4" s="1"/>
  <c r="C13" i="7"/>
  <c r="P13" i="7" s="1"/>
  <c r="C13" i="8"/>
  <c r="P13" i="8" s="1"/>
  <c r="N9" i="5"/>
  <c r="E10" i="2"/>
  <c r="J12" i="1"/>
  <c r="J13" i="16" s="1"/>
  <c r="E12" i="2"/>
  <c r="D43" i="7"/>
  <c r="J6" i="1"/>
  <c r="E6" i="2"/>
  <c r="D42" i="2" s="1"/>
  <c r="D48" i="2" s="1"/>
  <c r="D54" i="2" s="1"/>
  <c r="D60" i="2" s="1"/>
  <c r="D66" i="2" s="1"/>
  <c r="E3" i="10"/>
  <c r="F3" i="10"/>
  <c r="E6" i="4"/>
  <c r="J9" i="1"/>
  <c r="J10" i="16" s="1"/>
  <c r="E9" i="2"/>
  <c r="B9" i="1"/>
  <c r="C6" i="6"/>
  <c r="C6" i="7"/>
  <c r="D3" i="10"/>
  <c r="C6" i="3"/>
  <c r="C6" i="4"/>
  <c r="C6" i="5"/>
  <c r="C6" i="2"/>
  <c r="C6" i="8"/>
  <c r="C42" i="8" s="1"/>
  <c r="E7" i="2"/>
  <c r="D43" i="6"/>
  <c r="D44" i="6"/>
  <c r="N12" i="5"/>
  <c r="D16" i="13"/>
  <c r="C15" i="2"/>
  <c r="P15" i="2" s="1"/>
  <c r="C15" i="3"/>
  <c r="P15" i="3" s="1"/>
  <c r="C15" i="4"/>
  <c r="P15" i="4" s="1"/>
  <c r="C15" i="6"/>
  <c r="P15" i="6" s="1"/>
  <c r="C15" i="5"/>
  <c r="P15" i="5" s="1"/>
  <c r="C15" i="7"/>
  <c r="P15" i="7" s="1"/>
  <c r="C15" i="8"/>
  <c r="P15" i="8" s="1"/>
  <c r="N11" i="5"/>
  <c r="J7" i="16" l="1"/>
  <c r="P7" i="13"/>
  <c r="N8" i="3"/>
  <c r="N11" i="4"/>
  <c r="H16" i="1"/>
  <c r="M17" i="13" s="1"/>
  <c r="B16" i="1"/>
  <c r="N11" i="7"/>
  <c r="D46" i="3"/>
  <c r="N7" i="4"/>
  <c r="N12" i="4"/>
  <c r="O25" i="4" s="1"/>
  <c r="F16" i="1"/>
  <c r="C16" i="1"/>
  <c r="J16" i="1"/>
  <c r="G16" i="1"/>
  <c r="K17" i="13" s="1"/>
  <c r="E8" i="7"/>
  <c r="N9" i="13"/>
  <c r="E7" i="5"/>
  <c r="N7" i="5" s="1"/>
  <c r="J8" i="13"/>
  <c r="G16" i="9"/>
  <c r="H28" i="10" s="1"/>
  <c r="E9" i="8"/>
  <c r="N9" i="8" s="1"/>
  <c r="P10" i="13"/>
  <c r="E12" i="8"/>
  <c r="P13" i="13"/>
  <c r="B7" i="1"/>
  <c r="E10" i="3"/>
  <c r="N10" i="3" s="1"/>
  <c r="H11" i="13"/>
  <c r="E13" i="8"/>
  <c r="N13" i="8" s="1"/>
  <c r="P14" i="13"/>
  <c r="B15" i="1"/>
  <c r="E14" i="3"/>
  <c r="N14" i="3" s="1"/>
  <c r="H15" i="13"/>
  <c r="E8" i="4"/>
  <c r="F9" i="13"/>
  <c r="B8" i="1"/>
  <c r="L6" i="2"/>
  <c r="J14" i="1"/>
  <c r="J15" i="16" s="1"/>
  <c r="B11" i="1"/>
  <c r="B14" i="1"/>
  <c r="B10" i="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E43" i="7"/>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N8" i="4"/>
  <c r="D44" i="4"/>
  <c r="O7" i="2"/>
  <c r="D43" i="2"/>
  <c r="N7" i="2"/>
  <c r="F7" i="2"/>
  <c r="C42" i="5"/>
  <c r="Q7" i="5"/>
  <c r="Q7" i="3"/>
  <c r="C42" i="3"/>
  <c r="O7" i="4"/>
  <c r="D42" i="4"/>
  <c r="D48" i="4" s="1"/>
  <c r="D54" i="4" s="1"/>
  <c r="D60" i="4" s="1"/>
  <c r="D66" i="4" s="1"/>
  <c r="F7" i="4" s="1"/>
  <c r="N12" i="8"/>
  <c r="D46" i="8"/>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O7" i="5"/>
  <c r="D42" i="5"/>
  <c r="D48" i="5" s="1"/>
  <c r="D54" i="5" s="1"/>
  <c r="D60" i="5" s="1"/>
  <c r="D66" i="5" s="1"/>
  <c r="J8" i="1"/>
  <c r="J9" i="16" s="1"/>
  <c r="O7" i="6"/>
  <c r="D42" i="6"/>
  <c r="D48" i="6" s="1"/>
  <c r="D54" i="6" s="1"/>
  <c r="D60" i="6" s="1"/>
  <c r="D66" i="6" s="1"/>
  <c r="F7" i="6" s="1"/>
  <c r="P12" i="4"/>
  <c r="C46" i="4"/>
  <c r="E46" i="4" s="1"/>
  <c r="P8" i="4"/>
  <c r="C44" i="4"/>
  <c r="C44" i="3"/>
  <c r="E44" i="3" s="1"/>
  <c r="P8" i="3"/>
  <c r="I16" i="1"/>
  <c r="O17" i="13" s="1"/>
  <c r="D43" i="5"/>
  <c r="C46" i="2"/>
  <c r="P12" i="2"/>
  <c r="N8" i="7"/>
  <c r="D44" i="7"/>
  <c r="P7" i="3"/>
  <c r="C43" i="3"/>
  <c r="E43" i="3" s="1"/>
  <c r="O25" i="6"/>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17" i="13" l="1"/>
  <c r="E17" i="16"/>
  <c r="G17" i="13"/>
  <c r="G17" i="16"/>
  <c r="Q17" i="13"/>
  <c r="K17" i="16"/>
  <c r="C17" i="13"/>
  <c r="C17" i="16"/>
  <c r="I17" i="13"/>
  <c r="I17" i="16"/>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46" i="8"/>
  <c r="D52" i="8" s="1"/>
  <c r="E26" i="10"/>
  <c r="E43" i="5"/>
  <c r="D49" i="5" s="1"/>
  <c r="D24" i="10"/>
  <c r="L50" i="3"/>
  <c r="C50" i="3"/>
  <c r="B50" i="3"/>
  <c r="D50" i="3"/>
  <c r="P11" i="7"/>
  <c r="C45" i="7"/>
  <c r="E45" i="7" s="1"/>
  <c r="L52" i="3"/>
  <c r="B52" i="3"/>
  <c r="D52" i="3"/>
  <c r="L52" i="7"/>
  <c r="C52" i="7"/>
  <c r="B52" i="7"/>
  <c r="D52" i="7"/>
  <c r="C45" i="6"/>
  <c r="E45" i="6" s="1"/>
  <c r="P11" i="6"/>
  <c r="P11" i="8"/>
  <c r="C45" i="8"/>
  <c r="L52" i="5"/>
  <c r="B52" i="5"/>
  <c r="D52" i="5"/>
  <c r="C48" i="6"/>
  <c r="E42" i="6"/>
  <c r="R7" i="6"/>
  <c r="S7" i="6" s="1"/>
  <c r="U7" i="6" s="1"/>
  <c r="J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B52" i="8"/>
  <c r="D45" i="2"/>
  <c r="N11" i="2"/>
  <c r="E21" i="10"/>
  <c r="F19" i="10"/>
  <c r="G9" i="7"/>
  <c r="G11" i="7"/>
  <c r="G15" i="7"/>
  <c r="G12" i="7"/>
  <c r="G8" i="7"/>
  <c r="G10" i="7"/>
  <c r="G13" i="7"/>
  <c r="G7" i="7"/>
  <c r="G14" i="7"/>
  <c r="E44" i="2"/>
  <c r="P11" i="4"/>
  <c r="C45" i="4"/>
  <c r="E45" i="4" s="1"/>
  <c r="K7" i="6"/>
  <c r="K7" i="3"/>
  <c r="R7" i="5"/>
  <c r="S7" i="5" s="1"/>
  <c r="K7" i="5"/>
  <c r="T7" i="5"/>
  <c r="T7" i="4"/>
  <c r="B49" i="2"/>
  <c r="D22" i="10"/>
  <c r="I27" i="10"/>
  <c r="F27" i="10"/>
  <c r="C27" i="10"/>
  <c r="H27" i="10"/>
  <c r="E27" i="10"/>
  <c r="H24" i="10"/>
  <c r="I24" i="10"/>
  <c r="C24" i="10"/>
  <c r="G24" i="10"/>
  <c r="G25" i="10"/>
  <c r="K7" i="7"/>
  <c r="E42" i="3"/>
  <c r="C48" i="3"/>
  <c r="I20" i="10"/>
  <c r="B52" i="6"/>
  <c r="D52" i="6"/>
  <c r="L52" i="6"/>
  <c r="C52" i="6"/>
  <c r="N11" i="8"/>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L50" i="4"/>
  <c r="C50" i="4"/>
  <c r="B50" i="5"/>
  <c r="D50" i="5"/>
  <c r="L50" i="5"/>
  <c r="C50" i="5"/>
  <c r="C49" i="7"/>
  <c r="D49" i="7"/>
  <c r="B49" i="7"/>
  <c r="L49" i="7"/>
  <c r="E19" i="10"/>
  <c r="F25" i="10"/>
  <c r="C45" i="3"/>
  <c r="E45" i="3" s="1"/>
  <c r="P11" i="3"/>
  <c r="C45" i="2"/>
  <c r="E45" i="2" s="1"/>
  <c r="P11" i="2"/>
  <c r="G8" i="5"/>
  <c r="G14" i="5"/>
  <c r="G11" i="5"/>
  <c r="G7" i="5"/>
  <c r="G12" i="5"/>
  <c r="G10" i="5"/>
  <c r="G13" i="5"/>
  <c r="G9" i="5"/>
  <c r="G15" i="5"/>
  <c r="O25" i="2"/>
  <c r="C49" i="3"/>
  <c r="D49" i="3"/>
  <c r="L49" i="3"/>
  <c r="B49" i="3"/>
  <c r="E46" i="2"/>
  <c r="D52" i="4"/>
  <c r="L52" i="4"/>
  <c r="B52" i="4"/>
  <c r="C52" i="4"/>
  <c r="D44" i="8"/>
  <c r="E44" i="8" s="1"/>
  <c r="L49" i="6"/>
  <c r="C49" i="6"/>
  <c r="D49" i="6"/>
  <c r="B49" i="6"/>
  <c r="D23" i="10"/>
  <c r="C48" i="7"/>
  <c r="E42" i="7"/>
  <c r="C54" i="8"/>
  <c r="E48" i="8"/>
  <c r="H26" i="10"/>
  <c r="D26" i="10"/>
  <c r="I26" i="10"/>
  <c r="C26" i="10"/>
  <c r="E20" i="10"/>
  <c r="C20" i="10"/>
  <c r="G20" i="10"/>
  <c r="H20" i="10"/>
  <c r="D20" i="10"/>
  <c r="O7" i="8"/>
  <c r="D43" i="8"/>
  <c r="E43" i="8" s="1"/>
  <c r="N7" i="8"/>
  <c r="G23" i="10"/>
  <c r="G19" i="10"/>
  <c r="E44" i="7"/>
  <c r="H23" i="10"/>
  <c r="E22" i="10"/>
  <c r="E25" i="10"/>
  <c r="F20" i="10"/>
  <c r="L49" i="5" l="1"/>
  <c r="L49" i="2"/>
  <c r="D49" i="2"/>
  <c r="U7" i="5"/>
  <c r="J7" i="5" s="1"/>
  <c r="M7" i="5" s="1"/>
  <c r="U7" i="7"/>
  <c r="J7" i="7" s="1"/>
  <c r="M7" i="7" s="1"/>
  <c r="B50" i="4"/>
  <c r="U7" i="4"/>
  <c r="J7" i="4" s="1"/>
  <c r="M7" i="4" s="1"/>
  <c r="U7" i="3"/>
  <c r="J7" i="3" s="1"/>
  <c r="M7" i="3" s="1"/>
  <c r="C52" i="3"/>
  <c r="E52" i="3" s="1"/>
  <c r="C52" i="5"/>
  <c r="B49" i="5"/>
  <c r="C49" i="5"/>
  <c r="E49" i="5" s="1"/>
  <c r="E49" i="4"/>
  <c r="C55" i="4" s="1"/>
  <c r="F9" i="9"/>
  <c r="K10" i="13"/>
  <c r="F10" i="9"/>
  <c r="K11" i="13"/>
  <c r="F14" i="9"/>
  <c r="K15" i="13"/>
  <c r="U7" i="2"/>
  <c r="J7" i="2" s="1"/>
  <c r="M7" i="2" s="1"/>
  <c r="H14" i="9"/>
  <c r="O15" i="13"/>
  <c r="H8" i="9"/>
  <c r="O9" i="13"/>
  <c r="H9" i="9"/>
  <c r="O10" i="13"/>
  <c r="C52" i="8"/>
  <c r="E52" i="8" s="1"/>
  <c r="F15" i="9"/>
  <c r="K16" i="13"/>
  <c r="F12" i="9"/>
  <c r="K13" i="13"/>
  <c r="F8" i="9"/>
  <c r="K9" i="13"/>
  <c r="H7" i="9"/>
  <c r="O8" i="13"/>
  <c r="H12" i="9"/>
  <c r="O13" i="13"/>
  <c r="L52" i="8"/>
  <c r="H15" i="9"/>
  <c r="O16" i="13"/>
  <c r="F7" i="9"/>
  <c r="K8" i="13"/>
  <c r="H13" i="9"/>
  <c r="O14" i="13"/>
  <c r="E52" i="4"/>
  <c r="E49" i="3"/>
  <c r="D55" i="3" s="1"/>
  <c r="F13" i="9"/>
  <c r="K14" i="13"/>
  <c r="F11" i="9"/>
  <c r="K12" i="13"/>
  <c r="H10" i="9"/>
  <c r="O11" i="13"/>
  <c r="H11" i="9"/>
  <c r="O12" i="13"/>
  <c r="E50" i="5"/>
  <c r="L56" i="5" s="1"/>
  <c r="E50" i="4"/>
  <c r="C56" i="4" s="1"/>
  <c r="E45" i="8"/>
  <c r="D51" i="8" s="1"/>
  <c r="E50" i="3"/>
  <c r="C56" i="3" s="1"/>
  <c r="B52" i="2"/>
  <c r="D52" i="2"/>
  <c r="C52" i="2"/>
  <c r="L52" i="2"/>
  <c r="L51" i="2"/>
  <c r="D51" i="2"/>
  <c r="C51" i="2"/>
  <c r="B51" i="2"/>
  <c r="E48" i="4"/>
  <c r="C54" i="4"/>
  <c r="C54" i="2"/>
  <c r="E48" i="2"/>
  <c r="C54" i="3"/>
  <c r="E48" i="3"/>
  <c r="L7" i="5"/>
  <c r="Q8" i="16" s="1"/>
  <c r="L51" i="4"/>
  <c r="D51" i="4"/>
  <c r="C51" i="4"/>
  <c r="B51" i="4"/>
  <c r="C51" i="7"/>
  <c r="B51" i="7"/>
  <c r="L51" i="7"/>
  <c r="D51" i="7"/>
  <c r="L50" i="7"/>
  <c r="B50" i="7"/>
  <c r="D50" i="7"/>
  <c r="C50" i="7"/>
  <c r="C60" i="8"/>
  <c r="E54" i="8"/>
  <c r="B49" i="8"/>
  <c r="D49" i="8"/>
  <c r="L49" i="8"/>
  <c r="C49" i="8"/>
  <c r="L51" i="5"/>
  <c r="B51" i="5"/>
  <c r="C51" i="5"/>
  <c r="D51" i="5"/>
  <c r="M7" i="6"/>
  <c r="G7" i="6" s="1"/>
  <c r="G7" i="9" s="1"/>
  <c r="L7" i="6"/>
  <c r="R8" i="16" s="1"/>
  <c r="T7" i="8"/>
  <c r="R7" i="8"/>
  <c r="S7" i="8" s="1"/>
  <c r="K7" i="8"/>
  <c r="C50" i="8"/>
  <c r="L50" i="8"/>
  <c r="B50" i="8"/>
  <c r="D50" i="8"/>
  <c r="B51" i="3"/>
  <c r="D51" i="3"/>
  <c r="C51" i="3"/>
  <c r="L51" i="3"/>
  <c r="L58" i="3" s="1"/>
  <c r="E52" i="6"/>
  <c r="E49" i="2"/>
  <c r="L50" i="2"/>
  <c r="C50" i="2"/>
  <c r="D50" i="2"/>
  <c r="B50" i="2"/>
  <c r="E50" i="6"/>
  <c r="E52" i="7"/>
  <c r="C54" i="7"/>
  <c r="E48" i="7"/>
  <c r="E49" i="6"/>
  <c r="E49" i="7"/>
  <c r="E48" i="5"/>
  <c r="C54" i="5"/>
  <c r="C54" i="6"/>
  <c r="E48" i="6"/>
  <c r="E52" i="5"/>
  <c r="C58" i="5" s="1"/>
  <c r="B51" i="6"/>
  <c r="D51" i="6"/>
  <c r="C51" i="6"/>
  <c r="L51" i="6"/>
  <c r="D55" i="4" l="1"/>
  <c r="M8" i="13"/>
  <c r="L7" i="7"/>
  <c r="Q7" i="9" s="1"/>
  <c r="C58" i="4"/>
  <c r="L7" i="3"/>
  <c r="P8" i="16" s="1"/>
  <c r="B51" i="8"/>
  <c r="B58" i="8" s="1"/>
  <c r="C58" i="3"/>
  <c r="D58" i="3"/>
  <c r="E58" i="3" s="1"/>
  <c r="B58" i="3"/>
  <c r="L7" i="4"/>
  <c r="O8" i="16" s="1"/>
  <c r="E50" i="2"/>
  <c r="L55" i="3"/>
  <c r="D58" i="8"/>
  <c r="C55" i="3"/>
  <c r="E55" i="3" s="1"/>
  <c r="L51" i="8"/>
  <c r="L58" i="8"/>
  <c r="B58" i="4"/>
  <c r="B55" i="4"/>
  <c r="L55" i="5"/>
  <c r="B55" i="5"/>
  <c r="C55" i="5"/>
  <c r="D55" i="5"/>
  <c r="L56" i="2"/>
  <c r="E51" i="3"/>
  <c r="B57" i="3" s="1"/>
  <c r="U7" i="8"/>
  <c r="J7" i="8" s="1"/>
  <c r="M7" i="8" s="1"/>
  <c r="L56" i="3"/>
  <c r="E51" i="4"/>
  <c r="D57" i="4" s="1"/>
  <c r="B55" i="3"/>
  <c r="B56" i="5"/>
  <c r="D56" i="3"/>
  <c r="L55" i="4"/>
  <c r="C56" i="5"/>
  <c r="L7" i="2"/>
  <c r="N8" i="16" s="1"/>
  <c r="D56" i="5"/>
  <c r="B56" i="3"/>
  <c r="C51" i="8"/>
  <c r="E51" i="8" s="1"/>
  <c r="B56" i="4"/>
  <c r="P7" i="9"/>
  <c r="X8" i="13"/>
  <c r="O7" i="9"/>
  <c r="W8" i="13"/>
  <c r="L58" i="4"/>
  <c r="D58" i="4"/>
  <c r="E58" i="4" s="1"/>
  <c r="D56" i="4"/>
  <c r="E56" i="4" s="1"/>
  <c r="U8" i="13"/>
  <c r="N7" i="9"/>
  <c r="V8" i="13"/>
  <c r="L56" i="4"/>
  <c r="E56" i="3"/>
  <c r="L62" i="3" s="1"/>
  <c r="E51" i="6"/>
  <c r="L57" i="6" s="1"/>
  <c r="E51" i="7"/>
  <c r="C57" i="7" s="1"/>
  <c r="C58" i="7"/>
  <c r="L58" i="7"/>
  <c r="B58" i="7"/>
  <c r="D58" i="7"/>
  <c r="C56" i="2"/>
  <c r="B56" i="2"/>
  <c r="B58" i="5"/>
  <c r="D55" i="7"/>
  <c r="B55" i="7"/>
  <c r="L55" i="7"/>
  <c r="C55" i="7"/>
  <c r="L55" i="6"/>
  <c r="C55" i="6"/>
  <c r="B55" i="6"/>
  <c r="D55" i="6"/>
  <c r="L56" i="6"/>
  <c r="B56" i="6"/>
  <c r="D56" i="6"/>
  <c r="C56" i="6"/>
  <c r="L58" i="5"/>
  <c r="E50" i="7"/>
  <c r="C60" i="2"/>
  <c r="E54" i="2"/>
  <c r="C60" i="6"/>
  <c r="E54" i="6"/>
  <c r="C55" i="2"/>
  <c r="D55" i="2"/>
  <c r="B55" i="2"/>
  <c r="L55" i="2"/>
  <c r="D58" i="5"/>
  <c r="E58" i="5" s="1"/>
  <c r="E49" i="8"/>
  <c r="D56" i="2"/>
  <c r="E55" i="4"/>
  <c r="C60" i="4"/>
  <c r="E54" i="4"/>
  <c r="C60" i="5"/>
  <c r="E54" i="5"/>
  <c r="E54" i="7"/>
  <c r="C60" i="7"/>
  <c r="B58" i="6"/>
  <c r="D58" i="6"/>
  <c r="C58" i="6"/>
  <c r="L58" i="6"/>
  <c r="E50" i="8"/>
  <c r="E51" i="5"/>
  <c r="E60" i="8"/>
  <c r="C66" i="8"/>
  <c r="C60" i="3"/>
  <c r="E54" i="3"/>
  <c r="E51" i="2"/>
  <c r="E52" i="2"/>
  <c r="S8" i="16" l="1"/>
  <c r="Y8" i="13"/>
  <c r="D57" i="6"/>
  <c r="M7" i="9"/>
  <c r="T8" i="13"/>
  <c r="E56" i="5"/>
  <c r="C62" i="5" s="1"/>
  <c r="C57" i="4"/>
  <c r="B57" i="4"/>
  <c r="C57" i="3"/>
  <c r="B57" i="7"/>
  <c r="L57" i="4"/>
  <c r="L64" i="4" s="1"/>
  <c r="B57" i="6"/>
  <c r="C58" i="8"/>
  <c r="E58" i="8" s="1"/>
  <c r="C57" i="6"/>
  <c r="E57" i="6" s="1"/>
  <c r="L57" i="3"/>
  <c r="L64" i="3" s="1"/>
  <c r="E55" i="5"/>
  <c r="D61" i="5" s="1"/>
  <c r="B62" i="4"/>
  <c r="L62" i="4"/>
  <c r="C62" i="4"/>
  <c r="C62" i="3"/>
  <c r="D57" i="3"/>
  <c r="E57" i="3" s="1"/>
  <c r="L7" i="9"/>
  <c r="L7" i="8"/>
  <c r="T8" i="16" s="1"/>
  <c r="B62" i="3"/>
  <c r="B57" i="8"/>
  <c r="C57" i="8"/>
  <c r="L57" i="8"/>
  <c r="D57" i="8"/>
  <c r="E58" i="6"/>
  <c r="D64" i="6" s="1"/>
  <c r="D62" i="4"/>
  <c r="L57" i="7"/>
  <c r="D62" i="3"/>
  <c r="D57" i="7"/>
  <c r="E57" i="7" s="1"/>
  <c r="C57" i="2"/>
  <c r="D57" i="2"/>
  <c r="L57" i="2"/>
  <c r="B57" i="2"/>
  <c r="L56" i="8"/>
  <c r="B56" i="8"/>
  <c r="C56" i="8"/>
  <c r="D56" i="8"/>
  <c r="E60" i="5"/>
  <c r="C66" i="5"/>
  <c r="C66" i="4"/>
  <c r="E60" i="4"/>
  <c r="B55" i="8"/>
  <c r="L55" i="8"/>
  <c r="D55" i="8"/>
  <c r="C55" i="8"/>
  <c r="C64" i="3"/>
  <c r="B64" i="3"/>
  <c r="B62" i="5"/>
  <c r="D62" i="5"/>
  <c r="L62" i="5"/>
  <c r="E66" i="8"/>
  <c r="D7" i="8"/>
  <c r="G7" i="8" s="1"/>
  <c r="K8" i="16" s="1"/>
  <c r="E60" i="7"/>
  <c r="C66" i="7"/>
  <c r="C64" i="4"/>
  <c r="B64" i="4"/>
  <c r="D61" i="4"/>
  <c r="B61" i="4"/>
  <c r="L61" i="4"/>
  <c r="C61" i="4"/>
  <c r="E55" i="2"/>
  <c r="D64" i="4"/>
  <c r="D56" i="7"/>
  <c r="B56" i="7"/>
  <c r="C56" i="7"/>
  <c r="L56" i="7"/>
  <c r="D61" i="3"/>
  <c r="L61" i="3"/>
  <c r="C61" i="3"/>
  <c r="B61" i="3"/>
  <c r="E57" i="4"/>
  <c r="L58" i="2"/>
  <c r="C58" i="2"/>
  <c r="B58" i="2"/>
  <c r="D58" i="2"/>
  <c r="C66" i="3"/>
  <c r="E60" i="3"/>
  <c r="D57" i="5"/>
  <c r="D64" i="5" s="1"/>
  <c r="L57" i="5"/>
  <c r="L64" i="5" s="1"/>
  <c r="B57" i="5"/>
  <c r="B64" i="5" s="1"/>
  <c r="C57" i="5"/>
  <c r="C64" i="5" s="1"/>
  <c r="C66" i="6"/>
  <c r="E60" i="6"/>
  <c r="C66" i="2"/>
  <c r="E60" i="2"/>
  <c r="E56" i="6"/>
  <c r="E55" i="6"/>
  <c r="E55" i="7"/>
  <c r="E56" i="2"/>
  <c r="E58" i="7"/>
  <c r="R7" i="9" l="1"/>
  <c r="D64" i="8"/>
  <c r="L64" i="6"/>
  <c r="L64" i="8"/>
  <c r="E57" i="2"/>
  <c r="C63" i="2" s="1"/>
  <c r="L61" i="5"/>
  <c r="L63" i="3"/>
  <c r="B63" i="6"/>
  <c r="C63" i="6"/>
  <c r="E64" i="5"/>
  <c r="D64" i="3"/>
  <c r="E64" i="3" s="1"/>
  <c r="C64" i="6"/>
  <c r="E64" i="6" s="1"/>
  <c r="Z8" i="13"/>
  <c r="C64" i="8"/>
  <c r="B64" i="8"/>
  <c r="E62" i="4"/>
  <c r="C68" i="4" s="1"/>
  <c r="B61" i="5"/>
  <c r="C61" i="5"/>
  <c r="E61" i="5" s="1"/>
  <c r="B63" i="3"/>
  <c r="E62" i="3"/>
  <c r="C68" i="3" s="1"/>
  <c r="E57" i="8"/>
  <c r="B63" i="8" s="1"/>
  <c r="D63" i="3"/>
  <c r="D63" i="6"/>
  <c r="L63" i="6"/>
  <c r="B64" i="6"/>
  <c r="D63" i="7"/>
  <c r="B63" i="7"/>
  <c r="L63" i="7"/>
  <c r="E61" i="3"/>
  <c r="D67" i="3" s="1"/>
  <c r="I7" i="9"/>
  <c r="Q8" i="13"/>
  <c r="E64" i="4"/>
  <c r="E55" i="8"/>
  <c r="D61" i="8" s="1"/>
  <c r="C63" i="7"/>
  <c r="E63" i="7" s="1"/>
  <c r="C63" i="3"/>
  <c r="B62" i="2"/>
  <c r="C62" i="2"/>
  <c r="D62" i="2"/>
  <c r="L63" i="4"/>
  <c r="C63" i="4"/>
  <c r="B63" i="4"/>
  <c r="D63" i="4"/>
  <c r="C67" i="5"/>
  <c r="D67" i="5"/>
  <c r="C61" i="7"/>
  <c r="L61" i="7"/>
  <c r="B61" i="7"/>
  <c r="D61" i="7"/>
  <c r="D7" i="2"/>
  <c r="G7" i="2" s="1"/>
  <c r="E8" i="16" s="1"/>
  <c r="E66" i="2"/>
  <c r="L62" i="2"/>
  <c r="E66" i="7"/>
  <c r="D7" i="7"/>
  <c r="C61" i="6"/>
  <c r="D61" i="6"/>
  <c r="B61" i="6"/>
  <c r="L61" i="6"/>
  <c r="E57" i="5"/>
  <c r="E58" i="2"/>
  <c r="E56" i="7"/>
  <c r="C61" i="2"/>
  <c r="B61" i="2"/>
  <c r="L61" i="2"/>
  <c r="D61" i="2"/>
  <c r="E66" i="4"/>
  <c r="D7" i="4"/>
  <c r="G7" i="4" s="1"/>
  <c r="G8" i="16" s="1"/>
  <c r="E56" i="8"/>
  <c r="D64" i="7"/>
  <c r="C64" i="7"/>
  <c r="B64" i="7"/>
  <c r="L64" i="7"/>
  <c r="L68" i="4"/>
  <c r="L62" i="6"/>
  <c r="C62" i="6"/>
  <c r="B62" i="6"/>
  <c r="D62" i="6"/>
  <c r="D7" i="6"/>
  <c r="E66" i="6"/>
  <c r="D7" i="3"/>
  <c r="G7" i="3" s="1"/>
  <c r="I8" i="16" s="1"/>
  <c r="E66" i="3"/>
  <c r="E61" i="4"/>
  <c r="E62" i="5"/>
  <c r="E66" i="5"/>
  <c r="D7" i="5"/>
  <c r="D70" i="3" l="1"/>
  <c r="B68" i="4"/>
  <c r="E7" i="9"/>
  <c r="I8" i="13"/>
  <c r="D68" i="4"/>
  <c r="O11" i="4" s="1"/>
  <c r="E61" i="7"/>
  <c r="B68" i="3"/>
  <c r="M68" i="3" s="1"/>
  <c r="L67" i="3"/>
  <c r="L68" i="3"/>
  <c r="Q11" i="3" s="1"/>
  <c r="C61" i="8"/>
  <c r="C67" i="3"/>
  <c r="E67" i="3" s="1"/>
  <c r="B61" i="8"/>
  <c r="B67" i="3"/>
  <c r="L61" i="8"/>
  <c r="C70" i="4"/>
  <c r="D13" i="4" s="1"/>
  <c r="B70" i="4"/>
  <c r="F34" i="4" s="1"/>
  <c r="D63" i="8"/>
  <c r="L63" i="8"/>
  <c r="B63" i="2"/>
  <c r="L63" i="2"/>
  <c r="D63" i="2"/>
  <c r="E64" i="8"/>
  <c r="L70" i="8" s="1"/>
  <c r="L70" i="4"/>
  <c r="D70" i="4"/>
  <c r="F14" i="4" s="1"/>
  <c r="B70" i="6"/>
  <c r="L70" i="6"/>
  <c r="E63" i="6"/>
  <c r="C69" i="6" s="1"/>
  <c r="B67" i="5"/>
  <c r="F28" i="5" s="1"/>
  <c r="D70" i="6"/>
  <c r="D70" i="8"/>
  <c r="F13" i="8" s="1"/>
  <c r="D68" i="3"/>
  <c r="F9" i="3" s="1"/>
  <c r="B70" i="3"/>
  <c r="M70" i="3" s="1"/>
  <c r="C70" i="3"/>
  <c r="D14" i="3" s="1"/>
  <c r="C63" i="8"/>
  <c r="E63" i="8" s="1"/>
  <c r="L67" i="5"/>
  <c r="L70" i="3"/>
  <c r="O14" i="3" s="1"/>
  <c r="C70" i="6"/>
  <c r="E70" i="6" s="1"/>
  <c r="E61" i="6"/>
  <c r="B67" i="6" s="1"/>
  <c r="D10" i="3"/>
  <c r="D9" i="3"/>
  <c r="D11" i="3"/>
  <c r="Q10" i="3"/>
  <c r="B69" i="7"/>
  <c r="F32" i="7" s="1"/>
  <c r="E63" i="3"/>
  <c r="C69" i="3" s="1"/>
  <c r="C7" i="9"/>
  <c r="E8" i="13"/>
  <c r="D7" i="9"/>
  <c r="G8" i="13"/>
  <c r="E64" i="7"/>
  <c r="D70" i="7" s="1"/>
  <c r="F13" i="7" s="1"/>
  <c r="E61" i="2"/>
  <c r="C67" i="2" s="1"/>
  <c r="F30" i="4"/>
  <c r="F29" i="4"/>
  <c r="M68" i="4"/>
  <c r="F31" i="4"/>
  <c r="B62" i="8"/>
  <c r="C62" i="8"/>
  <c r="L62" i="8"/>
  <c r="D62" i="8"/>
  <c r="O8" i="3"/>
  <c r="F8" i="3"/>
  <c r="O14" i="6"/>
  <c r="F14" i="6"/>
  <c r="F13" i="6"/>
  <c r="L68" i="5"/>
  <c r="C68" i="5"/>
  <c r="B68" i="5"/>
  <c r="D68" i="5"/>
  <c r="F9" i="4"/>
  <c r="O9" i="4"/>
  <c r="F11" i="4"/>
  <c r="D62" i="7"/>
  <c r="D69" i="7" s="1"/>
  <c r="B62" i="7"/>
  <c r="C62" i="7"/>
  <c r="C69" i="7" s="1"/>
  <c r="D12" i="7" s="1"/>
  <c r="L62" i="7"/>
  <c r="L69" i="7" s="1"/>
  <c r="F34" i="6"/>
  <c r="F33" i="6"/>
  <c r="M70" i="6"/>
  <c r="E63" i="2"/>
  <c r="B69" i="2" s="1"/>
  <c r="M70" i="4"/>
  <c r="C67" i="4"/>
  <c r="L67" i="4"/>
  <c r="D67" i="4"/>
  <c r="B67" i="4"/>
  <c r="E62" i="6"/>
  <c r="D9" i="4"/>
  <c r="Q10" i="4"/>
  <c r="Q11" i="4"/>
  <c r="E68" i="4"/>
  <c r="D10" i="4"/>
  <c r="Q9" i="4"/>
  <c r="D11" i="4"/>
  <c r="L64" i="2"/>
  <c r="D64" i="2"/>
  <c r="C64" i="2"/>
  <c r="B64" i="2"/>
  <c r="C67" i="6"/>
  <c r="E61" i="8"/>
  <c r="D8" i="3"/>
  <c r="Q8" i="3"/>
  <c r="C67" i="7"/>
  <c r="L67" i="7"/>
  <c r="D67" i="7"/>
  <c r="B67" i="7"/>
  <c r="E67" i="5"/>
  <c r="Q8" i="5"/>
  <c r="D8" i="5"/>
  <c r="F13" i="3"/>
  <c r="F14" i="3"/>
  <c r="E63" i="4"/>
  <c r="E62" i="2"/>
  <c r="B69" i="6"/>
  <c r="L69" i="6"/>
  <c r="D63" i="5"/>
  <c r="D70" i="5" s="1"/>
  <c r="F14" i="5" s="1"/>
  <c r="C63" i="5"/>
  <c r="C70" i="5" s="1"/>
  <c r="B63" i="5"/>
  <c r="B70" i="5" s="1"/>
  <c r="F33" i="5" s="1"/>
  <c r="L63" i="5"/>
  <c r="L70" i="5" s="1"/>
  <c r="F28" i="3"/>
  <c r="M67" i="3"/>
  <c r="O8" i="5"/>
  <c r="F8" i="5"/>
  <c r="Q14" i="4"/>
  <c r="O13" i="4" l="1"/>
  <c r="D69" i="3"/>
  <c r="F13" i="5"/>
  <c r="D69" i="6"/>
  <c r="F12" i="6" s="1"/>
  <c r="E70" i="4"/>
  <c r="O13" i="6"/>
  <c r="F33" i="3"/>
  <c r="F13" i="4"/>
  <c r="F33" i="4"/>
  <c r="F10" i="4"/>
  <c r="O10" i="4"/>
  <c r="M67" i="5"/>
  <c r="O11" i="3"/>
  <c r="T11" i="3" s="1"/>
  <c r="O14" i="4"/>
  <c r="T14" i="4" s="1"/>
  <c r="Q13" i="4"/>
  <c r="F30" i="3"/>
  <c r="O13" i="3"/>
  <c r="D13" i="3"/>
  <c r="Q9" i="3"/>
  <c r="O10" i="3"/>
  <c r="T10" i="3" s="1"/>
  <c r="E68" i="3"/>
  <c r="O9" i="3"/>
  <c r="F31" i="3"/>
  <c r="F29" i="3"/>
  <c r="D14" i="4"/>
  <c r="L70" i="7"/>
  <c r="O14" i="7" s="1"/>
  <c r="E70" i="3"/>
  <c r="Q14" i="6"/>
  <c r="R14" i="6" s="1"/>
  <c r="S14" i="6" s="1"/>
  <c r="M69" i="7"/>
  <c r="B69" i="3"/>
  <c r="C70" i="8"/>
  <c r="Q13" i="8" s="1"/>
  <c r="Q13" i="6"/>
  <c r="K13" i="6" s="1"/>
  <c r="B70" i="8"/>
  <c r="M70" i="8" s="1"/>
  <c r="O13" i="8"/>
  <c r="F14" i="8"/>
  <c r="R10" i="3"/>
  <c r="S10" i="3" s="1"/>
  <c r="O14" i="8"/>
  <c r="E64" i="2"/>
  <c r="L70" i="2" s="1"/>
  <c r="L67" i="6"/>
  <c r="R11" i="3"/>
  <c r="S11" i="3" s="1"/>
  <c r="U11" i="3" s="1"/>
  <c r="J11" i="3" s="1"/>
  <c r="M11" i="3" s="1"/>
  <c r="F10" i="3"/>
  <c r="F11" i="3"/>
  <c r="F34" i="3"/>
  <c r="D67" i="6"/>
  <c r="E67" i="6" s="1"/>
  <c r="Q13" i="3"/>
  <c r="R13" i="3" s="1"/>
  <c r="S13" i="3" s="1"/>
  <c r="K11" i="3"/>
  <c r="L69" i="3"/>
  <c r="Q12" i="3" s="1"/>
  <c r="M70" i="5"/>
  <c r="E70" i="5"/>
  <c r="Q13" i="5"/>
  <c r="D13" i="5"/>
  <c r="Q14" i="5"/>
  <c r="D14" i="5"/>
  <c r="O15" i="7"/>
  <c r="F12" i="7"/>
  <c r="F15" i="7"/>
  <c r="O13" i="5"/>
  <c r="O14" i="5"/>
  <c r="F35" i="7"/>
  <c r="Q14" i="3"/>
  <c r="R14" i="3" s="1"/>
  <c r="S14" i="3" s="1"/>
  <c r="F34" i="5"/>
  <c r="B70" i="7"/>
  <c r="D14" i="6"/>
  <c r="D13" i="6"/>
  <c r="C70" i="7"/>
  <c r="D14" i="7" s="1"/>
  <c r="F14" i="7"/>
  <c r="Q15" i="7"/>
  <c r="E63" i="5"/>
  <c r="C69" i="5" s="1"/>
  <c r="Q12" i="7"/>
  <c r="D67" i="2"/>
  <c r="E67" i="2" s="1"/>
  <c r="O12" i="7"/>
  <c r="D15" i="7"/>
  <c r="E69" i="7"/>
  <c r="B67" i="2"/>
  <c r="F28" i="2" s="1"/>
  <c r="O13" i="7"/>
  <c r="E62" i="7"/>
  <c r="C68" i="7" s="1"/>
  <c r="R9" i="4"/>
  <c r="S9" i="4" s="1"/>
  <c r="L67" i="2"/>
  <c r="R8" i="5"/>
  <c r="S8" i="5" s="1"/>
  <c r="T8" i="5"/>
  <c r="K8" i="5"/>
  <c r="M69" i="2"/>
  <c r="F35" i="2"/>
  <c r="F32" i="2"/>
  <c r="O12" i="6"/>
  <c r="B67" i="8"/>
  <c r="L67" i="8"/>
  <c r="D67" i="8"/>
  <c r="C67" i="8"/>
  <c r="M67" i="6"/>
  <c r="F28" i="6"/>
  <c r="L68" i="6"/>
  <c r="B68" i="6"/>
  <c r="D68" i="6"/>
  <c r="C68" i="6"/>
  <c r="E67" i="4"/>
  <c r="Q8" i="4"/>
  <c r="D8" i="4"/>
  <c r="L69" i="2"/>
  <c r="C69" i="2"/>
  <c r="D69" i="2"/>
  <c r="K9" i="4"/>
  <c r="T9" i="4"/>
  <c r="O11" i="5"/>
  <c r="O10" i="5"/>
  <c r="O9" i="5"/>
  <c r="F10" i="5"/>
  <c r="F9" i="5"/>
  <c r="F11" i="5"/>
  <c r="F8" i="2"/>
  <c r="F35" i="3"/>
  <c r="F32" i="3"/>
  <c r="M69" i="3"/>
  <c r="Q15" i="6"/>
  <c r="D12" i="6"/>
  <c r="Q12" i="6"/>
  <c r="D15" i="6"/>
  <c r="L68" i="2"/>
  <c r="D68" i="2"/>
  <c r="B68" i="2"/>
  <c r="C68" i="2"/>
  <c r="K14" i="4"/>
  <c r="E67" i="7"/>
  <c r="D8" i="7"/>
  <c r="Q8" i="7"/>
  <c r="D8" i="6"/>
  <c r="Q8" i="6"/>
  <c r="M67" i="4"/>
  <c r="F28" i="4"/>
  <c r="R11" i="4"/>
  <c r="S11" i="4" s="1"/>
  <c r="K11" i="4"/>
  <c r="T11" i="4"/>
  <c r="M68" i="5"/>
  <c r="F30" i="5"/>
  <c r="F29" i="5"/>
  <c r="F31" i="5"/>
  <c r="T8" i="3"/>
  <c r="K8" i="3"/>
  <c r="R8" i="3"/>
  <c r="S8" i="3" s="1"/>
  <c r="T15" i="7"/>
  <c r="R15" i="7"/>
  <c r="S15" i="7" s="1"/>
  <c r="D69" i="5"/>
  <c r="C69" i="4"/>
  <c r="L69" i="4"/>
  <c r="B69" i="4"/>
  <c r="D69" i="4"/>
  <c r="F28" i="7"/>
  <c r="M67" i="7"/>
  <c r="B70" i="2"/>
  <c r="O8" i="4"/>
  <c r="F8" i="4"/>
  <c r="D10" i="5"/>
  <c r="D9" i="5"/>
  <c r="E68" i="5"/>
  <c r="D11" i="5"/>
  <c r="Q10" i="5"/>
  <c r="Q9" i="5"/>
  <c r="Q11" i="5"/>
  <c r="D15" i="3"/>
  <c r="D12" i="3"/>
  <c r="E69" i="3"/>
  <c r="B69" i="8"/>
  <c r="C69" i="8"/>
  <c r="L69" i="8"/>
  <c r="D69" i="8"/>
  <c r="F35" i="6"/>
  <c r="M69" i="6"/>
  <c r="F32" i="6"/>
  <c r="T13" i="4"/>
  <c r="K13" i="4"/>
  <c r="R13" i="4"/>
  <c r="S13" i="4" s="1"/>
  <c r="O8" i="7"/>
  <c r="F8" i="7"/>
  <c r="U10" i="3"/>
  <c r="J10" i="3" s="1"/>
  <c r="F33" i="7"/>
  <c r="M70" i="7"/>
  <c r="F34" i="7"/>
  <c r="K10" i="4"/>
  <c r="T10" i="4"/>
  <c r="R10" i="4"/>
  <c r="S10" i="4" s="1"/>
  <c r="Q8" i="2"/>
  <c r="D8" i="2"/>
  <c r="F15" i="3"/>
  <c r="F12" i="3"/>
  <c r="E62" i="8"/>
  <c r="F15" i="6" l="1"/>
  <c r="R13" i="6"/>
  <c r="S13" i="6" s="1"/>
  <c r="F8" i="6"/>
  <c r="E69" i="6"/>
  <c r="O15" i="6"/>
  <c r="T13" i="6"/>
  <c r="O8" i="6"/>
  <c r="L68" i="7"/>
  <c r="B69" i="5"/>
  <c r="D68" i="7"/>
  <c r="K12" i="7"/>
  <c r="K15" i="7"/>
  <c r="L69" i="5"/>
  <c r="B68" i="7"/>
  <c r="T13" i="5"/>
  <c r="T12" i="7"/>
  <c r="K9" i="3"/>
  <c r="K10" i="3"/>
  <c r="R14" i="4"/>
  <c r="S14" i="4" s="1"/>
  <c r="G11" i="3"/>
  <c r="I12" i="16" s="1"/>
  <c r="D13" i="7"/>
  <c r="K13" i="3"/>
  <c r="O12" i="3"/>
  <c r="R9" i="3"/>
  <c r="S9" i="3" s="1"/>
  <c r="Q14" i="8"/>
  <c r="R14" i="8" s="1"/>
  <c r="S14" i="8" s="1"/>
  <c r="T9" i="3"/>
  <c r="T14" i="3"/>
  <c r="K14" i="6"/>
  <c r="T14" i="6"/>
  <c r="U14" i="6" s="1"/>
  <c r="J14" i="6" s="1"/>
  <c r="M14" i="6" s="1"/>
  <c r="G14" i="6" s="1"/>
  <c r="F34" i="8"/>
  <c r="T13" i="8"/>
  <c r="R14" i="5"/>
  <c r="S14" i="5" s="1"/>
  <c r="U14" i="5" s="1"/>
  <c r="J14" i="5" s="1"/>
  <c r="M14" i="5" s="1"/>
  <c r="F33" i="8"/>
  <c r="C70" i="2"/>
  <c r="D14" i="2" s="1"/>
  <c r="K14" i="3"/>
  <c r="T14" i="5"/>
  <c r="D13" i="8"/>
  <c r="R13" i="8"/>
  <c r="S13" i="8" s="1"/>
  <c r="U13" i="8" s="1"/>
  <c r="J13" i="8" s="1"/>
  <c r="M13" i="8" s="1"/>
  <c r="G13" i="8" s="1"/>
  <c r="K14" i="16" s="1"/>
  <c r="K13" i="8"/>
  <c r="O15" i="3"/>
  <c r="K14" i="5"/>
  <c r="Q15" i="3"/>
  <c r="R12" i="7"/>
  <c r="S12" i="7" s="1"/>
  <c r="D70" i="2"/>
  <c r="D14" i="8"/>
  <c r="E70" i="8"/>
  <c r="R13" i="5"/>
  <c r="S13" i="5" s="1"/>
  <c r="U13" i="5" s="1"/>
  <c r="J13" i="5" s="1"/>
  <c r="M67" i="2"/>
  <c r="T13" i="3"/>
  <c r="Q13" i="7"/>
  <c r="T13" i="7" s="1"/>
  <c r="E70" i="7"/>
  <c r="K13" i="5"/>
  <c r="Q14" i="7"/>
  <c r="R14" i="7" s="1"/>
  <c r="S14" i="7" s="1"/>
  <c r="L11" i="3"/>
  <c r="P12" i="16" s="1"/>
  <c r="O8" i="2"/>
  <c r="R8" i="2" s="1"/>
  <c r="S8" i="2" s="1"/>
  <c r="T14" i="8"/>
  <c r="U14" i="8" s="1"/>
  <c r="J14" i="8" s="1"/>
  <c r="K14" i="8"/>
  <c r="U12" i="7"/>
  <c r="J12" i="7" s="1"/>
  <c r="L12" i="7" s="1"/>
  <c r="S13" i="16" s="1"/>
  <c r="U11" i="4"/>
  <c r="J11" i="4" s="1"/>
  <c r="L11" i="4" s="1"/>
  <c r="O12" i="16" s="1"/>
  <c r="U13" i="4"/>
  <c r="J13" i="4" s="1"/>
  <c r="L13" i="4" s="1"/>
  <c r="O14" i="16" s="1"/>
  <c r="U10" i="4"/>
  <c r="J10" i="4" s="1"/>
  <c r="M10" i="4" s="1"/>
  <c r="G10" i="4" s="1"/>
  <c r="G11" i="16" s="1"/>
  <c r="E11" i="9"/>
  <c r="I12" i="13"/>
  <c r="U13" i="3"/>
  <c r="J13" i="3" s="1"/>
  <c r="U14" i="3"/>
  <c r="J14" i="3" s="1"/>
  <c r="M14" i="3" s="1"/>
  <c r="G14" i="3" s="1"/>
  <c r="I15" i="16" s="1"/>
  <c r="U13" i="6"/>
  <c r="J13" i="6" s="1"/>
  <c r="M13" i="6" s="1"/>
  <c r="G13" i="6" s="1"/>
  <c r="U9" i="4"/>
  <c r="J9" i="4" s="1"/>
  <c r="M9" i="4" s="1"/>
  <c r="G9" i="4" s="1"/>
  <c r="G10" i="16" s="1"/>
  <c r="M70" i="2"/>
  <c r="F33" i="2"/>
  <c r="F34" i="2"/>
  <c r="O12" i="4"/>
  <c r="O15" i="4"/>
  <c r="F15" i="4"/>
  <c r="F12" i="4"/>
  <c r="F30" i="2"/>
  <c r="F29" i="2"/>
  <c r="M68" i="2"/>
  <c r="F31" i="2"/>
  <c r="M68" i="7"/>
  <c r="F30" i="7"/>
  <c r="F31" i="7"/>
  <c r="F29" i="7"/>
  <c r="Q10" i="6"/>
  <c r="D9" i="6"/>
  <c r="D10" i="6"/>
  <c r="D11" i="6"/>
  <c r="Q11" i="6"/>
  <c r="Q9" i="6"/>
  <c r="E68" i="6"/>
  <c r="O8" i="8"/>
  <c r="F8" i="8"/>
  <c r="R15" i="6"/>
  <c r="S15" i="6" s="1"/>
  <c r="T15" i="6"/>
  <c r="K15" i="6"/>
  <c r="T8" i="6"/>
  <c r="R8" i="6"/>
  <c r="S8" i="6" s="1"/>
  <c r="K8" i="6"/>
  <c r="Q12" i="8"/>
  <c r="Q15" i="8"/>
  <c r="D12" i="8"/>
  <c r="E69" i="8"/>
  <c r="D15" i="8"/>
  <c r="D13" i="2"/>
  <c r="F32" i="4"/>
  <c r="M69" i="4"/>
  <c r="F35" i="4"/>
  <c r="D15" i="5"/>
  <c r="D12" i="5"/>
  <c r="Q12" i="5"/>
  <c r="Q15" i="5"/>
  <c r="E69" i="5"/>
  <c r="M13" i="5"/>
  <c r="O10" i="2"/>
  <c r="O11" i="2"/>
  <c r="O9" i="2"/>
  <c r="F10" i="2"/>
  <c r="F9" i="2"/>
  <c r="F11" i="2"/>
  <c r="T9" i="5"/>
  <c r="R9" i="5"/>
  <c r="S9" i="5" s="1"/>
  <c r="U9" i="5" s="1"/>
  <c r="J9" i="5" s="1"/>
  <c r="K9" i="5"/>
  <c r="Q10" i="7"/>
  <c r="Q9" i="7"/>
  <c r="D11" i="7"/>
  <c r="D9" i="7"/>
  <c r="D10" i="7"/>
  <c r="Q11" i="7"/>
  <c r="E68" i="7"/>
  <c r="O11" i="6"/>
  <c r="O10" i="6"/>
  <c r="O9" i="6"/>
  <c r="F10" i="6"/>
  <c r="F9" i="6"/>
  <c r="F11" i="6"/>
  <c r="K12" i="3"/>
  <c r="T12" i="3"/>
  <c r="R12" i="3"/>
  <c r="S12" i="3" s="1"/>
  <c r="L10" i="3"/>
  <c r="P11" i="16" s="1"/>
  <c r="M10" i="3"/>
  <c r="G10" i="3" s="1"/>
  <c r="I11" i="16" s="1"/>
  <c r="F32" i="8"/>
  <c r="M69" i="8"/>
  <c r="F35" i="8"/>
  <c r="F15" i="5"/>
  <c r="O15" i="5"/>
  <c r="F12" i="5"/>
  <c r="O12" i="5"/>
  <c r="U15" i="7"/>
  <c r="J15" i="7" s="1"/>
  <c r="R10" i="5"/>
  <c r="S10" i="5" s="1"/>
  <c r="U10" i="5" s="1"/>
  <c r="J10" i="5" s="1"/>
  <c r="T10" i="5"/>
  <c r="K10" i="5"/>
  <c r="F12" i="2"/>
  <c r="O15" i="2"/>
  <c r="F15" i="2"/>
  <c r="O12" i="2"/>
  <c r="F31" i="6"/>
  <c r="F30" i="6"/>
  <c r="M68" i="6"/>
  <c r="F29" i="6"/>
  <c r="M67" i="8"/>
  <c r="F28" i="8"/>
  <c r="K12" i="6"/>
  <c r="T12" i="6"/>
  <c r="R12" i="6"/>
  <c r="S12" i="6" s="1"/>
  <c r="F15" i="8"/>
  <c r="F12" i="8"/>
  <c r="O12" i="8"/>
  <c r="O15" i="8"/>
  <c r="U14" i="4"/>
  <c r="J14" i="4" s="1"/>
  <c r="K8" i="4"/>
  <c r="T8" i="4"/>
  <c r="R8" i="4"/>
  <c r="S8" i="4" s="1"/>
  <c r="O14" i="2"/>
  <c r="F14" i="2"/>
  <c r="O13" i="2"/>
  <c r="F13" i="2"/>
  <c r="E69" i="4"/>
  <c r="D12" i="4"/>
  <c r="Q15" i="4"/>
  <c r="Q12" i="4"/>
  <c r="D15" i="4"/>
  <c r="F32" i="5"/>
  <c r="F35" i="5"/>
  <c r="M69" i="5"/>
  <c r="U8" i="3"/>
  <c r="J8" i="3" s="1"/>
  <c r="Q11" i="2"/>
  <c r="Q10" i="2"/>
  <c r="Q9" i="2"/>
  <c r="E68" i="2"/>
  <c r="D11" i="2"/>
  <c r="D10" i="2"/>
  <c r="D9" i="2"/>
  <c r="K8" i="2"/>
  <c r="R11" i="5"/>
  <c r="S11" i="5" s="1"/>
  <c r="U11" i="5" s="1"/>
  <c r="J11" i="5" s="1"/>
  <c r="T11" i="5"/>
  <c r="K11" i="5"/>
  <c r="O9" i="7"/>
  <c r="O11" i="7"/>
  <c r="O10" i="7"/>
  <c r="F10" i="7"/>
  <c r="F11" i="7"/>
  <c r="F9" i="7"/>
  <c r="D12" i="2"/>
  <c r="D15" i="2"/>
  <c r="Q15" i="2"/>
  <c r="E69" i="2"/>
  <c r="Q12" i="2"/>
  <c r="E67" i="8"/>
  <c r="Q8" i="8"/>
  <c r="D8" i="8"/>
  <c r="U8" i="5"/>
  <c r="J8" i="5" s="1"/>
  <c r="C68" i="8"/>
  <c r="D68" i="8"/>
  <c r="L68" i="8"/>
  <c r="B68" i="8"/>
  <c r="L13" i="6"/>
  <c r="R14" i="16" s="1"/>
  <c r="K8" i="7"/>
  <c r="R8" i="7"/>
  <c r="S8" i="7" s="1"/>
  <c r="T8" i="7"/>
  <c r="G13" i="9" l="1"/>
  <c r="M14" i="13"/>
  <c r="M15" i="13"/>
  <c r="G14" i="9"/>
  <c r="L14" i="6"/>
  <c r="R15" i="16" s="1"/>
  <c r="R15" i="3"/>
  <c r="S15" i="3" s="1"/>
  <c r="U15" i="3" s="1"/>
  <c r="J15" i="3" s="1"/>
  <c r="E70" i="2"/>
  <c r="Q14" i="2"/>
  <c r="M13" i="4"/>
  <c r="G13" i="4" s="1"/>
  <c r="G14" i="16" s="1"/>
  <c r="M12" i="7"/>
  <c r="L9" i="4"/>
  <c r="O10" i="16" s="1"/>
  <c r="R13" i="7"/>
  <c r="S13" i="7" s="1"/>
  <c r="U13" i="7" s="1"/>
  <c r="J13" i="7" s="1"/>
  <c r="Q13" i="2"/>
  <c r="L13" i="3"/>
  <c r="P14" i="16" s="1"/>
  <c r="U9" i="3"/>
  <c r="J9" i="3" s="1"/>
  <c r="L9" i="3" s="1"/>
  <c r="K15" i="3"/>
  <c r="T15" i="3"/>
  <c r="V12" i="13"/>
  <c r="Q14" i="13"/>
  <c r="N11" i="9"/>
  <c r="M14" i="8"/>
  <c r="G14" i="8" s="1"/>
  <c r="K15" i="16" s="1"/>
  <c r="N30" i="8"/>
  <c r="N30" i="6"/>
  <c r="N30" i="5"/>
  <c r="L14" i="8"/>
  <c r="T15" i="16" s="1"/>
  <c r="L14" i="5"/>
  <c r="Q15" i="16" s="1"/>
  <c r="I13" i="9"/>
  <c r="L13" i="8"/>
  <c r="T14" i="16" s="1"/>
  <c r="L13" i="5"/>
  <c r="Q14" i="16" s="1"/>
  <c r="L10" i="4"/>
  <c r="O11" i="16" s="1"/>
  <c r="K13" i="7"/>
  <c r="T8" i="2"/>
  <c r="M11" i="4"/>
  <c r="G11" i="4" s="1"/>
  <c r="T14" i="7"/>
  <c r="U14" i="7" s="1"/>
  <c r="J14" i="7" s="1"/>
  <c r="K14" i="7"/>
  <c r="N30" i="3"/>
  <c r="L14" i="3"/>
  <c r="P15" i="16" s="1"/>
  <c r="M13" i="3"/>
  <c r="G13" i="3" s="1"/>
  <c r="U15" i="6"/>
  <c r="J15" i="6" s="1"/>
  <c r="D10" i="9"/>
  <c r="G11" i="13"/>
  <c r="N13" i="9"/>
  <c r="P13" i="9"/>
  <c r="X14" i="13"/>
  <c r="D13" i="9"/>
  <c r="G14" i="13"/>
  <c r="M11" i="9"/>
  <c r="U12" i="13"/>
  <c r="E10" i="9"/>
  <c r="I11" i="13"/>
  <c r="P14" i="9"/>
  <c r="X15" i="13"/>
  <c r="M13" i="9"/>
  <c r="U14" i="13"/>
  <c r="Q12" i="9"/>
  <c r="Y13" i="13"/>
  <c r="D9" i="9"/>
  <c r="G10" i="13"/>
  <c r="U8" i="7"/>
  <c r="J8" i="7" s="1"/>
  <c r="M8" i="7" s="1"/>
  <c r="U8" i="2"/>
  <c r="J8" i="2" s="1"/>
  <c r="L8" i="2" s="1"/>
  <c r="N9" i="16" s="1"/>
  <c r="N10" i="9"/>
  <c r="V11" i="13"/>
  <c r="E14" i="9"/>
  <c r="I15" i="13"/>
  <c r="W14" i="13"/>
  <c r="U10" i="13"/>
  <c r="U8" i="6"/>
  <c r="J8" i="6" s="1"/>
  <c r="M8" i="6" s="1"/>
  <c r="G8" i="6" s="1"/>
  <c r="T11" i="6"/>
  <c r="F29" i="8"/>
  <c r="M68" i="8"/>
  <c r="F30" i="8"/>
  <c r="F31" i="8"/>
  <c r="K14" i="2"/>
  <c r="R14" i="2"/>
  <c r="S14" i="2" s="1"/>
  <c r="T14" i="2"/>
  <c r="T11" i="2"/>
  <c r="K11" i="2"/>
  <c r="R11" i="2"/>
  <c r="S11" i="2" s="1"/>
  <c r="L15" i="6"/>
  <c r="R16" i="16" s="1"/>
  <c r="M15" i="6"/>
  <c r="G15" i="6" s="1"/>
  <c r="M11" i="5"/>
  <c r="L11" i="5"/>
  <c r="Q12" i="16" s="1"/>
  <c r="M14" i="4"/>
  <c r="G14" i="4" s="1"/>
  <c r="G15" i="16" s="1"/>
  <c r="N30" i="4"/>
  <c r="L14" i="4"/>
  <c r="O15" i="16" s="1"/>
  <c r="M10" i="5"/>
  <c r="L10" i="5"/>
  <c r="Q11" i="16" s="1"/>
  <c r="K15" i="5"/>
  <c r="T15" i="5"/>
  <c r="R15" i="5"/>
  <c r="S15" i="5" s="1"/>
  <c r="U15" i="5" s="1"/>
  <c r="J15" i="5" s="1"/>
  <c r="K10" i="6"/>
  <c r="R10" i="6"/>
  <c r="S10" i="6" s="1"/>
  <c r="T10" i="6"/>
  <c r="K10" i="2"/>
  <c r="R10" i="2"/>
  <c r="S10" i="2" s="1"/>
  <c r="T10" i="2"/>
  <c r="O10" i="8"/>
  <c r="O11" i="8"/>
  <c r="O9" i="8"/>
  <c r="F9" i="8"/>
  <c r="F10" i="8"/>
  <c r="F11" i="8"/>
  <c r="R9" i="7"/>
  <c r="S9" i="7" s="1"/>
  <c r="K9" i="7"/>
  <c r="T9" i="7"/>
  <c r="R13" i="2"/>
  <c r="S13" i="2" s="1"/>
  <c r="T13" i="2"/>
  <c r="K13" i="2"/>
  <c r="U8" i="4"/>
  <c r="J8" i="4" s="1"/>
  <c r="K15" i="8"/>
  <c r="T15" i="8"/>
  <c r="R15" i="8"/>
  <c r="S15" i="8" s="1"/>
  <c r="U12" i="6"/>
  <c r="J12" i="6" s="1"/>
  <c r="L15" i="7"/>
  <c r="S16" i="16" s="1"/>
  <c r="M15" i="7"/>
  <c r="K11" i="6"/>
  <c r="R11" i="6"/>
  <c r="S11" i="6" s="1"/>
  <c r="M13" i="7"/>
  <c r="K8" i="8"/>
  <c r="R8" i="8"/>
  <c r="S8" i="8" s="1"/>
  <c r="T8" i="8"/>
  <c r="K15" i="4"/>
  <c r="R15" i="4"/>
  <c r="S15" i="4" s="1"/>
  <c r="T15" i="4"/>
  <c r="M8" i="5"/>
  <c r="L8" i="5"/>
  <c r="Q9" i="16" s="1"/>
  <c r="R10" i="7"/>
  <c r="S10" i="7" s="1"/>
  <c r="T10" i="7"/>
  <c r="K10" i="7"/>
  <c r="M8" i="3"/>
  <c r="G8" i="3" s="1"/>
  <c r="I9" i="16" s="1"/>
  <c r="L8" i="3"/>
  <c r="P9" i="16" s="1"/>
  <c r="T9" i="6"/>
  <c r="K9" i="6"/>
  <c r="R9" i="6"/>
  <c r="S9" i="6" s="1"/>
  <c r="T11" i="7"/>
  <c r="K11" i="7"/>
  <c r="R11" i="7"/>
  <c r="S11" i="7" s="1"/>
  <c r="T15" i="2"/>
  <c r="K15" i="2"/>
  <c r="R15" i="2"/>
  <c r="S15" i="2" s="1"/>
  <c r="D9" i="8"/>
  <c r="Q11" i="8"/>
  <c r="Q9" i="8"/>
  <c r="D11" i="8"/>
  <c r="Q10" i="8"/>
  <c r="E68" i="8"/>
  <c r="D10" i="8"/>
  <c r="T12" i="8"/>
  <c r="R12" i="8"/>
  <c r="S12" i="8" s="1"/>
  <c r="K12" i="8"/>
  <c r="R12" i="2"/>
  <c r="S12" i="2" s="1"/>
  <c r="T12" i="2"/>
  <c r="K12" i="2"/>
  <c r="R12" i="5"/>
  <c r="S12" i="5" s="1"/>
  <c r="U12" i="5" s="1"/>
  <c r="J12" i="5" s="1"/>
  <c r="T12" i="5"/>
  <c r="K12" i="5"/>
  <c r="U12" i="3"/>
  <c r="J12" i="3" s="1"/>
  <c r="L9" i="5"/>
  <c r="Q10" i="16" s="1"/>
  <c r="M9" i="5"/>
  <c r="R9" i="2"/>
  <c r="S9" i="2" s="1"/>
  <c r="K9" i="2"/>
  <c r="T9" i="2"/>
  <c r="T12" i="4"/>
  <c r="R12" i="4"/>
  <c r="S12" i="4" s="1"/>
  <c r="K12" i="4"/>
  <c r="L15" i="3" l="1"/>
  <c r="P16" i="16" s="1"/>
  <c r="M15" i="3"/>
  <c r="G15" i="3" s="1"/>
  <c r="I16" i="16" s="1"/>
  <c r="M9" i="13"/>
  <c r="G8" i="9"/>
  <c r="G15" i="9"/>
  <c r="M16" i="13"/>
  <c r="N14" i="9"/>
  <c r="L13" i="7"/>
  <c r="S14" i="16" s="1"/>
  <c r="M9" i="3"/>
  <c r="G9" i="3" s="1"/>
  <c r="I10" i="13" s="1"/>
  <c r="I14" i="13"/>
  <c r="I14" i="16"/>
  <c r="G12" i="13"/>
  <c r="G12" i="16"/>
  <c r="N9" i="9"/>
  <c r="P10" i="16"/>
  <c r="E9" i="9"/>
  <c r="I10" i="16"/>
  <c r="M14" i="7"/>
  <c r="N30" i="7"/>
  <c r="L14" i="7"/>
  <c r="S15" i="16" s="1"/>
  <c r="L8" i="7"/>
  <c r="S9" i="16" s="1"/>
  <c r="U10" i="7"/>
  <c r="J10" i="7" s="1"/>
  <c r="O13" i="9"/>
  <c r="V14" i="13"/>
  <c r="M9" i="9"/>
  <c r="M10" i="9"/>
  <c r="O14" i="9"/>
  <c r="V10" i="13"/>
  <c r="R14" i="9"/>
  <c r="Q15" i="13"/>
  <c r="Z14" i="13"/>
  <c r="V15" i="13"/>
  <c r="W15" i="13"/>
  <c r="Z15" i="13"/>
  <c r="I14" i="9"/>
  <c r="U12" i="2"/>
  <c r="J12" i="2" s="1"/>
  <c r="L12" i="2" s="1"/>
  <c r="N13" i="16" s="1"/>
  <c r="R13" i="9"/>
  <c r="D11" i="9"/>
  <c r="E13" i="9"/>
  <c r="U11" i="13"/>
  <c r="M8" i="2"/>
  <c r="G8" i="2" s="1"/>
  <c r="E9" i="16" s="1"/>
  <c r="L8" i="6"/>
  <c r="R9" i="16" s="1"/>
  <c r="U13" i="2"/>
  <c r="J13" i="2" s="1"/>
  <c r="M13" i="2" s="1"/>
  <c r="G13" i="2" s="1"/>
  <c r="E14" i="16" s="1"/>
  <c r="U15" i="2"/>
  <c r="J15" i="2" s="1"/>
  <c r="M15" i="2" s="1"/>
  <c r="G15" i="2" s="1"/>
  <c r="E16" i="16" s="1"/>
  <c r="U9" i="7"/>
  <c r="J9" i="7" s="1"/>
  <c r="M9" i="7" s="1"/>
  <c r="U12" i="4"/>
  <c r="J12" i="4" s="1"/>
  <c r="L12" i="4" s="1"/>
  <c r="O13" i="16" s="1"/>
  <c r="U11" i="6"/>
  <c r="J11" i="6" s="1"/>
  <c r="M11" i="6" s="1"/>
  <c r="G11" i="6" s="1"/>
  <c r="O9" i="9"/>
  <c r="W10" i="13"/>
  <c r="E15" i="9"/>
  <c r="I16" i="13"/>
  <c r="C8" i="9"/>
  <c r="E9" i="13"/>
  <c r="N15" i="9"/>
  <c r="V16" i="13"/>
  <c r="U10" i="2"/>
  <c r="J10" i="2" s="1"/>
  <c r="M10" i="2" s="1"/>
  <c r="G10" i="2" s="1"/>
  <c r="E11" i="16" s="1"/>
  <c r="O10" i="9"/>
  <c r="W11" i="13"/>
  <c r="D14" i="9"/>
  <c r="G15" i="13"/>
  <c r="P15" i="9"/>
  <c r="X16" i="13"/>
  <c r="L8" i="9"/>
  <c r="T9" i="13"/>
  <c r="N8" i="9"/>
  <c r="V9" i="13"/>
  <c r="Q13" i="9"/>
  <c r="Y14" i="13"/>
  <c r="Q15" i="9"/>
  <c r="Y16" i="13"/>
  <c r="O11" i="9"/>
  <c r="W12" i="13"/>
  <c r="Y15" i="13"/>
  <c r="E8" i="9"/>
  <c r="I9" i="13"/>
  <c r="O8" i="9"/>
  <c r="W9" i="13"/>
  <c r="P8" i="9"/>
  <c r="X9" i="13"/>
  <c r="M14" i="9"/>
  <c r="U15" i="13"/>
  <c r="R9" i="8"/>
  <c r="S9" i="8" s="1"/>
  <c r="U9" i="2"/>
  <c r="J9" i="2" s="1"/>
  <c r="L9" i="2" s="1"/>
  <c r="N10" i="16" s="1"/>
  <c r="U11" i="2"/>
  <c r="J11" i="2" s="1"/>
  <c r="M11" i="2" s="1"/>
  <c r="G11" i="2" s="1"/>
  <c r="E12" i="16" s="1"/>
  <c r="U14" i="2"/>
  <c r="J14" i="2" s="1"/>
  <c r="M14" i="2" s="1"/>
  <c r="G14" i="2" s="1"/>
  <c r="E15" i="16" s="1"/>
  <c r="L15" i="5"/>
  <c r="Q16" i="16" s="1"/>
  <c r="M15" i="5"/>
  <c r="M12" i="5"/>
  <c r="L12" i="5"/>
  <c r="Q13" i="16" s="1"/>
  <c r="U9" i="6"/>
  <c r="J9" i="6" s="1"/>
  <c r="U8" i="8"/>
  <c r="J8" i="8" s="1"/>
  <c r="M12" i="6"/>
  <c r="G12" i="6" s="1"/>
  <c r="L12" i="6"/>
  <c r="R13" i="16" s="1"/>
  <c r="M8" i="4"/>
  <c r="G8" i="4" s="1"/>
  <c r="G9" i="16" s="1"/>
  <c r="L8" i="4"/>
  <c r="O9" i="16" s="1"/>
  <c r="R10" i="8"/>
  <c r="S10" i="8" s="1"/>
  <c r="T10" i="8"/>
  <c r="K10" i="8"/>
  <c r="U12" i="8"/>
  <c r="J12" i="8" s="1"/>
  <c r="U11" i="7"/>
  <c r="J11" i="7" s="1"/>
  <c r="U15" i="4"/>
  <c r="J15" i="4" s="1"/>
  <c r="U15" i="8"/>
  <c r="J15" i="8" s="1"/>
  <c r="U10" i="6"/>
  <c r="J10" i="6" s="1"/>
  <c r="M10" i="7"/>
  <c r="L10" i="7"/>
  <c r="S11" i="16" s="1"/>
  <c r="K11" i="8"/>
  <c r="T11" i="8"/>
  <c r="R11" i="8"/>
  <c r="S11" i="8" s="1"/>
  <c r="L12" i="3"/>
  <c r="P13" i="16" s="1"/>
  <c r="M12" i="3"/>
  <c r="G12" i="3" s="1"/>
  <c r="I13" i="16" s="1"/>
  <c r="K9" i="8"/>
  <c r="T9" i="8"/>
  <c r="L11" i="6" l="1"/>
  <c r="R12" i="16" s="1"/>
  <c r="G11" i="9"/>
  <c r="M12" i="13"/>
  <c r="M13" i="13"/>
  <c r="G12" i="9"/>
  <c r="Q14" i="9"/>
  <c r="L10" i="2"/>
  <c r="N11" i="16" s="1"/>
  <c r="Y9" i="13"/>
  <c r="M12" i="2"/>
  <c r="G12" i="2" s="1"/>
  <c r="Q8" i="9"/>
  <c r="L15" i="2"/>
  <c r="N16" i="16" s="1"/>
  <c r="L13" i="2"/>
  <c r="N14" i="16" s="1"/>
  <c r="L11" i="2"/>
  <c r="N12" i="16" s="1"/>
  <c r="M12" i="4"/>
  <c r="G12" i="4" s="1"/>
  <c r="M9" i="2"/>
  <c r="G9" i="2" s="1"/>
  <c r="L9" i="7"/>
  <c r="S10" i="16" s="1"/>
  <c r="L14" i="2"/>
  <c r="N15" i="16" s="1"/>
  <c r="N30" i="2"/>
  <c r="C14" i="9"/>
  <c r="E15" i="13"/>
  <c r="C15" i="9"/>
  <c r="E16" i="13"/>
  <c r="L9" i="9"/>
  <c r="T10" i="13"/>
  <c r="L15" i="9"/>
  <c r="C11" i="9"/>
  <c r="E12" i="13"/>
  <c r="Q10" i="9"/>
  <c r="Y11" i="13"/>
  <c r="M8" i="9"/>
  <c r="U9" i="13"/>
  <c r="P11" i="9"/>
  <c r="X12" i="13"/>
  <c r="O12" i="9"/>
  <c r="W13" i="13"/>
  <c r="C13" i="9"/>
  <c r="E14" i="13"/>
  <c r="M12" i="9"/>
  <c r="U13" i="13"/>
  <c r="E12" i="9"/>
  <c r="I13" i="13"/>
  <c r="D8" i="9"/>
  <c r="G9" i="13"/>
  <c r="C12" i="9"/>
  <c r="U9" i="8"/>
  <c r="J9" i="8" s="1"/>
  <c r="M9" i="8" s="1"/>
  <c r="G9" i="8" s="1"/>
  <c r="K10" i="16" s="1"/>
  <c r="C10" i="9"/>
  <c r="E11" i="13"/>
  <c r="L10" i="9"/>
  <c r="T11" i="13"/>
  <c r="N12" i="9"/>
  <c r="V13" i="13"/>
  <c r="P12" i="9"/>
  <c r="X13" i="13"/>
  <c r="O15" i="9"/>
  <c r="W16"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M10" i="13" l="1"/>
  <c r="G9" i="9"/>
  <c r="T16" i="13"/>
  <c r="G10" i="9"/>
  <c r="M11" i="13"/>
  <c r="L13" i="9"/>
  <c r="T14"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R9" i="9"/>
  <c r="P10" i="9"/>
  <c r="X11" i="13"/>
  <c r="I8" i="9"/>
  <c r="Q9" i="13"/>
  <c r="R15" i="9"/>
  <c r="Z16" i="13"/>
  <c r="I9" i="9"/>
  <c r="Q10" i="13"/>
  <c r="Q11" i="9"/>
  <c r="Y12" i="13"/>
  <c r="D15" i="9"/>
  <c r="G16" i="13"/>
  <c r="R12" i="9"/>
  <c r="Z13" i="13"/>
  <c r="M10" i="8"/>
  <c r="G10" i="8" s="1"/>
  <c r="K11" i="16" s="1"/>
  <c r="L10" i="8"/>
  <c r="T11" i="16" s="1"/>
  <c r="L11" i="8"/>
  <c r="T12" i="16" s="1"/>
  <c r="M11" i="8"/>
  <c r="G11" i="8" s="1"/>
  <c r="K12" i="16" s="1"/>
  <c r="Z10" i="13" l="1"/>
  <c r="R10" i="9"/>
  <c r="Z11" i="13"/>
  <c r="I11" i="9"/>
  <c r="Q12" i="13"/>
  <c r="I10" i="9"/>
  <c r="Q11" i="13"/>
  <c r="R11" i="9"/>
  <c r="Z12" i="13"/>
</calcChain>
</file>

<file path=xl/sharedStrings.xml><?xml version="1.0" encoding="utf-8"?>
<sst xmlns="http://schemas.openxmlformats.org/spreadsheetml/2006/main" count="658" uniqueCount="140">
  <si>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</si>
  <si>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</si>
  <si>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</si>
  <si>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</si>
  <si>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</si>
  <si>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</si>
  <si>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</si>
  <si>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</si>
  <si>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</si>
  <si>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</si>
  <si>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</si>
  <si>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</si>
  <si>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</si>
  <si>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</si>
  <si>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</si>
  <si>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</si>
  <si>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</si>
  <si>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</si>
  <si>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</si>
  <si>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</si>
  <si>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</si>
  <si>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</si>
  <si>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</si>
  <si>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</si>
  <si>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</si>
  <si>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</si>
  <si>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</si>
  <si>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</si>
  <si>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</si>
  <si>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</si>
  <si>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</si>
  <si>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</si>
  <si>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</si>
  <si>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</si>
  <si>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</si>
  <si>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</si>
  <si>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</si>
  <si>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</si>
  <si>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</si>
  <si>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</si>
  <si>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</si>
  <si>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</si>
  <si>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</si>
  <si>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</si>
  <si>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</si>
  <si>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</si>
  <si>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</si>
  <si>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</si>
  <si>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</si>
  <si>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</si>
  <si>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</si>
  <si>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release 10/17/05</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</si>
  <si>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</si>
  <si>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</si>
  <si>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</si>
  <si>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</si>
  <si>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</si>
  <si>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</si>
  <si>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</si>
  <si>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</si>
  <si>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</si>
  <si>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</si>
  <si>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</si>
  <si>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</si>
  <si>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</si>
  <si>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</si>
  <si>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</si>
  <si>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</si>
  <si>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</si>
  <si>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</si>
  <si>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</si>
  <si>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</si>
  <si>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</si>
  <si>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</si>
  <si>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</si>
  <si>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</si>
  <si>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</si>
  <si>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</si>
  <si>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</si>
  <si>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</si>
  <si>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</si>
  <si>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</si>
  <si>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</si>
  <si>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</si>
  <si>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</si>
  <si>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</si>
  <si>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</si>
  <si>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</si>
  <si>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</si>
  <si>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</si>
  <si>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</si>
  <si>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</si>
  <si>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</si>
  <si>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release 10/3/05</t>
  </si>
  <si>
    <t>bold</t>
  </si>
  <si>
    <t>1 = signif</t>
  </si>
  <si>
    <t>Relative Rate Index Compared with White Juveniles</t>
  </si>
  <si>
    <t>6. Cases Petitioned</t>
  </si>
  <si>
    <t>Group meets 1% threshold?</t>
  </si>
  <si>
    <t>Population Based Rates</t>
  </si>
  <si>
    <t>Population Based Relative Rate Index Values</t>
  </si>
  <si>
    <t>Significance Testing</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</si>
  <si>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</si>
  <si>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</si>
  <si>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</si>
  <si>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</si>
  <si>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</si>
  <si>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</si>
  <si>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</si>
  <si>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</si>
  <si>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</si>
  <si>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</si>
  <si>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</si>
  <si>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</si>
  <si>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</si>
  <si>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</si>
  <si>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</si>
  <si>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</si>
  <si>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</si>
  <si>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</si>
  <si>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</si>
  <si>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</si>
  <si>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</si>
  <si>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</si>
  <si>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</si>
  <si>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</si>
  <si>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</si>
  <si>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</si>
  <si>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</si>
  <si>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</si>
  <si>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1/1/12 through 12/31/12</t>
  </si>
  <si>
    <t>Black or African American</t>
  </si>
  <si>
    <t xml:space="preserve">1. Population at risk (age 10 through 16) </t>
  </si>
  <si>
    <t>8. Cases Resulting in Probation Placement</t>
  </si>
  <si>
    <t>3. Referred to Juvenile Court</t>
  </si>
  <si>
    <t>Native Hawaiian or Other Pacific Islanders</t>
  </si>
  <si>
    <t>County: Roscommon</t>
  </si>
  <si>
    <t>Item 2.Arrest: Michigan State Police (figures for 2012)</t>
  </si>
  <si>
    <t>Item 1. Population (figures for 2012): Population data are from Puzzanchera, C., Sladky, A. and Kang, W. (2013). "Easy Access to Juvenile Populations: 1990-2012." Online.  Last modified October 30, 2013, accessed March 21, 2014.  Available: http://www.ojjdp.gov/ojstatbb/ezapop/.</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</si>
  <si>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significance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</si>
</sst>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E+00"/>
    <numFmt numFmtId="165" formatCode="_(* #,##0_);_(* \(#,##0\);_(* &quot;-&quot;??_);_(@_)"/>
  </numFmts>
  <fonts count="36"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3">
    <xf numFmtId="0" fontId="0" fillId="0" borderId="0"/>
    <xf numFmtId="0" fontId="16" fillId="4" borderId="0" applyNumberFormat="0" applyBorder="0" applyAlignment="0" applyProtection="0"/>
    <xf numFmtId="0" fontId="1" fillId="5" borderId="0" applyNumberFormat="0" applyBorder="0" applyAlignment="0" applyProtection="0"/>
  </cellStyleXfs>
  <cellXfs count="221">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4" fontId="2" fillId="2" borderId="0" xfId="0" applyNumberFormat="1" applyFont="1" applyFill="1" applyBorder="1" applyAlignment="1" applyProtection="1">
      <alignment vertical="top"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4" fontId="30" fillId="2" borderId="0" xfId="0" applyNumberFormat="1" applyFont="1" applyFill="1" applyBorder="1" applyAlignment="1" applyProtection="1">
      <alignment horizontal="left" vertical="top" wrapText="1"/>
    </xf>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xf numFmtId="4" fontId="2" fillId="0" borderId="0" xfId="0" applyNumberFormat="1" applyFont="1" applyFill="1" applyBorder="1" applyAlignment="1" applyProtection="1">
      <alignment horizontal="center" wrapText="1"/>
    </xf>
    <xf numFmtId="4" fontId="2" fillId="0" borderId="17" xfId="0" applyNumberFormat="1" applyFont="1" applyFill="1" applyBorder="1" applyAlignment="1" applyProtection="1">
      <alignment horizontal="center" wrapText="1"/>
    </xf>
    <xf numFmtId="4" fontId="2" fillId="0" borderId="19" xfId="0" applyNumberFormat="1" applyFont="1" applyFill="1" applyBorder="1" applyAlignment="1" applyProtection="1">
      <alignment horizontal="center" wrapText="1"/>
    </xf>
    <xf numFmtId="4" fontId="2" fillId="0" borderId="20" xfId="0" applyNumberFormat="1" applyFont="1" applyFill="1" applyBorder="1" applyAlignment="1" applyProtection="1">
      <alignment horizontal="center" wrapText="1"/>
    </xf>
    <xf numFmtId="4" fontId="5" fillId="0" borderId="0" xfId="0" applyNumberFormat="1" applyFont="1" applyFill="1" applyBorder="1" applyAlignment="1" applyProtection="1">
      <alignment horizontal="center" wrapText="1"/>
    </xf>
  </cellXfs>
  <cellStyles count="3">
    <cellStyle name="40% - Accent1" xfId="2" builtinId="31"/>
    <cellStyle name="Accent1" xfId="1" builtinId="29"/>
    <cellStyle name="Normal" xfId="0" builtinId="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tabSelected="1" zoomScaleNormal="100" workbookViewId="0">
      <selection activeCell="B5" sqref="B5:K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68" t="s">
        <v>1</v>
      </c>
      <c r="C1" s="168"/>
      <c r="D1" s="168"/>
      <c r="E1" s="168"/>
      <c r="F1" s="168"/>
      <c r="G1" s="168"/>
      <c r="H1" s="168"/>
    </row>
    <row r="2" spans="1:11" ht="15" customHeight="1" x14ac:dyDescent="0.25">
      <c r="A2" s="3" t="s">
        <v>123</v>
      </c>
      <c r="B2" s="4"/>
      <c r="C2" s="4"/>
      <c r="D2" s="4"/>
      <c r="E2" s="4"/>
      <c r="F2" s="4"/>
    </row>
    <row r="3" spans="1:11" ht="15" customHeight="1" x14ac:dyDescent="0.25">
      <c r="A3" s="137" t="s">
        <v>136</v>
      </c>
      <c r="B3" s="4"/>
      <c r="C3" s="5" t="s">
        <v>108</v>
      </c>
      <c r="D3" s="6"/>
      <c r="E3" s="6"/>
      <c r="F3" s="6"/>
      <c r="G3" s="7"/>
      <c r="H3" s="7"/>
    </row>
    <row r="4" spans="1:11" ht="15" customHeight="1" x14ac:dyDescent="0.25">
      <c r="A4" s="4"/>
      <c r="B4" s="4"/>
      <c r="C4" s="170" t="s">
        <v>130</v>
      </c>
      <c r="D4" s="170"/>
      <c r="E4" s="170"/>
      <c r="F4" s="170"/>
      <c r="G4" s="8"/>
    </row>
    <row r="5" spans="1:11" ht="65.25" customHeight="1" thickBot="1" x14ac:dyDescent="0.3">
      <c r="A5" s="8"/>
      <c r="B5" s="220" t="s">
        <v>2</v>
      </c>
      <c r="C5" s="220" t="s">
        <v>3</v>
      </c>
      <c r="D5" s="220" t="s">
        <v>131</v>
      </c>
      <c r="E5" s="220" t="s">
        <v>4</v>
      </c>
      <c r="F5" s="220" t="s">
        <v>5</v>
      </c>
      <c r="G5" s="220" t="s">
        <v>135</v>
      </c>
      <c r="H5" s="220" t="s">
        <v>6</v>
      </c>
      <c r="I5" s="220" t="s">
        <v>125</v>
      </c>
      <c r="J5" s="220" t="s">
        <v>7</v>
      </c>
      <c r="K5" s="220" t="s">
        <v>117</v>
      </c>
    </row>
    <row r="6" spans="1:11" ht="15.75" customHeight="1" thickBot="1" x14ac:dyDescent="0.25">
      <c r="A6" s="9" t="s">
        <v>132</v>
      </c>
      <c r="B6" s="10">
        <f>SUM(C6:I6)+K6</f>
        <v>1577</v>
      </c>
      <c r="C6" s="10">
        <v>1482</v>
      </c>
      <c r="D6" s="10">
        <v>21</v>
      </c>
      <c r="E6" s="10">
        <v>39</v>
      </c>
      <c r="F6" s="10">
        <v>18</v>
      </c>
      <c r="G6" s="10"/>
      <c r="H6" s="10">
        <v>17</v>
      </c>
      <c r="I6" s="10"/>
      <c r="J6" s="88">
        <f>SUM(D6:I6)</f>
        <v>95</v>
      </c>
      <c r="K6" s="89"/>
    </row>
    <row r="7" spans="1:11" ht="15.75" customHeight="1" thickBot="1" x14ac:dyDescent="0.25">
      <c r="A7" s="9" t="s">
        <v>8</v>
      </c>
      <c r="B7" s="10">
        <f t="shared" ref="B7:B15" si="0">SUM(C7:I7)+K7</f>
        <v>100</v>
      </c>
      <c r="C7" s="10">
        <v>100</v>
      </c>
      <c r="D7" s="10"/>
      <c r="E7" s="10"/>
      <c r="F7" s="10"/>
      <c r="G7" s="10"/>
      <c r="H7" s="10"/>
      <c r="I7" s="10"/>
      <c r="J7" s="88">
        <f t="shared" ref="J7:J15" si="1">SUM(D7:I7)</f>
        <v>0</v>
      </c>
      <c r="K7" s="89"/>
    </row>
    <row r="8" spans="1:11" ht="15.75" customHeight="1" thickBot="1" x14ac:dyDescent="0.25">
      <c r="A8" s="9" t="s">
        <v>9</v>
      </c>
      <c r="B8" s="10">
        <f t="shared" si="0"/>
        <v>129</v>
      </c>
      <c r="C8" s="10">
        <v>127</v>
      </c>
      <c r="D8" s="10"/>
      <c r="E8" s="10"/>
      <c r="F8" s="10"/>
      <c r="G8" s="10"/>
      <c r="H8" s="10"/>
      <c r="I8" s="10"/>
      <c r="J8" s="88">
        <f t="shared" si="1"/>
        <v>0</v>
      </c>
      <c r="K8" s="89">
        <v>2</v>
      </c>
    </row>
    <row r="9" spans="1:11" ht="15.75" customHeight="1" thickBot="1" x14ac:dyDescent="0.25">
      <c r="A9" s="9" t="s">
        <v>10</v>
      </c>
      <c r="B9" s="10">
        <f t="shared" si="0"/>
        <v>0</v>
      </c>
      <c r="C9" s="10"/>
      <c r="D9" s="10"/>
      <c r="E9" s="10"/>
      <c r="F9" s="10"/>
      <c r="G9" s="10"/>
      <c r="H9" s="10"/>
      <c r="I9" s="10"/>
      <c r="J9" s="88">
        <f t="shared" si="1"/>
        <v>0</v>
      </c>
      <c r="K9" s="89"/>
    </row>
    <row r="10" spans="1:11" ht="15.75" customHeight="1" thickBot="1" x14ac:dyDescent="0.25">
      <c r="A10" s="9" t="s">
        <v>11</v>
      </c>
      <c r="B10" s="10">
        <f t="shared" si="0"/>
        <v>9</v>
      </c>
      <c r="C10" s="10">
        <v>9</v>
      </c>
      <c r="D10" s="10"/>
      <c r="E10" s="10"/>
      <c r="F10" s="10"/>
      <c r="G10" s="10"/>
      <c r="H10" s="10"/>
      <c r="I10" s="10"/>
      <c r="J10" s="88">
        <f t="shared" si="1"/>
        <v>0</v>
      </c>
      <c r="K10" s="89"/>
    </row>
    <row r="11" spans="1:11" ht="15.75" customHeight="1" thickBot="1" x14ac:dyDescent="0.25">
      <c r="A11" s="9" t="s">
        <v>12</v>
      </c>
      <c r="B11" s="10">
        <f t="shared" si="0"/>
        <v>41</v>
      </c>
      <c r="C11" s="10">
        <v>40</v>
      </c>
      <c r="D11" s="10"/>
      <c r="E11" s="10"/>
      <c r="F11" s="10"/>
      <c r="G11" s="10"/>
      <c r="H11" s="10"/>
      <c r="I11" s="10"/>
      <c r="J11" s="88">
        <f t="shared" si="1"/>
        <v>0</v>
      </c>
      <c r="K11" s="89">
        <v>1</v>
      </c>
    </row>
    <row r="12" spans="1:11" ht="15.75" customHeight="1" thickBot="1" x14ac:dyDescent="0.25">
      <c r="A12" s="9" t="s">
        <v>13</v>
      </c>
      <c r="B12" s="10">
        <f t="shared" si="0"/>
        <v>43</v>
      </c>
      <c r="C12" s="10">
        <v>42</v>
      </c>
      <c r="D12" s="10"/>
      <c r="E12" s="10"/>
      <c r="F12" s="10"/>
      <c r="G12" s="10"/>
      <c r="H12" s="10"/>
      <c r="I12" s="10"/>
      <c r="J12" s="88">
        <f t="shared" si="1"/>
        <v>0</v>
      </c>
      <c r="K12" s="89">
        <v>1</v>
      </c>
    </row>
    <row r="13" spans="1:11" ht="15.75" customHeight="1" thickBot="1" x14ac:dyDescent="0.25">
      <c r="A13" s="9" t="s">
        <v>133</v>
      </c>
      <c r="B13" s="10">
        <f t="shared" si="0"/>
        <v>92</v>
      </c>
      <c r="C13" s="10">
        <v>91</v>
      </c>
      <c r="D13" s="10"/>
      <c r="E13" s="10"/>
      <c r="F13" s="10"/>
      <c r="G13" s="10"/>
      <c r="H13" s="10"/>
      <c r="I13" s="10"/>
      <c r="J13" s="88">
        <f t="shared" si="1"/>
        <v>0</v>
      </c>
      <c r="K13" s="89">
        <v>1</v>
      </c>
    </row>
    <row r="14" spans="1:11" ht="26.25" customHeight="1" thickBot="1" x14ac:dyDescent="0.25">
      <c r="A14" s="9" t="s">
        <v>124</v>
      </c>
      <c r="B14" s="10">
        <f t="shared" si="0"/>
        <v>37</v>
      </c>
      <c r="C14" s="10">
        <v>36</v>
      </c>
      <c r="D14" s="10"/>
      <c r="E14" s="10"/>
      <c r="F14" s="10"/>
      <c r="G14" s="10"/>
      <c r="H14" s="10"/>
      <c r="I14" s="10"/>
      <c r="J14" s="88">
        <f t="shared" si="1"/>
        <v>0</v>
      </c>
      <c r="K14" s="89">
        <v>1</v>
      </c>
    </row>
    <row r="15" spans="1:11" ht="15.75" customHeight="1" thickBot="1" x14ac:dyDescent="0.25">
      <c r="A15" s="9" t="s">
        <v>16</v>
      </c>
      <c r="B15" s="10">
        <f t="shared" si="0"/>
        <v>0</v>
      </c>
      <c r="C15" s="10"/>
      <c r="D15" s="10"/>
      <c r="E15" s="10"/>
      <c r="F15" s="10"/>
      <c r="G15" s="10"/>
      <c r="H15" s="10"/>
      <c r="I15" s="10"/>
      <c r="J15" s="88">
        <f t="shared" si="1"/>
        <v>0</v>
      </c>
      <c r="K15" s="89"/>
    </row>
    <row r="16" spans="1:11" s="13" customFormat="1" ht="15" customHeight="1" x14ac:dyDescent="0.2">
      <c r="A16" s="11" t="s">
        <v>17</v>
      </c>
      <c r="B16" s="12" t="str">
        <f>IF((B6 &gt; ($B6/100)),"Yes","No")</f>
        <v>Yes</v>
      </c>
      <c r="C16" s="12" t="str">
        <f>IF((C6 &gt; ($B6/100)),"Yes","No")</f>
        <v>Yes</v>
      </c>
      <c r="D16" s="12" t="str">
        <f t="shared" ref="D16:J16" si="2">IF((D6 &gt; ($B6/100)),"Yes","No")</f>
        <v>Yes</v>
      </c>
      <c r="E16" s="12" t="str">
        <f t="shared" si="2"/>
        <v>Yes</v>
      </c>
      <c r="F16" s="12" t="str">
        <f t="shared" si="2"/>
        <v>Yes</v>
      </c>
      <c r="G16" s="12" t="str">
        <f t="shared" si="2"/>
        <v>No</v>
      </c>
      <c r="H16" s="12" t="str">
        <f t="shared" si="2"/>
        <v>Yes</v>
      </c>
      <c r="I16" s="12" t="str">
        <f t="shared" si="2"/>
        <v>No</v>
      </c>
      <c r="J16" s="12" t="str">
        <f t="shared" si="2"/>
        <v>Yes</v>
      </c>
    </row>
    <row r="17" spans="1:9" ht="15" customHeight="1" x14ac:dyDescent="0.25">
      <c r="A17" s="14" t="str">
        <f>'Black or African-American'!B16</f>
        <v>release 10/17/05</v>
      </c>
    </row>
    <row r="18" spans="1:9" ht="15" customHeight="1" x14ac:dyDescent="0.25">
      <c r="A18" s="15" t="s">
        <v>18</v>
      </c>
      <c r="B18" s="15"/>
      <c r="C18" s="15"/>
      <c r="D18" s="15"/>
      <c r="E18" s="15"/>
      <c r="F18" s="15"/>
      <c r="G18" s="15"/>
    </row>
    <row r="19" spans="1:9" ht="15" customHeight="1" x14ac:dyDescent="0.25">
      <c r="A19" s="101" t="s">
        <v>138</v>
      </c>
      <c r="B19" s="101"/>
      <c r="C19" s="8"/>
      <c r="D19" s="169" t="s">
        <v>137</v>
      </c>
      <c r="E19" s="169"/>
      <c r="F19" s="169"/>
      <c r="G19" s="169"/>
      <c r="H19" s="169"/>
      <c r="I19" s="169"/>
    </row>
    <row r="20" spans="1:9" ht="15" customHeight="1" x14ac:dyDescent="0.25">
      <c r="A20" s="169" t="s">
        <v>109</v>
      </c>
      <c r="B20" s="169"/>
      <c r="C20" s="8"/>
      <c r="D20" s="169" t="s">
        <v>110</v>
      </c>
      <c r="E20" s="169"/>
      <c r="F20" s="169"/>
      <c r="G20" s="169"/>
      <c r="H20" s="169"/>
      <c r="I20" s="169"/>
    </row>
    <row r="21" spans="1:9" ht="15" customHeight="1" x14ac:dyDescent="0.25">
      <c r="A21" s="169" t="s">
        <v>111</v>
      </c>
      <c r="B21" s="169"/>
      <c r="C21" s="8"/>
      <c r="D21" s="169" t="s">
        <v>112</v>
      </c>
      <c r="E21" s="169"/>
      <c r="F21" s="169"/>
      <c r="G21" s="169"/>
      <c r="H21" s="169"/>
      <c r="I21" s="169"/>
    </row>
    <row r="22" spans="1:9" ht="15" customHeight="1" x14ac:dyDescent="0.25">
      <c r="A22" s="169" t="s">
        <v>113</v>
      </c>
      <c r="B22" s="169"/>
      <c r="C22" s="8"/>
      <c r="D22" s="169" t="s">
        <v>114</v>
      </c>
      <c r="E22" s="169"/>
      <c r="F22" s="169"/>
      <c r="G22" s="169"/>
      <c r="H22" s="169"/>
      <c r="I22" s="169"/>
    </row>
    <row r="23" spans="1:9" ht="15" customHeight="1" x14ac:dyDescent="0.25">
      <c r="A23" s="169" t="s">
        <v>115</v>
      </c>
      <c r="B23" s="169"/>
      <c r="C23" s="8"/>
      <c r="D23" s="169" t="s">
        <v>116</v>
      </c>
      <c r="E23" s="169"/>
      <c r="F23" s="169"/>
      <c r="G23" s="169"/>
      <c r="H23" s="169"/>
      <c r="I23" s="169"/>
    </row>
    <row r="24" spans="1:9" ht="15" customHeight="1" x14ac:dyDescent="0.25">
      <c r="A24" s="8"/>
      <c r="B24" s="8"/>
      <c r="C24" s="8"/>
      <c r="D24" s="8"/>
      <c r="E24" s="8"/>
      <c r="F24" s="8"/>
      <c r="G24" s="8"/>
      <c r="H24" s="8"/>
      <c r="I24" s="8"/>
    </row>
    <row r="27" spans="1:9" s="8" customFormat="1" ht="81.75" customHeight="1" x14ac:dyDescent="0.25"/>
    <row r="33" spans="1:3" ht="15.75" customHeight="1" x14ac:dyDescent="0.25">
      <c r="C33" s="16"/>
    </row>
    <row r="34" spans="1:3" ht="15.75" customHeight="1" x14ac:dyDescent="0.25">
      <c r="A34" s="1" t="s">
        <v>19</v>
      </c>
      <c r="B34" s="1" t="s">
        <v>28</v>
      </c>
      <c r="C34" s="16"/>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1">
    <mergeCell ref="A22:B22"/>
    <mergeCell ref="A23:B23"/>
    <mergeCell ref="D23:I23"/>
    <mergeCell ref="D22:I22"/>
    <mergeCell ref="D20:I20"/>
    <mergeCell ref="B1:H1"/>
    <mergeCell ref="A21:B21"/>
    <mergeCell ref="A20:B20"/>
    <mergeCell ref="C4:F4"/>
    <mergeCell ref="D21:I21"/>
    <mergeCell ref="D19:I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0"/>
  <sheetViews>
    <sheetView showGridLines="0" showRowColHeaders="0" zoomScale="95" zoomScaleNormal="95" workbookViewId="0">
      <selection activeCell="I5" sqref="I5"/>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7" hidden="1" customWidth="1"/>
    <col min="21" max="21" width="12" style="18" hidden="1" customWidth="1"/>
    <col min="22" max="26" width="0" style="1" hidden="1" customWidth="1"/>
  </cols>
  <sheetData>
    <row r="1" spans="2:21" ht="27.75" customHeight="1" x14ac:dyDescent="0.25">
      <c r="B1" s="15" t="s">
        <v>29</v>
      </c>
      <c r="D1" s="19" t="s">
        <v>30</v>
      </c>
      <c r="E1" s="13"/>
      <c r="F1" s="211" t="str">
        <f>'Data Entry'!J5</f>
        <v>All Minorities</v>
      </c>
      <c r="G1" s="211"/>
      <c r="H1" s="211"/>
      <c r="I1" s="211"/>
      <c r="J1" s="211"/>
      <c r="K1" s="8"/>
      <c r="N1" s="20"/>
      <c r="O1" s="20"/>
      <c r="P1" s="20"/>
      <c r="Q1" s="20"/>
      <c r="R1" s="20"/>
    </row>
    <row r="2" spans="2:21" ht="15" customHeight="1" x14ac:dyDescent="0.25">
      <c r="B2" s="4" t="str">
        <f>'Data Entry'!A2</f>
        <v>State: Michigan</v>
      </c>
      <c r="C2" s="4"/>
      <c r="D2" s="4"/>
      <c r="E2" s="4"/>
      <c r="F2" s="4"/>
      <c r="N2" s="20"/>
      <c r="O2" s="20"/>
      <c r="P2" s="20"/>
      <c r="Q2" s="20"/>
      <c r="R2" s="20"/>
    </row>
    <row r="3" spans="2:21" ht="15" customHeight="1" x14ac:dyDescent="0.25">
      <c r="B3" s="4" t="str">
        <f>'Data Entry'!A3</f>
        <v>County: Roscommon</v>
      </c>
      <c r="C3" s="21"/>
      <c r="D3" s="21"/>
      <c r="E3" s="21"/>
      <c r="F3" s="21"/>
      <c r="G3" s="7"/>
      <c r="H3" s="7"/>
      <c r="I3" s="7"/>
      <c r="J3" s="7"/>
      <c r="K3" s="7"/>
      <c r="N3" s="210" t="s">
        <v>31</v>
      </c>
      <c r="O3" s="210"/>
      <c r="P3" s="210"/>
      <c r="Q3" s="210"/>
      <c r="R3" s="210"/>
      <c r="S3" s="210"/>
      <c r="T3" s="210"/>
      <c r="U3" s="210"/>
    </row>
    <row r="4" spans="2:21" ht="8.25" customHeight="1" x14ac:dyDescent="0.25">
      <c r="B4" s="4"/>
      <c r="C4" s="22"/>
      <c r="D4" s="22"/>
      <c r="E4" s="22"/>
      <c r="F4" s="22"/>
      <c r="G4" s="8"/>
      <c r="H4" s="8"/>
      <c r="I4" s="8"/>
      <c r="N4" s="210"/>
      <c r="O4" s="210"/>
      <c r="P4" s="210"/>
      <c r="Q4" s="210"/>
      <c r="R4" s="210"/>
      <c r="S4" s="210"/>
      <c r="T4" s="210"/>
      <c r="U4" s="210"/>
    </row>
    <row r="5" spans="2:21" ht="66.75" customHeight="1" x14ac:dyDescent="0.25">
      <c r="B5" s="23" t="s">
        <v>32</v>
      </c>
      <c r="C5" s="24" t="s">
        <v>33</v>
      </c>
      <c r="D5" s="25" t="s">
        <v>34</v>
      </c>
      <c r="E5" s="24" t="s">
        <v>35</v>
      </c>
      <c r="F5" s="24" t="s">
        <v>36</v>
      </c>
      <c r="G5" s="26" t="s">
        <v>37</v>
      </c>
      <c r="H5" s="24"/>
      <c r="I5" s="24"/>
      <c r="J5" s="24" t="s">
        <v>38</v>
      </c>
      <c r="K5" s="27" t="s">
        <v>39</v>
      </c>
      <c r="L5" s="8" t="s">
        <v>40</v>
      </c>
      <c r="M5" s="8" t="s">
        <v>41</v>
      </c>
      <c r="N5" s="28" t="s">
        <v>42</v>
      </c>
      <c r="O5" s="20" t="s">
        <v>43</v>
      </c>
      <c r="P5" s="20" t="s">
        <v>44</v>
      </c>
      <c r="Q5" s="20" t="s">
        <v>45</v>
      </c>
      <c r="R5" s="20" t="s">
        <v>46</v>
      </c>
      <c r="S5" s="29" t="s">
        <v>47</v>
      </c>
      <c r="T5" s="29" t="s">
        <v>48</v>
      </c>
      <c r="U5" s="30" t="s">
        <v>49</v>
      </c>
    </row>
    <row r="6" spans="2:21" ht="20.25" customHeight="1" x14ac:dyDescent="0.25">
      <c r="B6" s="31" t="str">
        <f>'Data Entry'!A6</f>
        <v xml:space="preserve">1. Population at risk (age 10 through 16) </v>
      </c>
      <c r="C6" s="32">
        <f>'Data Entry'!C6</f>
        <v>1482</v>
      </c>
      <c r="D6" s="33"/>
      <c r="E6" s="32">
        <f>'Data Entry'!J6</f>
        <v>95</v>
      </c>
      <c r="F6" s="33"/>
      <c r="G6" s="34"/>
      <c r="H6" s="35"/>
      <c r="I6" s="36"/>
      <c r="J6" s="37"/>
      <c r="K6" s="36"/>
      <c r="L6" s="1">
        <f>IF( ('Data Entry'!J6&gt;('Data Entry'!B6/100)),1,100)</f>
        <v>1</v>
      </c>
      <c r="M6" s="1" t="s">
        <v>50</v>
      </c>
      <c r="N6" s="20"/>
      <c r="O6" s="20"/>
      <c r="P6" s="20"/>
      <c r="Q6" s="20"/>
      <c r="R6" s="20"/>
      <c r="S6" s="29"/>
      <c r="T6" s="29"/>
      <c r="U6" s="30"/>
    </row>
    <row r="7" spans="2:21" ht="18" customHeight="1" x14ac:dyDescent="0.25">
      <c r="B7" s="31" t="str">
        <f>'Data Entry'!A7</f>
        <v xml:space="preserve">2. Juvenile Arrests </v>
      </c>
      <c r="C7" s="32">
        <f>'Data Entry'!C7</f>
        <v>100</v>
      </c>
      <c r="D7" s="33">
        <f>IF((AND(C66&gt;0,C7&gt;0)),(C7/C66),0)</f>
        <v>67.476383265856953</v>
      </c>
      <c r="E7" s="32">
        <f>'Data Entry'!J7</f>
        <v>0</v>
      </c>
      <c r="F7" s="33">
        <f>IF((AND($E$7&gt;0,$D$66&gt;0)),($E$7/$D$66),0)</f>
        <v>0</v>
      </c>
      <c r="G7" s="38" t="str">
        <f t="shared" ref="G7:G15" si="0">IF(L$6=100,"*",IF(M7=FALSE,"--",IF(K7=20,"**",($F7/$D7))))</f>
        <v>**</v>
      </c>
      <c r="H7" s="39"/>
      <c r="I7" s="40"/>
      <c r="J7" s="39">
        <f>IF((ABS($U7)&gt;Defaults!D$7),1,2)</f>
        <v>1</v>
      </c>
      <c r="K7" s="38">
        <f>IF((AND(N7&gt;Defaults!B$12,(N7+O7)&gt;Defaults!B$13, P7 &gt; Defaults!B$12, (P7+Q7) &gt; Defaults!B$13)),1,20)</f>
        <v>20</v>
      </c>
      <c r="L7" s="1">
        <f t="shared" ref="L7:L15" si="1">(J7*K7+L$6)-1</f>
        <v>20</v>
      </c>
      <c r="M7" s="1" t="b">
        <f t="shared" ref="M7:M15" si="2">(ISNUMBER(J7))</f>
        <v>1</v>
      </c>
      <c r="N7" s="41">
        <f t="shared" ref="N7:N15" si="3">E7</f>
        <v>0</v>
      </c>
      <c r="O7" s="41">
        <f>E6-E7</f>
        <v>95</v>
      </c>
      <c r="P7" s="41">
        <f t="shared" ref="P7:P15" si="4">C7</f>
        <v>100</v>
      </c>
      <c r="Q7" s="41">
        <f>C6-C7</f>
        <v>1382</v>
      </c>
      <c r="R7" s="41">
        <f t="shared" ref="R7:R15" si="5">SUM(N7:Q7)</f>
        <v>1577</v>
      </c>
      <c r="S7" s="29">
        <f t="shared" ref="S7:S15" si="6">R7*((((N7*Q7)-(O7*P7))^2))</f>
        <v>142324250000</v>
      </c>
      <c r="T7" s="29">
        <f t="shared" ref="T7:T15" si="7">(N7+O7)*(P7+Q7)*(N7+P7)*(O7+Q7)</f>
        <v>20794683000</v>
      </c>
      <c r="U7" s="30">
        <f t="shared" ref="U7:U15" si="8">IF((S7&gt;0),S7/T7,"- -")</f>
        <v>6.8442615835980769</v>
      </c>
    </row>
    <row r="8" spans="2:21" ht="18" customHeight="1" x14ac:dyDescent="0.25">
      <c r="B8" s="31" t="str">
        <f>'Data Entry'!A8</f>
        <v>3. Refer to Juvenile Court</v>
      </c>
      <c r="C8" s="32">
        <f>'Data Entry'!C8</f>
        <v>127</v>
      </c>
      <c r="D8" s="33">
        <f>IF((AND(C67&gt;0,C8&gt;0)),(C8/C67),0)</f>
        <v>127</v>
      </c>
      <c r="E8" s="32">
        <f>'Data Entry'!J8</f>
        <v>0</v>
      </c>
      <c r="F8" s="33">
        <f>IF((AND($E$8&gt;0,$D$67&gt;0)),($E8/$D67),0)</f>
        <v>0</v>
      </c>
      <c r="G8" s="38" t="str">
        <f t="shared" si="0"/>
        <v>**</v>
      </c>
      <c r="H8" s="39"/>
      <c r="I8" s="40"/>
      <c r="J8" s="39">
        <f>IF((ABS($U8)&gt;Defaults!D$7),1,2)</f>
        <v>2</v>
      </c>
      <c r="K8" s="38">
        <f>IF((AND(N8&gt;Defaults!B$12,(N8+O8)&gt;Defaults!B$13, P8 &gt; Defaults!B$12, (P8+Q8) &gt; Defaults!B$13)),1,20)</f>
        <v>20</v>
      </c>
      <c r="L8" s="1">
        <f t="shared" si="1"/>
        <v>40</v>
      </c>
      <c r="M8" s="1" t="b">
        <f t="shared" si="2"/>
        <v>1</v>
      </c>
      <c r="N8" s="41">
        <f t="shared" si="3"/>
        <v>0</v>
      </c>
      <c r="O8" s="41">
        <f>((D67*L67)-E8)+0.05</f>
        <v>0.05</v>
      </c>
      <c r="P8" s="41">
        <f t="shared" si="4"/>
        <v>127</v>
      </c>
      <c r="Q8" s="41">
        <f>(C$67*L67)-C8</f>
        <v>-27</v>
      </c>
      <c r="R8" s="41">
        <f t="shared" si="5"/>
        <v>100.05</v>
      </c>
      <c r="S8" s="29">
        <f t="shared" si="6"/>
        <v>4034.2661250000006</v>
      </c>
      <c r="T8" s="29">
        <f t="shared" si="7"/>
        <v>-17113.25</v>
      </c>
      <c r="U8" s="30">
        <f t="shared" si="8"/>
        <v>-0.23573933209647499</v>
      </c>
    </row>
    <row r="9" spans="2:21" ht="18" customHeight="1" x14ac:dyDescent="0.25">
      <c r="B9" s="31" t="str">
        <f>'Data Entry'!A9</f>
        <v xml:space="preserve">4. Cases Diverted </v>
      </c>
      <c r="C9" s="32">
        <f>'Data Entry'!C9</f>
        <v>0</v>
      </c>
      <c r="D9" s="33">
        <f>IF((AND(C68&gt;0,C9&gt;0)),((C9/C68)),0)</f>
        <v>0</v>
      </c>
      <c r="E9" s="32">
        <f>'Data Entry'!J9</f>
        <v>0</v>
      </c>
      <c r="F9" s="33">
        <f>IF((AND($E$9&gt;0,$D$68&gt;0)),(($E$9/$D$68)),0)</f>
        <v>0</v>
      </c>
      <c r="G9" s="38" t="str">
        <f t="shared" si="0"/>
        <v>--</v>
      </c>
      <c r="H9" s="39"/>
      <c r="I9" s="40"/>
      <c r="J9" s="39" t="e">
        <f>IF((ABS($U9)&gt;Defaults!D$7),1,2)</f>
        <v>#VALUE!</v>
      </c>
      <c r="K9" s="38">
        <f>IF((AND(N9&gt;Defaults!B$12,(N9+O9)&gt;Defaults!B$13, P9 &gt; Defaults!B$12, (P9+Q9) &gt; Defaults!B$13)),1,20)</f>
        <v>20</v>
      </c>
      <c r="L9" s="1" t="e">
        <f t="shared" si="1"/>
        <v>#VALUE!</v>
      </c>
      <c r="M9" s="1" t="b">
        <f t="shared" si="2"/>
        <v>0</v>
      </c>
      <c r="N9" s="41">
        <f t="shared" si="3"/>
        <v>0</v>
      </c>
      <c r="O9" s="41">
        <f>(D$68*L68)-E9</f>
        <v>0</v>
      </c>
      <c r="P9" s="41">
        <f t="shared" si="4"/>
        <v>0</v>
      </c>
      <c r="Q9" s="41">
        <f>(C$68*L68)-C9</f>
        <v>127</v>
      </c>
      <c r="R9" s="41">
        <f t="shared" si="5"/>
        <v>127</v>
      </c>
      <c r="S9" s="29">
        <f t="shared" si="6"/>
        <v>0</v>
      </c>
      <c r="T9" s="29">
        <f t="shared" si="7"/>
        <v>0</v>
      </c>
      <c r="U9" s="30" t="str">
        <f t="shared" si="8"/>
        <v>- -</v>
      </c>
    </row>
    <row r="10" spans="2:21" ht="18" customHeight="1" x14ac:dyDescent="0.25">
      <c r="B10" s="31" t="str">
        <f>'Data Entry'!A10</f>
        <v>5. Cases Involving Secure Detention</v>
      </c>
      <c r="C10" s="32">
        <f>'Data Entry'!C10</f>
        <v>9</v>
      </c>
      <c r="D10" s="33">
        <f>IF(((AND(C68&gt;0,C10&gt;0))),(C10/(C68)),0)</f>
        <v>7.0866141732283463</v>
      </c>
      <c r="E10" s="32">
        <f>'Data Entry'!J10</f>
        <v>0</v>
      </c>
      <c r="F10" s="33">
        <f>IF(((AND($E$10&gt;0,$D$68&gt;0))),($E$10/($D$68)),0)</f>
        <v>0</v>
      </c>
      <c r="G10" s="38" t="str">
        <f t="shared" si="0"/>
        <v>--</v>
      </c>
      <c r="H10" s="39"/>
      <c r="I10" s="40"/>
      <c r="J10" s="39" t="e">
        <f>IF((ABS($U10)&gt;Defaults!D$7),1,2)</f>
        <v>#VALUE!</v>
      </c>
      <c r="K10" s="38">
        <f>IF((AND(N10&gt;Defaults!B$12,(N10+O10)&gt;Defaults!B$13, P10 &gt; Defaults!B$12, (P10+Q10) &gt; Defaults!B$13)),1,20)</f>
        <v>20</v>
      </c>
      <c r="L10" s="1" t="e">
        <f t="shared" si="1"/>
        <v>#VALUE!</v>
      </c>
      <c r="M10" s="1" t="b">
        <f t="shared" si="2"/>
        <v>0</v>
      </c>
      <c r="N10" s="41">
        <f t="shared" si="3"/>
        <v>0</v>
      </c>
      <c r="O10" s="41">
        <f>(D$68*L68)-E10</f>
        <v>0</v>
      </c>
      <c r="P10" s="41">
        <f t="shared" si="4"/>
        <v>9</v>
      </c>
      <c r="Q10" s="41">
        <f>(C$68*L68)-C10</f>
        <v>118</v>
      </c>
      <c r="R10" s="41">
        <f t="shared" si="5"/>
        <v>127</v>
      </c>
      <c r="S10" s="29">
        <f t="shared" si="6"/>
        <v>0</v>
      </c>
      <c r="T10" s="29">
        <f t="shared" si="7"/>
        <v>0</v>
      </c>
      <c r="U10" s="30" t="str">
        <f t="shared" si="8"/>
        <v>- -</v>
      </c>
    </row>
    <row r="11" spans="2:21" ht="18" customHeight="1" x14ac:dyDescent="0.25">
      <c r="B11" s="31" t="str">
        <f>'Data Entry'!A11</f>
        <v>6. Cases Petitioned (Charge Filed)</v>
      </c>
      <c r="C11" s="32">
        <f>'Data Entry'!C11</f>
        <v>40</v>
      </c>
      <c r="D11" s="33">
        <f>IF(((AND(C68&gt;0,C11&gt;0))),(C11/(C68)),0)</f>
        <v>31.496062992125985</v>
      </c>
      <c r="E11" s="32">
        <f>'Data Entry'!J11</f>
        <v>0</v>
      </c>
      <c r="F11" s="33">
        <f>IF(((AND($E$11&gt;0,$D$68&gt;0))),($E$11/($D$68)),0)</f>
        <v>0</v>
      </c>
      <c r="G11" s="38" t="str">
        <f t="shared" si="0"/>
        <v>--</v>
      </c>
      <c r="H11" s="39"/>
      <c r="I11" s="40"/>
      <c r="J11" s="39" t="e">
        <f>IF((ABS($U11)&gt;Defaults!D$7),1,2)</f>
        <v>#VALUE!</v>
      </c>
      <c r="K11" s="38">
        <f>IF((AND(N11&gt;Defaults!B$12,(N11+O11)&gt;Defaults!B$13, P11 &gt; Defaults!B$12, (P11+Q11) &gt; Defaults!B$13)),1,20)</f>
        <v>20</v>
      </c>
      <c r="L11" s="1" t="e">
        <f t="shared" si="1"/>
        <v>#VALUE!</v>
      </c>
      <c r="M11" s="1" t="b">
        <f t="shared" si="2"/>
        <v>0</v>
      </c>
      <c r="N11" s="41">
        <f t="shared" si="3"/>
        <v>0</v>
      </c>
      <c r="O11" s="41">
        <f>(D$68*L68)-E11</f>
        <v>0</v>
      </c>
      <c r="P11" s="41">
        <f t="shared" si="4"/>
        <v>40</v>
      </c>
      <c r="Q11" s="41">
        <f>(C$68*L68)-C11</f>
        <v>87</v>
      </c>
      <c r="R11" s="41">
        <f t="shared" si="5"/>
        <v>127</v>
      </c>
      <c r="S11" s="29">
        <f t="shared" si="6"/>
        <v>0</v>
      </c>
      <c r="T11" s="29">
        <f t="shared" si="7"/>
        <v>0</v>
      </c>
      <c r="U11" s="30" t="str">
        <f t="shared" si="8"/>
        <v>- -</v>
      </c>
    </row>
    <row r="12" spans="2:21" ht="18" customHeight="1" x14ac:dyDescent="0.25">
      <c r="B12" s="31" t="str">
        <f>'Data Entry'!A12</f>
        <v>7. Cases Resulting in Delinquent Findings</v>
      </c>
      <c r="C12" s="32">
        <f>'Data Entry'!C12</f>
        <v>42</v>
      </c>
      <c r="D12" s="33">
        <f>IF(((AND(C69&gt;0,C12&gt;0))),(C12/(C69)),0)</f>
        <v>105</v>
      </c>
      <c r="E12" s="32">
        <f>'Data Entry'!J12</f>
        <v>0</v>
      </c>
      <c r="F12" s="33">
        <f>IF(((AND($D$69&gt;0,$E$12&gt;0))),(E12/(D69)),0)</f>
        <v>0</v>
      </c>
      <c r="G12" s="38" t="str">
        <f t="shared" si="0"/>
        <v>--</v>
      </c>
      <c r="H12" s="39"/>
      <c r="I12" s="40"/>
      <c r="J12" s="39" t="e">
        <f>IF((ABS($U12)&gt;Defaults!D$7),1,2)</f>
        <v>#VALUE!</v>
      </c>
      <c r="K12" s="38">
        <f>IF((AND(N12&gt;Defaults!B$12,(N12+O12)&gt;Defaults!B$13, P12 &gt; Defaults!B$12, (P12+Q12) &gt; Defaults!B$13)),1,20)</f>
        <v>20</v>
      </c>
      <c r="L12" s="1" t="e">
        <f t="shared" si="1"/>
        <v>#VALUE!</v>
      </c>
      <c r="M12" s="1" t="b">
        <f t="shared" si="2"/>
        <v>0</v>
      </c>
      <c r="N12" s="41">
        <f t="shared" si="3"/>
        <v>0</v>
      </c>
      <c r="O12" s="41">
        <f>(D69*L69)-E12</f>
        <v>0</v>
      </c>
      <c r="P12" s="41">
        <f t="shared" si="4"/>
        <v>42</v>
      </c>
      <c r="Q12" s="41">
        <f>(C69*L69)-C12</f>
        <v>-2</v>
      </c>
      <c r="R12" s="41">
        <f t="shared" si="5"/>
        <v>40</v>
      </c>
      <c r="S12" s="29">
        <f t="shared" si="6"/>
        <v>0</v>
      </c>
      <c r="T12" s="29">
        <f t="shared" si="7"/>
        <v>0</v>
      </c>
      <c r="U12" s="30" t="str">
        <f t="shared" si="8"/>
        <v>- -</v>
      </c>
    </row>
    <row r="13" spans="2:21" ht="18" customHeight="1" x14ac:dyDescent="0.25">
      <c r="B13" s="31" t="str">
        <f>'Data Entry'!A13</f>
        <v>8. Cases Resulting in Probation Placement</v>
      </c>
      <c r="C13" s="32">
        <f>'Data Entry'!C13</f>
        <v>91</v>
      </c>
      <c r="D13" s="33">
        <f>IF(((AND(C70&gt;0,C13&gt;0))),(C13/(C70)),0)</f>
        <v>216.66666666666669</v>
      </c>
      <c r="E13" s="32">
        <f>'Data Entry'!J13</f>
        <v>0</v>
      </c>
      <c r="F13" s="33">
        <f>IF(((AND($D$70&gt;0,$E$13&gt;0))),($E$13/($D$70)),0)</f>
        <v>0</v>
      </c>
      <c r="G13" s="38" t="str">
        <f t="shared" si="0"/>
        <v>--</v>
      </c>
      <c r="H13" s="39"/>
      <c r="I13" s="40"/>
      <c r="J13" s="39" t="e">
        <f>IF((ABS($U13)&gt;Defaults!D$7),1,2)</f>
        <v>#VALUE!</v>
      </c>
      <c r="K13" s="38">
        <f>IF((AND(N13&gt;Defaults!B$12,(N13+O13)&gt;Defaults!B$13, P13 &gt; Defaults!B$12, (P13+Q13) &gt; Defaults!B$13)),1,20)</f>
        <v>20</v>
      </c>
      <c r="L13" s="1" t="e">
        <f t="shared" si="1"/>
        <v>#VALUE!</v>
      </c>
      <c r="M13" s="1" t="b">
        <f t="shared" si="2"/>
        <v>0</v>
      </c>
      <c r="N13" s="41">
        <f t="shared" si="3"/>
        <v>0</v>
      </c>
      <c r="O13" s="41">
        <f>(D70*L70)-E13</f>
        <v>0</v>
      </c>
      <c r="P13" s="41">
        <f t="shared" si="4"/>
        <v>91</v>
      </c>
      <c r="Q13" s="41">
        <f>(C70*L70)-C13</f>
        <v>-49</v>
      </c>
      <c r="R13" s="41">
        <f t="shared" si="5"/>
        <v>42</v>
      </c>
      <c r="S13" s="29">
        <f t="shared" si="6"/>
        <v>0</v>
      </c>
      <c r="T13" s="29">
        <f t="shared" si="7"/>
        <v>0</v>
      </c>
      <c r="U13" s="30" t="str">
        <f t="shared" si="8"/>
        <v>- -</v>
      </c>
    </row>
    <row r="14" spans="2:21" ht="30.75" customHeight="1" x14ac:dyDescent="0.25">
      <c r="B14" s="31" t="str">
        <f>'Data Entry'!A14</f>
        <v xml:space="preserve">9. Cases Resulting in Confinement in Secure Juvenile Correctional Facilities </v>
      </c>
      <c r="C14" s="32">
        <f>'Data Entry'!C14</f>
        <v>36</v>
      </c>
      <c r="D14" s="33">
        <f>IF(((AND(C70&gt;0,C14&gt;0))), ((C14/(C70))),0)</f>
        <v>85.714285714285722</v>
      </c>
      <c r="E14" s="32">
        <f>'Data Entry'!J14</f>
        <v>0</v>
      </c>
      <c r="F14" s="33">
        <f>IF(((AND($D$70&gt;0,$E$14&gt;0))), (($E$14/($D$70))),0)</f>
        <v>0</v>
      </c>
      <c r="G14" s="38" t="str">
        <f t="shared" si="0"/>
        <v>--</v>
      </c>
      <c r="H14" s="39"/>
      <c r="I14" s="40"/>
      <c r="J14" s="39" t="e">
        <f>IF((ABS($U14)&gt;Defaults!D$7),1,2)</f>
        <v>#VALUE!</v>
      </c>
      <c r="K14" s="38">
        <f>IF((AND(N14&gt;Defaults!B$12,(N14+O14)&gt;Defaults!B$13, P14 &gt; Defaults!B$12, (P14+Q14) &gt; Defaults!B$13)),1,20)</f>
        <v>20</v>
      </c>
      <c r="L14" s="1" t="e">
        <f t="shared" si="1"/>
        <v>#VALUE!</v>
      </c>
      <c r="M14" s="1" t="b">
        <f t="shared" si="2"/>
        <v>0</v>
      </c>
      <c r="N14" s="41">
        <f t="shared" si="3"/>
        <v>0</v>
      </c>
      <c r="O14" s="41">
        <f>(D70*L70)-E14</f>
        <v>0</v>
      </c>
      <c r="P14" s="41">
        <f t="shared" si="4"/>
        <v>36</v>
      </c>
      <c r="Q14" s="41">
        <f>(C70*L70)-C14</f>
        <v>6</v>
      </c>
      <c r="R14" s="41">
        <f t="shared" si="5"/>
        <v>42</v>
      </c>
      <c r="S14" s="29">
        <f t="shared" si="6"/>
        <v>0</v>
      </c>
      <c r="T14" s="29">
        <f t="shared" si="7"/>
        <v>0</v>
      </c>
      <c r="U14" s="30" t="str">
        <f t="shared" si="8"/>
        <v>- -</v>
      </c>
    </row>
    <row r="15" spans="2:21" ht="15.75" customHeight="1" x14ac:dyDescent="0.25">
      <c r="B15" s="31" t="str">
        <f>'Data Entry'!A15</f>
        <v xml:space="preserve">10. Cases Transferred to Adult Court </v>
      </c>
      <c r="C15" s="32">
        <f>'Data Entry'!C15</f>
        <v>0</v>
      </c>
      <c r="D15" s="33">
        <f>IF(((AND(C69&gt;0,C15&gt;0))),((C15/(C69))),0)</f>
        <v>0</v>
      </c>
      <c r="E15" s="32">
        <f>'Data Entry'!J15</f>
        <v>0</v>
      </c>
      <c r="F15" s="33">
        <f>IF(((AND($D$69&gt;0,$E$15&gt;0))),(($E$15/($D$69))),0)</f>
        <v>0</v>
      </c>
      <c r="G15" s="38" t="str">
        <f t="shared" si="0"/>
        <v>--</v>
      </c>
      <c r="H15" s="39"/>
      <c r="I15" s="40"/>
      <c r="J15" s="39" t="e">
        <f>IF((ABS($U15)&gt;Defaults!D$7),1,2)</f>
        <v>#VALUE!</v>
      </c>
      <c r="K15" s="38">
        <f>IF((AND(N15&gt;Defaults!B$12,(N15+O15)&gt;Defaults!B$13, P15 &gt; Defaults!B$12, (P15+Q15) &gt; Defaults!B$13)),1,20)</f>
        <v>20</v>
      </c>
      <c r="L15" s="1" t="e">
        <f t="shared" si="1"/>
        <v>#VALUE!</v>
      </c>
      <c r="M15" s="1" t="b">
        <f t="shared" si="2"/>
        <v>0</v>
      </c>
      <c r="N15" s="41">
        <f t="shared" si="3"/>
        <v>0</v>
      </c>
      <c r="O15" s="41">
        <f>(D69*L69)-E15</f>
        <v>0</v>
      </c>
      <c r="P15" s="41">
        <f t="shared" si="4"/>
        <v>0</v>
      </c>
      <c r="Q15" s="41">
        <f>(C69*L69)-C15</f>
        <v>40</v>
      </c>
      <c r="R15" s="41">
        <f t="shared" si="5"/>
        <v>40</v>
      </c>
      <c r="S15" s="29">
        <f t="shared" si="6"/>
        <v>0</v>
      </c>
      <c r="T15" s="29">
        <f t="shared" si="7"/>
        <v>0</v>
      </c>
      <c r="U15" s="30" t="str">
        <f t="shared" si="8"/>
        <v>- -</v>
      </c>
    </row>
    <row r="16" spans="2:21" ht="12" customHeight="1" x14ac:dyDescent="0.25">
      <c r="B16" s="42" t="s">
        <v>93</v>
      </c>
      <c r="C16" s="43"/>
      <c r="D16" s="43"/>
      <c r="E16" s="43"/>
      <c r="F16" s="43"/>
      <c r="G16" s="43"/>
      <c r="H16" s="43"/>
      <c r="I16" s="43"/>
      <c r="N16" s="20"/>
      <c r="O16" s="20"/>
      <c r="P16" s="20"/>
      <c r="Q16" s="20"/>
      <c r="R16" s="20"/>
      <c r="S16" s="29"/>
      <c r="T16" s="29"/>
      <c r="U16" s="30"/>
    </row>
    <row r="17" spans="2:21" ht="26.25" customHeight="1" x14ac:dyDescent="0.25">
      <c r="B17" s="61"/>
      <c r="C17" s="61"/>
      <c r="D17" s="61"/>
      <c r="E17" s="61"/>
      <c r="F17" s="61"/>
      <c r="G17" s="61"/>
      <c r="H17" s="61"/>
      <c r="I17" s="61"/>
      <c r="K17" s="1" t="s">
        <v>94</v>
      </c>
      <c r="L17" s="1" t="s">
        <v>95</v>
      </c>
      <c r="N17" s="20"/>
      <c r="O17" s="20"/>
      <c r="P17" s="20"/>
      <c r="Q17" s="20"/>
      <c r="R17" s="20"/>
      <c r="S17" s="29"/>
      <c r="T17" s="29"/>
      <c r="U17" s="30"/>
    </row>
    <row r="18" spans="2:21" ht="15" customHeight="1" x14ac:dyDescent="0.25">
      <c r="B18" s="1" t="s">
        <v>52</v>
      </c>
    </row>
    <row r="19" spans="2:21" ht="15" customHeight="1" x14ac:dyDescent="0.25">
      <c r="B19" s="1" t="s">
        <v>53</v>
      </c>
      <c r="D19" s="44" t="s">
        <v>54</v>
      </c>
    </row>
    <row r="20" spans="2:21" ht="15" customHeight="1" x14ac:dyDescent="0.25">
      <c r="B20" s="1" t="s">
        <v>55</v>
      </c>
      <c r="D20" s="1" t="s">
        <v>56</v>
      </c>
    </row>
    <row r="21" spans="2:21" ht="15" customHeight="1" x14ac:dyDescent="0.25">
      <c r="B21" s="1" t="s">
        <v>57</v>
      </c>
      <c r="D21" s="1" t="s">
        <v>58</v>
      </c>
    </row>
    <row r="22" spans="2:21" ht="15" customHeight="1" x14ac:dyDescent="0.25">
      <c r="B22" s="1" t="s">
        <v>59</v>
      </c>
      <c r="D22" s="1" t="s">
        <v>60</v>
      </c>
    </row>
    <row r="23" spans="2:21" ht="15" customHeight="1" x14ac:dyDescent="0.25">
      <c r="B23" s="1" t="s">
        <v>61</v>
      </c>
      <c r="D23" s="1" t="s">
        <v>62</v>
      </c>
    </row>
    <row r="24" spans="2:21" ht="26.25" customHeight="1" x14ac:dyDescent="0.25">
      <c r="B24" s="61"/>
      <c r="C24" s="61"/>
      <c r="D24" s="61"/>
      <c r="E24" s="61"/>
      <c r="F24" s="61"/>
      <c r="G24" s="61"/>
      <c r="H24" s="61"/>
      <c r="I24" s="61"/>
      <c r="N24" s="20"/>
      <c r="O24" s="20"/>
      <c r="P24" s="20"/>
      <c r="Q24" s="20"/>
      <c r="R24" s="20"/>
      <c r="S24" s="29"/>
      <c r="T24" s="29"/>
      <c r="U24" s="30"/>
    </row>
    <row r="25" spans="2:21" ht="15" customHeight="1" x14ac:dyDescent="0.25">
      <c r="B25" s="45" t="s">
        <v>63</v>
      </c>
      <c r="K25" s="1" t="s">
        <v>64</v>
      </c>
      <c r="L25" s="1" t="s">
        <v>65</v>
      </c>
      <c r="N25" s="20"/>
      <c r="O25" s="20" t="b">
        <f>ISBLANK(N12)</f>
        <v>0</v>
      </c>
      <c r="P25" s="20"/>
      <c r="Q25" s="20"/>
      <c r="R25" s="20"/>
    </row>
    <row r="26" spans="2:21" ht="15" customHeight="1" x14ac:dyDescent="0.25">
      <c r="B26" s="46" t="s">
        <v>66</v>
      </c>
      <c r="F26" s="46" t="s">
        <v>67</v>
      </c>
      <c r="G26" s="46"/>
      <c r="H26" s="46"/>
      <c r="I26" s="46"/>
      <c r="J26" s="46"/>
      <c r="K26" s="47" t="s">
        <v>62</v>
      </c>
      <c r="L26" s="47" t="s">
        <v>68</v>
      </c>
      <c r="M26" s="47"/>
      <c r="R26" s="48"/>
    </row>
    <row r="27" spans="2:21" ht="15" customHeight="1" x14ac:dyDescent="0.25">
      <c r="B27" s="49" t="s">
        <v>69</v>
      </c>
      <c r="C27" s="49"/>
      <c r="D27" s="49"/>
      <c r="E27" s="49"/>
      <c r="F27" s="49" t="str">
        <f>B66</f>
        <v>per 1000 youth</v>
      </c>
      <c r="G27" s="49"/>
      <c r="H27" s="49"/>
      <c r="I27" s="49"/>
      <c r="J27" s="49">
        <f>F66</f>
        <v>0</v>
      </c>
      <c r="K27" s="49" t="s">
        <v>60</v>
      </c>
      <c r="L27" s="50" t="s">
        <v>70</v>
      </c>
      <c r="R27" s="48"/>
    </row>
    <row r="28" spans="2:21" ht="15" customHeight="1" x14ac:dyDescent="0.25">
      <c r="B28" s="49" t="s">
        <v>71</v>
      </c>
      <c r="C28" s="49"/>
      <c r="D28" s="49"/>
      <c r="E28" s="49"/>
      <c r="F28" s="51" t="str">
        <f>B67</f>
        <v>per 100 arrests</v>
      </c>
      <c r="G28" s="51"/>
      <c r="H28" s="51"/>
      <c r="I28" s="51"/>
      <c r="J28" s="51"/>
      <c r="K28" s="51" t="s">
        <v>58</v>
      </c>
      <c r="L28" s="52" t="s">
        <v>72</v>
      </c>
      <c r="R28" s="48"/>
    </row>
    <row r="29" spans="2:21" ht="15" customHeight="1" x14ac:dyDescent="0.25">
      <c r="B29" s="51" t="s">
        <v>73</v>
      </c>
      <c r="C29" s="51"/>
      <c r="D29" s="51"/>
      <c r="E29" s="51"/>
      <c r="F29" s="51" t="str">
        <f>B68</f>
        <v>per 100 referrals</v>
      </c>
      <c r="G29" s="51"/>
      <c r="H29" s="51"/>
      <c r="I29" s="51"/>
      <c r="J29" s="51"/>
      <c r="K29" s="51"/>
      <c r="L29" s="52"/>
      <c r="R29" s="48"/>
    </row>
    <row r="30" spans="2:21" ht="15" customHeight="1" x14ac:dyDescent="0.25">
      <c r="B30" s="51" t="s">
        <v>74</v>
      </c>
      <c r="C30" s="51"/>
      <c r="D30" s="51"/>
      <c r="E30" s="51"/>
      <c r="F30" s="51" t="str">
        <f>B68</f>
        <v>per 100 referrals</v>
      </c>
      <c r="G30" s="51"/>
      <c r="H30" s="51"/>
      <c r="I30" s="51"/>
      <c r="J30" s="51"/>
      <c r="K30" s="51"/>
      <c r="L30" s="52"/>
      <c r="N30" s="1" t="b">
        <f>ISNUMBER(J14)</f>
        <v>0</v>
      </c>
      <c r="R30" s="48"/>
    </row>
    <row r="31" spans="2:21" ht="15" customHeight="1" x14ac:dyDescent="0.25">
      <c r="B31" s="51" t="s">
        <v>75</v>
      </c>
      <c r="C31" s="51"/>
      <c r="D31" s="51"/>
      <c r="E31" s="51"/>
      <c r="F31" s="51" t="str">
        <f>B68</f>
        <v>per 100 referrals</v>
      </c>
      <c r="G31" s="51"/>
      <c r="H31" s="51"/>
      <c r="I31" s="51"/>
      <c r="J31" s="51"/>
      <c r="K31" s="51"/>
      <c r="L31" s="52"/>
      <c r="R31" s="48"/>
    </row>
    <row r="32" spans="2:21" ht="15" customHeight="1" x14ac:dyDescent="0.25">
      <c r="B32" s="51" t="s">
        <v>76</v>
      </c>
      <c r="C32" s="51"/>
      <c r="D32" s="51"/>
      <c r="E32" s="51"/>
      <c r="F32" s="51" t="str">
        <f>B69</f>
        <v>per 100 youth petitioned</v>
      </c>
      <c r="G32" s="51"/>
      <c r="H32" s="51"/>
      <c r="I32" s="51"/>
      <c r="J32" s="51"/>
      <c r="K32" s="51"/>
      <c r="L32" s="52"/>
      <c r="R32" s="48"/>
    </row>
    <row r="33" spans="2:18" ht="15" customHeight="1" x14ac:dyDescent="0.25">
      <c r="B33" s="51" t="s">
        <v>77</v>
      </c>
      <c r="C33" s="51"/>
      <c r="D33" s="51"/>
      <c r="E33" s="51"/>
      <c r="F33" s="51" t="str">
        <f>B70</f>
        <v>per 100 youth found delinquent</v>
      </c>
      <c r="G33" s="51"/>
      <c r="H33" s="51"/>
      <c r="I33" s="51"/>
      <c r="J33" s="51"/>
      <c r="K33" s="51"/>
      <c r="L33" s="52"/>
      <c r="R33" s="48"/>
    </row>
    <row r="34" spans="2:18" ht="15" customHeight="1" x14ac:dyDescent="0.25">
      <c r="B34" s="51" t="s">
        <v>78</v>
      </c>
      <c r="C34" s="51"/>
      <c r="D34" s="51"/>
      <c r="E34" s="51"/>
      <c r="F34" s="51" t="str">
        <f>B70</f>
        <v>per 100 youth found delinquent</v>
      </c>
      <c r="G34" s="51"/>
      <c r="H34" s="51"/>
      <c r="I34" s="51"/>
      <c r="J34" s="51"/>
      <c r="K34" s="51"/>
      <c r="L34" s="52"/>
      <c r="R34" s="48"/>
    </row>
    <row r="35" spans="2:18" ht="15" customHeight="1" x14ac:dyDescent="0.25">
      <c r="B35" s="51" t="s">
        <v>79</v>
      </c>
      <c r="C35" s="51"/>
      <c r="D35" s="51"/>
      <c r="E35" s="51"/>
      <c r="F35" s="51" t="str">
        <f>B69</f>
        <v>per 100 youth petitioned</v>
      </c>
      <c r="G35" s="51"/>
      <c r="H35" s="51"/>
      <c r="I35" s="51"/>
      <c r="J35" s="51"/>
      <c r="K35" s="51"/>
      <c r="L35" s="52"/>
      <c r="R35" s="48"/>
    </row>
    <row r="36" spans="2:18" ht="15" customHeight="1" x14ac:dyDescent="0.25">
      <c r="R36" s="48"/>
    </row>
    <row r="37" spans="2:18" ht="15" hidden="1" customHeight="1" x14ac:dyDescent="0.25">
      <c r="R37" s="48"/>
    </row>
    <row r="38" spans="2:18" ht="15" hidden="1" customHeight="1" x14ac:dyDescent="0.25">
      <c r="R38" s="48"/>
    </row>
    <row r="39" spans="2:18" ht="15" hidden="1" customHeight="1" x14ac:dyDescent="0.25">
      <c r="R39" s="48"/>
    </row>
    <row r="40" spans="2:18" ht="30.75" hidden="1" customHeight="1" x14ac:dyDescent="0.25">
      <c r="B40" s="209" t="s">
        <v>80</v>
      </c>
      <c r="C40" s="209"/>
      <c r="D40" s="209"/>
      <c r="E40" s="209"/>
      <c r="F40" s="209"/>
      <c r="G40" s="209"/>
      <c r="H40" s="209"/>
      <c r="I40" s="209"/>
      <c r="J40" s="209"/>
      <c r="K40" s="8"/>
      <c r="R40" s="48"/>
    </row>
    <row r="41" spans="2:18" ht="15" hidden="1" customHeight="1" x14ac:dyDescent="0.25">
      <c r="B41" s="53" t="s">
        <v>81</v>
      </c>
      <c r="C41" s="53" t="s">
        <v>82</v>
      </c>
      <c r="D41" s="54" t="s">
        <v>83</v>
      </c>
      <c r="E41" s="53" t="s">
        <v>84</v>
      </c>
      <c r="G41" s="53" t="s">
        <v>85</v>
      </c>
      <c r="H41" s="53"/>
      <c r="I41" s="53"/>
      <c r="L41" s="1" t="s">
        <v>86</v>
      </c>
      <c r="R41" s="48"/>
    </row>
    <row r="42" spans="2:18" ht="15" hidden="1" customHeight="1" x14ac:dyDescent="0.25">
      <c r="B42" s="48" t="s">
        <v>87</v>
      </c>
      <c r="C42" s="55">
        <f>C6/1000</f>
        <v>1.482</v>
      </c>
      <c r="D42" s="55">
        <f>E6/1000</f>
        <v>9.5000000000000001E-2</v>
      </c>
      <c r="E42" s="55">
        <f>MAX(C42:D42)</f>
        <v>1.482</v>
      </c>
      <c r="G42" s="1" t="str">
        <f>B42</f>
        <v>per 1000 youth</v>
      </c>
      <c r="L42" s="56">
        <v>1000</v>
      </c>
      <c r="M42" s="56"/>
      <c r="R42" s="48"/>
    </row>
    <row r="43" spans="2:18" ht="15" hidden="1" customHeight="1" x14ac:dyDescent="0.25">
      <c r="B43" s="48" t="s">
        <v>88</v>
      </c>
      <c r="C43" s="55">
        <f>C7/100</f>
        <v>1</v>
      </c>
      <c r="D43" s="55">
        <f>E7/100</f>
        <v>0</v>
      </c>
      <c r="E43" s="55">
        <f>MAX(C43:D43,0)</f>
        <v>1</v>
      </c>
      <c r="G43" s="1" t="str">
        <f>B43</f>
        <v>per 100 arrests</v>
      </c>
      <c r="L43" s="56">
        <v>100</v>
      </c>
      <c r="M43" s="56"/>
      <c r="R43" s="48"/>
    </row>
    <row r="44" spans="2:18" ht="15" hidden="1" customHeight="1" x14ac:dyDescent="0.25">
      <c r="B44" s="48" t="s">
        <v>89</v>
      </c>
      <c r="C44" s="55">
        <f>C8/100</f>
        <v>1.27</v>
      </c>
      <c r="D44" s="55">
        <f>E8/100</f>
        <v>0</v>
      </c>
      <c r="E44" s="55">
        <f>MAX(C44:D44,0)</f>
        <v>1.27</v>
      </c>
      <c r="G44" s="1" t="str">
        <f>B44</f>
        <v>per 100 referrals</v>
      </c>
      <c r="L44" s="56">
        <v>100</v>
      </c>
      <c r="M44" s="56"/>
      <c r="R44" s="48"/>
    </row>
    <row r="45" spans="2:18" ht="15" hidden="1" customHeight="1" x14ac:dyDescent="0.25">
      <c r="B45" s="48" t="s">
        <v>90</v>
      </c>
      <c r="C45" s="48">
        <f>C11/100</f>
        <v>0.4</v>
      </c>
      <c r="D45" s="48">
        <f>E11/100</f>
        <v>0</v>
      </c>
      <c r="E45" s="55">
        <f>MAX(C45:D45,0)</f>
        <v>0.4</v>
      </c>
      <c r="G45" s="1" t="str">
        <f>B45</f>
        <v>per 100 youth petitioned</v>
      </c>
      <c r="L45" s="56">
        <v>100</v>
      </c>
      <c r="M45" s="56"/>
      <c r="R45" s="48"/>
    </row>
    <row r="46" spans="2:18" ht="15" hidden="1" customHeight="1" x14ac:dyDescent="0.25">
      <c r="B46" s="48" t="s">
        <v>91</v>
      </c>
      <c r="C46" s="48">
        <f>C12/100</f>
        <v>0.42</v>
      </c>
      <c r="D46" s="48">
        <f>E12/100</f>
        <v>0</v>
      </c>
      <c r="E46" s="55">
        <f>MAX(C46:D46)</f>
        <v>0.42</v>
      </c>
      <c r="G46" s="1" t="str">
        <f>B46</f>
        <v>per 100 youth found delinquent</v>
      </c>
      <c r="L46" s="56">
        <v>100</v>
      </c>
      <c r="M46" s="56"/>
      <c r="R46" s="48"/>
    </row>
    <row r="47" spans="2:18" ht="15" hidden="1" customHeight="1" x14ac:dyDescent="0.25">
      <c r="B47" s="8"/>
      <c r="C47" s="8"/>
      <c r="D47" s="8"/>
      <c r="E47" s="8"/>
      <c r="L47" s="56"/>
      <c r="M47" s="56"/>
      <c r="R47" s="48"/>
    </row>
    <row r="48" spans="2:18" ht="15" hidden="1" customHeight="1" x14ac:dyDescent="0.25">
      <c r="B48" s="48" t="str">
        <f>B42</f>
        <v>per 1000 youth</v>
      </c>
      <c r="C48" s="55">
        <f>C42</f>
        <v>1.482</v>
      </c>
      <c r="D48" s="55">
        <f>D42</f>
        <v>9.5000000000000001E-2</v>
      </c>
      <c r="E48" s="55">
        <f>MAX(C48:D48)</f>
        <v>1.482</v>
      </c>
      <c r="G48" s="1" t="str">
        <f>G42</f>
        <v>per 1000 youth</v>
      </c>
      <c r="L48" s="57">
        <f>L42</f>
        <v>1000</v>
      </c>
      <c r="M48" s="57"/>
      <c r="N48" s="20"/>
      <c r="O48" s="20"/>
      <c r="P48" s="20"/>
      <c r="Q48" s="20"/>
      <c r="R48" s="20"/>
    </row>
    <row r="49" spans="2:18" ht="15" hidden="1" customHeight="1" x14ac:dyDescent="0.25">
      <c r="B49" s="48" t="str">
        <f t="shared" ref="B49:D50" si="9">IF(($E43&gt;0),B43,B42)</f>
        <v>per 100 arrests</v>
      </c>
      <c r="C49" s="48">
        <f t="shared" si="9"/>
        <v>1</v>
      </c>
      <c r="D49" s="48">
        <f t="shared" si="9"/>
        <v>0</v>
      </c>
      <c r="E49" s="48">
        <f>MAX(C49:D49)</f>
        <v>1</v>
      </c>
      <c r="G49" s="1" t="str">
        <f>G43</f>
        <v>per 100 arrests</v>
      </c>
      <c r="L49" s="57">
        <f>IF(($E43&gt;0),L43,L42)</f>
        <v>100</v>
      </c>
      <c r="M49" s="57"/>
      <c r="N49" s="20"/>
      <c r="O49" s="20"/>
      <c r="P49" s="20"/>
      <c r="Q49" s="20"/>
      <c r="R49" s="20"/>
    </row>
    <row r="50" spans="2:18" ht="15" hidden="1" customHeight="1" x14ac:dyDescent="0.25">
      <c r="B50" s="48" t="str">
        <f t="shared" si="9"/>
        <v>per 100 referrals</v>
      </c>
      <c r="C50" s="48">
        <f t="shared" si="9"/>
        <v>1.27</v>
      </c>
      <c r="D50" s="48">
        <f t="shared" si="9"/>
        <v>0</v>
      </c>
      <c r="E50" s="48">
        <f>MAX(C50:D50)</f>
        <v>1.27</v>
      </c>
      <c r="G50" s="1" t="str">
        <f>G44</f>
        <v>per 100 referrals</v>
      </c>
      <c r="L50" s="57">
        <f>IF(($E44&gt;0),L44,L43)</f>
        <v>100</v>
      </c>
      <c r="M50" s="57"/>
      <c r="N50" s="20"/>
      <c r="O50" s="20"/>
      <c r="P50" s="20"/>
      <c r="Q50" s="20"/>
      <c r="R50" s="20"/>
    </row>
    <row r="51" spans="2:18" ht="15" hidden="1" customHeight="1" x14ac:dyDescent="0.25">
      <c r="B51" s="48" t="str">
        <f>IF(($E45&gt;0),B45,B43)</f>
        <v>per 100 youth petitioned</v>
      </c>
      <c r="C51" s="48">
        <f>IF(($E45&gt;0),C45,C44)</f>
        <v>0.4</v>
      </c>
      <c r="D51" s="48">
        <f>IF(($E45&gt;0),D45,D44)</f>
        <v>0</v>
      </c>
      <c r="E51" s="48">
        <f>MAX(C51:D51)</f>
        <v>0.4</v>
      </c>
      <c r="G51" s="1" t="str">
        <f>G45</f>
        <v>per 100 youth petitioned</v>
      </c>
      <c r="L51" s="57">
        <f>IF(($E45&gt;0),L45,L44)</f>
        <v>100</v>
      </c>
      <c r="M51" s="57"/>
    </row>
    <row r="52" spans="2:18" ht="15" hidden="1" customHeight="1" x14ac:dyDescent="0.25">
      <c r="B52" s="48" t="str">
        <f>IF(($E46&gt;0),B46,B45)</f>
        <v>per 100 youth found delinquent</v>
      </c>
      <c r="C52" s="48">
        <f>IF(($E46&gt;0),C46,C45)</f>
        <v>0.42</v>
      </c>
      <c r="D52" s="48">
        <f>IF(($E46&gt;0),D46,D45)</f>
        <v>0</v>
      </c>
      <c r="E52" s="55">
        <f>MAX(C52:D52)</f>
        <v>0.42</v>
      </c>
      <c r="G52" s="1" t="str">
        <f>G46</f>
        <v>per 100 youth found delinquent</v>
      </c>
      <c r="L52" s="57">
        <f>IF(($E46&gt;0),L46,L45)</f>
        <v>100</v>
      </c>
      <c r="M52" s="57"/>
    </row>
    <row r="53" spans="2:18" ht="15" hidden="1" customHeight="1" x14ac:dyDescent="0.25">
      <c r="B53" s="48"/>
      <c r="C53" s="48"/>
      <c r="D53" s="48"/>
      <c r="E53" s="48"/>
      <c r="L53" s="56"/>
      <c r="M53" s="56"/>
    </row>
    <row r="54" spans="2:18" ht="15" hidden="1" customHeight="1" x14ac:dyDescent="0.25">
      <c r="B54" s="48" t="str">
        <f>B48</f>
        <v>per 1000 youth</v>
      </c>
      <c r="C54" s="55">
        <f>C48</f>
        <v>1.482</v>
      </c>
      <c r="D54" s="55">
        <f>D48</f>
        <v>9.5000000000000001E-2</v>
      </c>
      <c r="E54" s="55">
        <f>MAX(C54:D54)</f>
        <v>1.482</v>
      </c>
      <c r="G54" s="1" t="str">
        <f>G48</f>
        <v>per 1000 youth</v>
      </c>
      <c r="L54" s="57">
        <f>L48</f>
        <v>1000</v>
      </c>
      <c r="M54" s="57"/>
    </row>
    <row r="55" spans="2:18" ht="15" hidden="1" customHeight="1" x14ac:dyDescent="0.25">
      <c r="B55" s="48" t="str">
        <f t="shared" ref="B55:D56" si="10">IF(($E49&gt;0),B49,B48)</f>
        <v>per 100 arrests</v>
      </c>
      <c r="C55" s="48">
        <f t="shared" si="10"/>
        <v>1</v>
      </c>
      <c r="D55" s="48">
        <f t="shared" si="10"/>
        <v>0</v>
      </c>
      <c r="E55" s="48">
        <f>MAX(C55:D55)</f>
        <v>1</v>
      </c>
      <c r="G55" s="1" t="str">
        <f>G49</f>
        <v>per 100 arrests</v>
      </c>
      <c r="L55" s="57">
        <f>IF(($E49&gt;0),L49,L48)</f>
        <v>100</v>
      </c>
      <c r="M55" s="57"/>
    </row>
    <row r="56" spans="2:18" ht="15" hidden="1" customHeight="1" x14ac:dyDescent="0.25">
      <c r="B56" s="48" t="str">
        <f t="shared" si="10"/>
        <v>per 100 referrals</v>
      </c>
      <c r="C56" s="48">
        <f t="shared" si="10"/>
        <v>1.27</v>
      </c>
      <c r="D56" s="48">
        <f t="shared" si="10"/>
        <v>0</v>
      </c>
      <c r="E56" s="48">
        <f>MAX(C56:D56)</f>
        <v>1.27</v>
      </c>
      <c r="G56" s="1" t="str">
        <f>G50</f>
        <v>per 100 referrals</v>
      </c>
      <c r="L56" s="57">
        <f>IF(($E50&gt;0),L50,L49)</f>
        <v>100</v>
      </c>
      <c r="M56" s="57"/>
    </row>
    <row r="57" spans="2:18" ht="15" hidden="1" customHeight="1" x14ac:dyDescent="0.25">
      <c r="B57" s="48" t="str">
        <f>IF(($E51&gt;0),B51,B49)</f>
        <v>per 100 youth petitioned</v>
      </c>
      <c r="C57" s="48">
        <f>IF(($E51&gt;0),C51,C50)</f>
        <v>0.4</v>
      </c>
      <c r="D57" s="48">
        <f>IF(($E51&gt;0),D51,D50)</f>
        <v>0</v>
      </c>
      <c r="E57" s="48">
        <f>MAX(C57:D57)</f>
        <v>0.4</v>
      </c>
      <c r="G57" s="1" t="str">
        <f>G51</f>
        <v>per 100 youth petitioned</v>
      </c>
      <c r="L57" s="57">
        <f>IF(($E51&gt;0),L51,L50)</f>
        <v>100</v>
      </c>
      <c r="M57" s="57"/>
    </row>
    <row r="58" spans="2:18" ht="15" hidden="1" customHeight="1" x14ac:dyDescent="0.25">
      <c r="B58" s="48" t="str">
        <f>IF(($E52&gt;0),B52,B51)</f>
        <v>per 100 youth found delinquent</v>
      </c>
      <c r="C58" s="48">
        <f>IF(($E52&gt;0),C52,C51)</f>
        <v>0.42</v>
      </c>
      <c r="D58" s="48">
        <f>IF(($E52&gt;0),D52,D51)</f>
        <v>0</v>
      </c>
      <c r="E58" s="55">
        <f>MAX(C58:D58)</f>
        <v>0.42</v>
      </c>
      <c r="G58" s="1" t="str">
        <f>G52</f>
        <v>per 100 youth found delinquent</v>
      </c>
      <c r="L58" s="57">
        <f>IF(($E52&gt;0),L52,L51)</f>
        <v>100</v>
      </c>
      <c r="M58" s="57"/>
    </row>
    <row r="59" spans="2:18" ht="15" hidden="1" customHeight="1" x14ac:dyDescent="0.25">
      <c r="B59" s="48"/>
      <c r="C59" s="48"/>
      <c r="D59" s="48"/>
      <c r="E59" s="48"/>
      <c r="L59" s="56"/>
      <c r="M59" s="56"/>
    </row>
    <row r="60" spans="2:18" ht="15" hidden="1" customHeight="1" x14ac:dyDescent="0.25">
      <c r="B60" s="48" t="str">
        <f>B54</f>
        <v>per 1000 youth</v>
      </c>
      <c r="C60" s="55">
        <f>C54</f>
        <v>1.482</v>
      </c>
      <c r="D60" s="55">
        <f>D54</f>
        <v>9.5000000000000001E-2</v>
      </c>
      <c r="E60" s="55">
        <f>MAX(C60:D60)</f>
        <v>1.482</v>
      </c>
      <c r="G60" s="1" t="str">
        <f>G54</f>
        <v>per 1000 youth</v>
      </c>
      <c r="L60" s="57">
        <f>L54</f>
        <v>1000</v>
      </c>
      <c r="M60" s="57"/>
    </row>
    <row r="61" spans="2:18" ht="15" hidden="1" customHeight="1" x14ac:dyDescent="0.25">
      <c r="B61" s="48" t="str">
        <f t="shared" ref="B61:D62" si="11">IF(($E55&gt;0),B55,B54)</f>
        <v>per 100 arrests</v>
      </c>
      <c r="C61" s="48">
        <f t="shared" si="11"/>
        <v>1</v>
      </c>
      <c r="D61" s="48">
        <f t="shared" si="11"/>
        <v>0</v>
      </c>
      <c r="E61" s="48">
        <f>MAX(C61:D61)</f>
        <v>1</v>
      </c>
      <c r="G61" s="1" t="str">
        <f>G55</f>
        <v>per 100 arrests</v>
      </c>
      <c r="L61" s="57">
        <f>IF(($E55&gt;0),L55,L54)</f>
        <v>100</v>
      </c>
      <c r="M61" s="57"/>
    </row>
    <row r="62" spans="2:18" ht="15" hidden="1" customHeight="1" x14ac:dyDescent="0.25">
      <c r="B62" s="48" t="str">
        <f t="shared" si="11"/>
        <v>per 100 referrals</v>
      </c>
      <c r="C62" s="48">
        <f t="shared" si="11"/>
        <v>1.27</v>
      </c>
      <c r="D62" s="48">
        <f t="shared" si="11"/>
        <v>0</v>
      </c>
      <c r="E62" s="48">
        <f>MAX(C62:D62)</f>
        <v>1.27</v>
      </c>
      <c r="G62" s="1" t="str">
        <f>G56</f>
        <v>per 100 referrals</v>
      </c>
      <c r="L62" s="57">
        <f>IF(($E56&gt;0),L56,L55)</f>
        <v>100</v>
      </c>
      <c r="M62" s="57"/>
    </row>
    <row r="63" spans="2:18" ht="15" hidden="1" customHeight="1" x14ac:dyDescent="0.25">
      <c r="B63" s="48" t="str">
        <f>IF(($E57&gt;0),B57,B55)</f>
        <v>per 100 youth petitioned</v>
      </c>
      <c r="C63" s="48">
        <f>IF(($E57&gt;0),C57,C56)</f>
        <v>0.4</v>
      </c>
      <c r="D63" s="48">
        <f>IF(($E57&gt;0),D57,D56)</f>
        <v>0</v>
      </c>
      <c r="E63" s="48">
        <f>MAX(C63:D63)</f>
        <v>0.4</v>
      </c>
      <c r="G63" s="1" t="str">
        <f>G57</f>
        <v>per 100 youth petitioned</v>
      </c>
      <c r="L63" s="57">
        <f>IF(($E57&gt;0),L57,L56)</f>
        <v>100</v>
      </c>
      <c r="M63" s="57"/>
    </row>
    <row r="64" spans="2:18" ht="15" hidden="1" customHeight="1" x14ac:dyDescent="0.25">
      <c r="B64" s="48" t="str">
        <f>IF(($E58&gt;0),B58,B57)</f>
        <v>per 100 youth found delinquent</v>
      </c>
      <c r="C64" s="48">
        <f>IF(($E58&gt;0),C58,C57)</f>
        <v>0.42</v>
      </c>
      <c r="D64" s="48">
        <f>IF(($E58&gt;0),D58,D57)</f>
        <v>0</v>
      </c>
      <c r="E64" s="55">
        <f>MAX(C64:D64)</f>
        <v>0.42</v>
      </c>
      <c r="G64" s="1" t="str">
        <f>G58</f>
        <v>per 100 youth found delinquent</v>
      </c>
      <c r="L64" s="57">
        <f>IF(($E58&gt;0),L58,L57)</f>
        <v>100</v>
      </c>
      <c r="M64" s="57"/>
    </row>
    <row r="65" spans="2:13" ht="15" hidden="1" customHeight="1" x14ac:dyDescent="0.25">
      <c r="B65" s="58" t="s">
        <v>92</v>
      </c>
      <c r="L65" s="56"/>
      <c r="M65" s="56"/>
    </row>
    <row r="66" spans="2:13" ht="15" hidden="1" customHeight="1" x14ac:dyDescent="0.25">
      <c r="B66" s="48" t="str">
        <f>B60</f>
        <v>per 1000 youth</v>
      </c>
      <c r="C66" s="55">
        <f>C60</f>
        <v>1.482</v>
      </c>
      <c r="D66" s="55">
        <f>D60</f>
        <v>9.5000000000000001E-2</v>
      </c>
      <c r="E66" s="55">
        <f>MAX(C66:D66)</f>
        <v>1.482</v>
      </c>
      <c r="G66" s="1" t="str">
        <f>G60</f>
        <v>per 1000 youth</v>
      </c>
      <c r="L66" s="57">
        <f>L60</f>
        <v>1000</v>
      </c>
      <c r="M66" s="57">
        <f>IF((B66=G66),1,2)</f>
        <v>1</v>
      </c>
    </row>
    <row r="67" spans="2:13" ht="15" hidden="1" customHeight="1" x14ac:dyDescent="0.25">
      <c r="B67" s="48" t="str">
        <f t="shared" ref="B67:D68" si="12">IF(($E61&gt;0),B61,B60)</f>
        <v>per 100 arrests</v>
      </c>
      <c r="C67" s="48">
        <f t="shared" si="12"/>
        <v>1</v>
      </c>
      <c r="D67" s="48">
        <f t="shared" si="12"/>
        <v>0</v>
      </c>
      <c r="E67" s="48">
        <f>MAX(C67:D67)</f>
        <v>1</v>
      </c>
      <c r="G67" s="1" t="str">
        <f>G61</f>
        <v>per 100 arrests</v>
      </c>
      <c r="L67" s="57">
        <f>IF(($E61&gt;0),L61,L60)</f>
        <v>100</v>
      </c>
      <c r="M67" s="57">
        <f>IF((B67=G67),1,2)</f>
        <v>1</v>
      </c>
    </row>
    <row r="68" spans="2:13" ht="15" hidden="1" customHeight="1" x14ac:dyDescent="0.25">
      <c r="B68" s="48" t="str">
        <f t="shared" si="12"/>
        <v>per 100 referrals</v>
      </c>
      <c r="C68" s="48">
        <f t="shared" si="12"/>
        <v>1.27</v>
      </c>
      <c r="D68" s="48">
        <f t="shared" si="12"/>
        <v>0</v>
      </c>
      <c r="E68" s="48">
        <f>MAX(C68:D68)</f>
        <v>1.27</v>
      </c>
      <c r="G68" s="1" t="str">
        <f>G62</f>
        <v>per 100 referrals</v>
      </c>
      <c r="L68" s="57">
        <f>IF(($E62&gt;0),L62,L61)</f>
        <v>100</v>
      </c>
      <c r="M68" s="57">
        <f>IF((B68=G68),1,2)</f>
        <v>1</v>
      </c>
    </row>
    <row r="69" spans="2:13" ht="15" hidden="1" customHeight="1" x14ac:dyDescent="0.25">
      <c r="B69" s="48" t="str">
        <f>IF(($E63&gt;0),B63,B61)</f>
        <v>per 100 youth petitioned</v>
      </c>
      <c r="C69" s="48">
        <f>IF(($E63&gt;0),C63,C62)</f>
        <v>0.4</v>
      </c>
      <c r="D69" s="48">
        <f>IF(($E63&gt;0),D63,D62)</f>
        <v>0</v>
      </c>
      <c r="E69" s="48">
        <f>MAX(C69:D69)</f>
        <v>0.4</v>
      </c>
      <c r="G69" s="1" t="str">
        <f>G63</f>
        <v>per 100 youth petitioned</v>
      </c>
      <c r="L69" s="57">
        <f>IF(($E63&gt;0),L63,L62)</f>
        <v>100</v>
      </c>
      <c r="M69" s="57">
        <f>IF((B69=G69),1,2)</f>
        <v>1</v>
      </c>
    </row>
    <row r="70" spans="2:13" ht="15" hidden="1" customHeight="1" x14ac:dyDescent="0.25">
      <c r="B70" s="48" t="str">
        <f>IF(($E64&gt;0),B64,B63)</f>
        <v>per 100 youth found delinquent</v>
      </c>
      <c r="C70" s="48">
        <f>IF(($E64&gt;0),C64,C63)</f>
        <v>0.42</v>
      </c>
      <c r="D70" s="48">
        <f>IF(($E64&gt;0),D64,D63)</f>
        <v>0</v>
      </c>
      <c r="E70" s="55">
        <f>MAX(C70:D70)</f>
        <v>0.42</v>
      </c>
      <c r="G70" s="1" t="str">
        <f>G64</f>
        <v>per 100 youth found delinquent</v>
      </c>
      <c r="L70" s="57">
        <f>IF(($E64&gt;0),L64,L63)</f>
        <v>100</v>
      </c>
      <c r="M70" s="57">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59"/>
    </row>
    <row r="83" spans="2:2" ht="15" hidden="1" customHeight="1" x14ac:dyDescent="0.25">
      <c r="B83" s="60"/>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S25"/>
  <sheetViews>
    <sheetView topLeftCell="B1" zoomScale="130" zoomScaleNormal="130" workbookViewId="0">
      <selection activeCell="C6" sqref="C6:I6"/>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2" t="s">
        <v>96</v>
      </c>
      <c r="C2" s="63"/>
      <c r="D2" s="63"/>
      <c r="E2" s="63"/>
      <c r="F2" s="63"/>
      <c r="G2" s="63"/>
      <c r="H2" s="63"/>
      <c r="I2" s="64"/>
    </row>
    <row r="3" spans="2:18" ht="15" customHeight="1" x14ac:dyDescent="0.25">
      <c r="B3" s="65"/>
      <c r="E3" s="1" t="str">
        <f>'Data Entry'!C3</f>
        <v xml:space="preserve">Reporting Period:  </v>
      </c>
      <c r="I3" s="66"/>
    </row>
    <row r="4" spans="2:18" ht="15" customHeight="1" x14ac:dyDescent="0.25">
      <c r="B4" s="65" t="str">
        <f>'Data Entry'!A2</f>
        <v>State: Michigan</v>
      </c>
      <c r="E4" s="1" t="str">
        <f>'Data Entry'!C4</f>
        <v>1/1/12 through 12/31/12</v>
      </c>
      <c r="I4" s="66"/>
    </row>
    <row r="5" spans="2:18" ht="15" customHeight="1" x14ac:dyDescent="0.25">
      <c r="B5" s="65" t="str">
        <f>'Data Entry'!A3</f>
        <v>County: Roscommon</v>
      </c>
      <c r="E5" s="1"/>
      <c r="I5" s="66"/>
    </row>
    <row r="6" spans="2:18" s="8" customFormat="1" ht="75" customHeight="1" x14ac:dyDescent="0.25">
      <c r="B6" s="67"/>
      <c r="C6" s="218" t="str">
        <f>'Black or African-American'!$F$1</f>
        <v>Black or African American</v>
      </c>
      <c r="D6" s="218" t="str">
        <f>Hispanic!F1</f>
        <v>Hispanic or Latino</v>
      </c>
      <c r="E6" s="218" t="str">
        <f>Asian!F1</f>
        <v>Asian</v>
      </c>
      <c r="F6" s="218" t="str">
        <f>Hawaiian!F1</f>
        <v>Native Hawaiian or Other Pacific Islanders</v>
      </c>
      <c r="G6" s="218" t="str">
        <f>'Data Entry'!H5</f>
        <v>American Indian or Alaska Native</v>
      </c>
      <c r="H6" s="218" t="str">
        <f>'Data Entry'!I5</f>
        <v>Biracial or Other</v>
      </c>
      <c r="I6" s="219" t="str">
        <f>'Data Entry'!J5</f>
        <v>All Minorities</v>
      </c>
      <c r="L6" s="68"/>
      <c r="M6" s="68"/>
      <c r="N6" s="68"/>
      <c r="O6" s="68"/>
    </row>
    <row r="7" spans="2:18" ht="15" customHeight="1" x14ac:dyDescent="0.25">
      <c r="B7" s="69" t="s">
        <v>8</v>
      </c>
      <c r="C7" s="70" t="str">
        <f>'Black or African-American'!$G7</f>
        <v>**</v>
      </c>
      <c r="D7" s="70" t="str">
        <f>Hispanic!G7</f>
        <v>**</v>
      </c>
      <c r="E7" s="70" t="str">
        <f>Asian!G7</f>
        <v>**</v>
      </c>
      <c r="F7" s="70" t="str">
        <f>Hawaiian!G7</f>
        <v>*</v>
      </c>
      <c r="G7" s="70" t="str">
        <f>'Am Indian'!G7</f>
        <v>**</v>
      </c>
      <c r="H7" s="70" t="str">
        <f>'Other - Mixed'!G7</f>
        <v>*</v>
      </c>
      <c r="I7" s="71" t="str">
        <f>'All Minorities'!G7</f>
        <v>**</v>
      </c>
      <c r="L7" s="1">
        <f>'Black or African-American'!L7</f>
        <v>40</v>
      </c>
      <c r="M7" s="1">
        <f>Hispanic!L7</f>
        <v>40</v>
      </c>
      <c r="N7" s="1">
        <f>Asian!L7</f>
        <v>40</v>
      </c>
      <c r="O7" s="1" t="e">
        <f>Hawaiian!L7</f>
        <v>#VALUE!</v>
      </c>
      <c r="P7" s="1">
        <f>'Am Indian'!L7</f>
        <v>40</v>
      </c>
      <c r="Q7" s="1" t="e">
        <f>'Other - Mixed'!L7</f>
        <v>#VALUE!</v>
      </c>
      <c r="R7" s="1">
        <f>'All Minorities'!L7</f>
        <v>20</v>
      </c>
    </row>
    <row r="8" spans="2:18" ht="15" customHeight="1" x14ac:dyDescent="0.25">
      <c r="B8" s="69" t="s">
        <v>9</v>
      </c>
      <c r="C8" s="70" t="str">
        <f>'Black or African-American'!$G8</f>
        <v>**</v>
      </c>
      <c r="D8" s="70" t="str">
        <f>Hispanic!G8</f>
        <v>**</v>
      </c>
      <c r="E8" s="70" t="str">
        <f>Asian!G8</f>
        <v>**</v>
      </c>
      <c r="F8" s="70" t="str">
        <f>Hawaiian!G8</f>
        <v>*</v>
      </c>
      <c r="G8" s="70" t="str">
        <f>'Am Indian'!G8</f>
        <v>**</v>
      </c>
      <c r="H8" s="70" t="str">
        <f>'Other - Mixed'!G8</f>
        <v>*</v>
      </c>
      <c r="I8" s="71" t="str">
        <f>'All Minorities'!G8</f>
        <v>**</v>
      </c>
      <c r="L8" s="1">
        <f>'Black or African-American'!L8</f>
        <v>40</v>
      </c>
      <c r="M8" s="1">
        <f>Hispanic!L8</f>
        <v>40</v>
      </c>
      <c r="N8" s="1">
        <f>Asian!L8</f>
        <v>40</v>
      </c>
      <c r="O8" s="1">
        <f>Hawaiian!L8</f>
        <v>139</v>
      </c>
      <c r="P8" s="1">
        <f>'Am Indian'!L8</f>
        <v>40</v>
      </c>
      <c r="Q8" s="1">
        <f>'Other - Mixed'!L8</f>
        <v>139</v>
      </c>
      <c r="R8" s="1">
        <f>'All Minorities'!L8</f>
        <v>40</v>
      </c>
    </row>
    <row r="9" spans="2:18" ht="15" customHeight="1" x14ac:dyDescent="0.25">
      <c r="B9" s="69" t="s">
        <v>10</v>
      </c>
      <c r="C9" s="70" t="str">
        <f>'Black or African-American'!$G9</f>
        <v>--</v>
      </c>
      <c r="D9" s="70" t="str">
        <f>Hispanic!G9</f>
        <v>--</v>
      </c>
      <c r="E9" s="70" t="str">
        <f>Asian!G9</f>
        <v>--</v>
      </c>
      <c r="F9" s="70" t="str">
        <f>Hawaiian!G9</f>
        <v>*</v>
      </c>
      <c r="G9" s="70" t="str">
        <f>'Am Indian'!G9</f>
        <v>--</v>
      </c>
      <c r="H9" s="70" t="str">
        <f>'Other - Mixed'!G9</f>
        <v>*</v>
      </c>
      <c r="I9" s="71"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69" t="s">
        <v>11</v>
      </c>
      <c r="C10" s="70" t="str">
        <f>'Black or African-American'!$G10</f>
        <v>--</v>
      </c>
      <c r="D10" s="70" t="str">
        <f>Hispanic!G10</f>
        <v>--</v>
      </c>
      <c r="E10" s="70" t="str">
        <f>Asian!G10</f>
        <v>--</v>
      </c>
      <c r="F10" s="70" t="str">
        <f>Hawaiian!G10</f>
        <v>*</v>
      </c>
      <c r="G10" s="70" t="str">
        <f>'Am Indian'!G10</f>
        <v>--</v>
      </c>
      <c r="H10" s="70" t="str">
        <f>'Other - Mixed'!G10</f>
        <v>*</v>
      </c>
      <c r="I10" s="71"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69" t="s">
        <v>97</v>
      </c>
      <c r="C11" s="70" t="str">
        <f>'Black or African-American'!$G11</f>
        <v>--</v>
      </c>
      <c r="D11" s="70" t="str">
        <f>Hispanic!G11</f>
        <v>--</v>
      </c>
      <c r="E11" s="70" t="str">
        <f>Asian!G11</f>
        <v>--</v>
      </c>
      <c r="F11" s="70" t="str">
        <f>Hawaiian!G11</f>
        <v>*</v>
      </c>
      <c r="G11" s="70" t="str">
        <f>'Am Indian'!G11</f>
        <v>--</v>
      </c>
      <c r="H11" s="70" t="str">
        <f>'Other - Mixed'!G11</f>
        <v>*</v>
      </c>
      <c r="I11" s="71"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69" t="s">
        <v>13</v>
      </c>
      <c r="C12" s="70" t="str">
        <f>'Black or African-American'!$G12</f>
        <v>--</v>
      </c>
      <c r="D12" s="70" t="str">
        <f>Hispanic!G12</f>
        <v>--</v>
      </c>
      <c r="E12" s="70" t="str">
        <f>Asian!G12</f>
        <v>--</v>
      </c>
      <c r="F12" s="70" t="str">
        <f>Hawaiian!G12</f>
        <v>*</v>
      </c>
      <c r="G12" s="70" t="str">
        <f>'Am Indian'!G12</f>
        <v>--</v>
      </c>
      <c r="H12" s="70" t="str">
        <f>'Other - Mixed'!G12</f>
        <v>*</v>
      </c>
      <c r="I12" s="71"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69" t="s">
        <v>14</v>
      </c>
      <c r="C13" s="70" t="str">
        <f>'Black or African-American'!$G13</f>
        <v>--</v>
      </c>
      <c r="D13" s="70" t="str">
        <f>Hispanic!G13</f>
        <v>--</v>
      </c>
      <c r="E13" s="70" t="str">
        <f>Asian!G13</f>
        <v>--</v>
      </c>
      <c r="F13" s="70" t="str">
        <f>Hawaiian!G13</f>
        <v>*</v>
      </c>
      <c r="G13" s="70" t="str">
        <f>'Am Indian'!G13</f>
        <v>--</v>
      </c>
      <c r="H13" s="70" t="str">
        <f>'Other - Mixed'!G13</f>
        <v>*</v>
      </c>
      <c r="I13" s="71"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69" t="s">
        <v>15</v>
      </c>
      <c r="C14" s="70" t="str">
        <f>'Black or African-American'!$G14</f>
        <v>--</v>
      </c>
      <c r="D14" s="70" t="str">
        <f>Hispanic!G14</f>
        <v>--</v>
      </c>
      <c r="E14" s="70" t="str">
        <f>Asian!G14</f>
        <v>--</v>
      </c>
      <c r="F14" s="70" t="str">
        <f>Hawaiian!G14</f>
        <v>*</v>
      </c>
      <c r="G14" s="70" t="str">
        <f>'Am Indian'!G14</f>
        <v>--</v>
      </c>
      <c r="H14" s="70" t="str">
        <f>'Other - Mixed'!G14</f>
        <v>*</v>
      </c>
      <c r="I14" s="71"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69" t="s">
        <v>16</v>
      </c>
      <c r="C15" s="70" t="str">
        <f>'Black or African-American'!$G15</f>
        <v>--</v>
      </c>
      <c r="D15" s="70" t="str">
        <f>Hispanic!G15</f>
        <v>--</v>
      </c>
      <c r="E15" s="70" t="str">
        <f>Asian!G15</f>
        <v>--</v>
      </c>
      <c r="F15" s="70" t="str">
        <f>Hawaiian!G15</f>
        <v>*</v>
      </c>
      <c r="G15" s="70" t="str">
        <f>'Am Indian'!G15</f>
        <v>--</v>
      </c>
      <c r="H15" s="70" t="str">
        <f>'Other - Mixed'!G15</f>
        <v>*</v>
      </c>
      <c r="I15" s="71"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2" t="s">
        <v>98</v>
      </c>
      <c r="C16" s="73" t="str">
        <f>'Data Entry'!$D$16</f>
        <v>Yes</v>
      </c>
      <c r="D16" s="73" t="str">
        <f>'Data Entry'!$E$16</f>
        <v>Yes</v>
      </c>
      <c r="E16" s="73" t="str">
        <f>'Data Entry'!F16</f>
        <v>Yes</v>
      </c>
      <c r="F16" s="73" t="str">
        <f>'Data Entry'!G16</f>
        <v>No</v>
      </c>
      <c r="G16" s="73" t="str">
        <f>'Data Entry'!H16</f>
        <v>Yes</v>
      </c>
      <c r="H16" s="73" t="str">
        <f>'Data Entry'!I16</f>
        <v>No</v>
      </c>
      <c r="I16" s="66"/>
    </row>
    <row r="17" spans="2:9" ht="15" customHeight="1" x14ac:dyDescent="0.25">
      <c r="B17" s="65"/>
      <c r="E17" s="1"/>
      <c r="I17" s="66"/>
    </row>
    <row r="18" spans="2:9" ht="15.75" customHeight="1" x14ac:dyDescent="0.25">
      <c r="B18" s="74" t="str">
        <f>'Black or African-American'!B16</f>
        <v>release 10/17/05</v>
      </c>
      <c r="C18" s="75"/>
      <c r="D18" s="75"/>
      <c r="E18" s="75"/>
      <c r="F18" s="75"/>
      <c r="G18" s="75"/>
      <c r="H18" s="75"/>
      <c r="I18" s="76"/>
    </row>
    <row r="20" spans="2:9" ht="15" customHeight="1" x14ac:dyDescent="0.25">
      <c r="B20" s="1" t="s">
        <v>52</v>
      </c>
    </row>
    <row r="21" spans="2:9" ht="15" customHeight="1" x14ac:dyDescent="0.25">
      <c r="B21" s="1" t="s">
        <v>53</v>
      </c>
      <c r="D21" s="44" t="s">
        <v>54</v>
      </c>
    </row>
    <row r="22" spans="2:9" ht="15" customHeight="1" x14ac:dyDescent="0.25">
      <c r="B22" s="1" t="s">
        <v>55</v>
      </c>
      <c r="D22" s="1" t="s">
        <v>56</v>
      </c>
    </row>
    <row r="23" spans="2:9" ht="15" customHeight="1" x14ac:dyDescent="0.25">
      <c r="B23" s="1" t="s">
        <v>57</v>
      </c>
      <c r="D23" s="1" t="s">
        <v>58</v>
      </c>
    </row>
    <row r="24" spans="2:9" ht="15" customHeight="1" x14ac:dyDescent="0.25">
      <c r="B24" s="1" t="s">
        <v>59</v>
      </c>
      <c r="D24" s="1" t="s">
        <v>60</v>
      </c>
    </row>
    <row r="25" spans="2:9" ht="15" customHeight="1" x14ac:dyDescent="0.25">
      <c r="B25" s="1" t="s">
        <v>61</v>
      </c>
      <c r="D25" s="1" t="s">
        <v>62</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30"/>
  <sheetViews>
    <sheetView showGridLines="0" showRowColHeaders="0" showZeros="0" topLeftCell="A13" zoomScale="120" zoomScaleNormal="120" workbookViewId="0">
      <selection activeCell="C18" sqref="C18:J18"/>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99</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5" t="str">
        <f>'Data Entry'!A6</f>
        <v xml:space="preserve">1. Population at risk (age 10 through 16) </v>
      </c>
      <c r="C3" s="56">
        <f>'Data Entry'!B6</f>
        <v>1577</v>
      </c>
      <c r="D3" s="56">
        <f>'Data Entry'!C6</f>
        <v>1482</v>
      </c>
      <c r="E3" s="56">
        <f>'Data Entry'!D6</f>
        <v>21</v>
      </c>
      <c r="F3" s="56">
        <f>'Data Entry'!E6</f>
        <v>39</v>
      </c>
      <c r="G3" s="56">
        <f>'Data Entry'!F6</f>
        <v>18</v>
      </c>
      <c r="H3" s="56">
        <f>'Data Entry'!G6</f>
        <v>0</v>
      </c>
      <c r="I3" s="56">
        <f>'Data Entry'!H6</f>
        <v>17</v>
      </c>
      <c r="J3" s="56">
        <f>'Data Entry'!I6</f>
        <v>0</v>
      </c>
      <c r="K3" s="56">
        <f>'Data Entry'!J6</f>
        <v>95</v>
      </c>
    </row>
    <row r="4" spans="2:11" ht="15" customHeight="1" x14ac:dyDescent="0.25">
      <c r="B4" s="15" t="s">
        <v>8</v>
      </c>
      <c r="C4" s="1">
        <f>IF((C$3&gt;0),(1000*('Data Entry'!B7/'Data Entry'!B$6)), 0)</f>
        <v>63.411540900443875</v>
      </c>
      <c r="D4" s="1">
        <f>IF((D$3&gt;0),(1000*('Data Entry'!C7/'Data Entry'!C$6)), 0)</f>
        <v>67.476383265856953</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5" t="s">
        <v>9</v>
      </c>
      <c r="C5" s="1">
        <f>IF((C$3&gt;0),(1000*('Data Entry'!B8/'Data Entry'!B$6)), 0)</f>
        <v>81.800887761572596</v>
      </c>
      <c r="D5" s="1">
        <f>IF((D$3&gt;0),(1000*('Data Entry'!C8/'Data Entry'!C$6)), 0)</f>
        <v>85.695006747638331</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5"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5" t="s">
        <v>11</v>
      </c>
      <c r="C7" s="1">
        <f>IF((C$3&gt;0),(1000*('Data Entry'!B10/'Data Entry'!B$6)), 0)</f>
        <v>5.7070386810399496</v>
      </c>
      <c r="D7" s="1">
        <f>IF((D$3&gt;0),(1000*('Data Entry'!C10/'Data Entry'!C$6)), 0)</f>
        <v>6.0728744939271255</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5" t="s">
        <v>97</v>
      </c>
      <c r="C8" s="1">
        <f>IF((C$3&gt;0),(1000*('Data Entry'!B11/'Data Entry'!B$6)), 0)</f>
        <v>25.99873176918199</v>
      </c>
      <c r="D8" s="1">
        <f>IF((D$3&gt;0),(1000*('Data Entry'!C11/'Data Entry'!C$6)), 0)</f>
        <v>26.990553306342782</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5" t="s">
        <v>13</v>
      </c>
      <c r="C9" s="1">
        <f>IF((C$3&gt;0),(1000*('Data Entry'!B12/'Data Entry'!B$6)), 0)</f>
        <v>27.266962587190868</v>
      </c>
      <c r="D9" s="1">
        <f>IF((D$3&gt;0),(1000*('Data Entry'!C12/'Data Entry'!C$6)), 0)</f>
        <v>28.340080971659919</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5" t="s">
        <v>14</v>
      </c>
      <c r="C10" s="1">
        <f>IF((C$3&gt;0),(1000*('Data Entry'!B13/'Data Entry'!B$6)), 0)</f>
        <v>58.338617628408372</v>
      </c>
      <c r="D10" s="1">
        <f>IF((D$3&gt;0),(1000*('Data Entry'!C13/'Data Entry'!C$6)), 0)</f>
        <v>61.403508771929822</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5" t="s">
        <v>15</v>
      </c>
      <c r="C11" s="1">
        <f>IF((C$3&gt;0),(1000*('Data Entry'!B14/'Data Entry'!B$6)), 0)</f>
        <v>23.462270133164235</v>
      </c>
      <c r="D11" s="1">
        <f>IF((D$3&gt;0),(1000*('Data Entry'!C14/'Data Entry'!C$6)), 0)</f>
        <v>24.291497975708502</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5"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5"/>
    </row>
    <row r="14" spans="2:11" ht="15" customHeight="1" x14ac:dyDescent="0.25">
      <c r="B14" s="212" t="s">
        <v>100</v>
      </c>
      <c r="C14" s="213"/>
      <c r="D14" s="213"/>
      <c r="E14" s="213"/>
      <c r="F14" s="63"/>
      <c r="G14" s="63"/>
      <c r="H14" s="63"/>
      <c r="I14" s="63"/>
      <c r="J14" s="64"/>
    </row>
    <row r="15" spans="2:11" ht="15" customHeight="1" x14ac:dyDescent="0.25">
      <c r="B15" s="77"/>
      <c r="C15" s="8"/>
      <c r="D15" s="8"/>
      <c r="E15" s="1"/>
      <c r="F15" s="1" t="str">
        <f>'Data Entry'!C3</f>
        <v xml:space="preserve">Reporting Period:  </v>
      </c>
      <c r="G15" s="1"/>
      <c r="H15" s="1"/>
      <c r="I15" s="1"/>
      <c r="J15" s="66"/>
    </row>
    <row r="16" spans="2:11" ht="15" customHeight="1" x14ac:dyDescent="0.25">
      <c r="B16" s="78" t="str">
        <f>'Data Entry'!A2</f>
        <v>State: Michigan</v>
      </c>
      <c r="C16" s="8"/>
      <c r="D16" s="8"/>
      <c r="E16" s="1"/>
      <c r="F16" s="1" t="str">
        <f>'Data Entry'!C4</f>
        <v>1/1/12 through 12/31/12</v>
      </c>
      <c r="G16" s="1"/>
      <c r="H16" s="1"/>
      <c r="I16" s="1"/>
      <c r="J16" s="66"/>
    </row>
    <row r="17" spans="2:10" ht="15" customHeight="1" x14ac:dyDescent="0.25">
      <c r="B17" s="79" t="str">
        <f>'Data Entry'!A3</f>
        <v>County: Roscommon</v>
      </c>
      <c r="C17" s="80"/>
      <c r="D17" s="80"/>
      <c r="E17" s="80"/>
      <c r="F17" s="80"/>
      <c r="G17" s="80"/>
      <c r="H17" s="80"/>
      <c r="I17" s="80"/>
      <c r="J17" s="81"/>
    </row>
    <row r="18" spans="2:10" ht="75" customHeight="1" x14ac:dyDescent="0.25">
      <c r="B18" s="65"/>
      <c r="C18" s="216" t="str">
        <f>D2</f>
        <v>White</v>
      </c>
      <c r="D18" s="216" t="str">
        <f t="shared" ref="D18:J18" si="0">E2</f>
        <v>Black or African American</v>
      </c>
      <c r="E18" s="216" t="str">
        <f t="shared" si="0"/>
        <v>Hispanic or Latino</v>
      </c>
      <c r="F18" s="216" t="str">
        <f t="shared" si="0"/>
        <v>Asian</v>
      </c>
      <c r="G18" s="216" t="str">
        <f t="shared" si="0"/>
        <v>Native Hawaiian or Other Pacific Islanders</v>
      </c>
      <c r="H18" s="216" t="str">
        <f t="shared" si="0"/>
        <v>American Indian or Alaska Native</v>
      </c>
      <c r="I18" s="216" t="str">
        <f t="shared" si="0"/>
        <v>Biracial or Other</v>
      </c>
      <c r="J18" s="217" t="str">
        <f t="shared" si="0"/>
        <v>All Minorities</v>
      </c>
    </row>
    <row r="19" spans="2:10" ht="15" customHeight="1" x14ac:dyDescent="0.25">
      <c r="B19" s="69" t="s">
        <v>8</v>
      </c>
      <c r="C19" s="70">
        <f>IF(AND(($D4&gt;0),(D4&gt;0)), (D4/$D4),"--")</f>
        <v>1</v>
      </c>
      <c r="D19" s="70" t="str">
        <f t="shared" ref="D19:J19" si="1">IF(AND(($D4&gt;0),(E4&gt;0)), (E4/$D4),"--")</f>
        <v>--</v>
      </c>
      <c r="E19" s="70" t="str">
        <f t="shared" si="1"/>
        <v>--</v>
      </c>
      <c r="F19" s="70" t="str">
        <f t="shared" si="1"/>
        <v>--</v>
      </c>
      <c r="G19" s="70" t="str">
        <f t="shared" si="1"/>
        <v>--</v>
      </c>
      <c r="H19" s="70" t="str">
        <f t="shared" si="1"/>
        <v>--</v>
      </c>
      <c r="I19" s="70" t="str">
        <f t="shared" si="1"/>
        <v>--</v>
      </c>
      <c r="J19" s="71" t="str">
        <f t="shared" si="1"/>
        <v>--</v>
      </c>
    </row>
    <row r="20" spans="2:10" ht="15" customHeight="1" x14ac:dyDescent="0.25">
      <c r="B20" s="69" t="s">
        <v>9</v>
      </c>
      <c r="C20" s="70">
        <f t="shared" ref="C20:J27" si="2">IF(AND(($D5&gt;0),(D5&gt;0)), (D5/$D5),"--")</f>
        <v>1</v>
      </c>
      <c r="D20" s="70" t="str">
        <f t="shared" si="2"/>
        <v>--</v>
      </c>
      <c r="E20" s="70" t="str">
        <f t="shared" si="2"/>
        <v>--</v>
      </c>
      <c r="F20" s="70" t="str">
        <f t="shared" si="2"/>
        <v>--</v>
      </c>
      <c r="G20" s="70" t="str">
        <f t="shared" si="2"/>
        <v>--</v>
      </c>
      <c r="H20" s="70" t="str">
        <f t="shared" si="2"/>
        <v>--</v>
      </c>
      <c r="I20" s="70" t="str">
        <f t="shared" si="2"/>
        <v>--</v>
      </c>
      <c r="J20" s="71" t="str">
        <f t="shared" si="2"/>
        <v>--</v>
      </c>
    </row>
    <row r="21" spans="2:10" ht="15" customHeight="1" x14ac:dyDescent="0.25">
      <c r="B21" s="69" t="s">
        <v>10</v>
      </c>
      <c r="C21" s="70" t="str">
        <f t="shared" si="2"/>
        <v>--</v>
      </c>
      <c r="D21" s="70" t="str">
        <f t="shared" si="2"/>
        <v>--</v>
      </c>
      <c r="E21" s="70" t="str">
        <f t="shared" si="2"/>
        <v>--</v>
      </c>
      <c r="F21" s="70" t="str">
        <f t="shared" si="2"/>
        <v>--</v>
      </c>
      <c r="G21" s="70" t="str">
        <f t="shared" si="2"/>
        <v>--</v>
      </c>
      <c r="H21" s="70" t="str">
        <f t="shared" si="2"/>
        <v>--</v>
      </c>
      <c r="I21" s="70" t="str">
        <f t="shared" si="2"/>
        <v>--</v>
      </c>
      <c r="J21" s="71" t="str">
        <f t="shared" si="2"/>
        <v>--</v>
      </c>
    </row>
    <row r="22" spans="2:10" ht="15" customHeight="1" x14ac:dyDescent="0.25">
      <c r="B22" s="69" t="s">
        <v>11</v>
      </c>
      <c r="C22" s="70">
        <f t="shared" si="2"/>
        <v>1</v>
      </c>
      <c r="D22" s="70" t="str">
        <f t="shared" si="2"/>
        <v>--</v>
      </c>
      <c r="E22" s="70" t="str">
        <f t="shared" si="2"/>
        <v>--</v>
      </c>
      <c r="F22" s="70" t="str">
        <f t="shared" si="2"/>
        <v>--</v>
      </c>
      <c r="G22" s="70" t="str">
        <f t="shared" si="2"/>
        <v>--</v>
      </c>
      <c r="H22" s="70" t="str">
        <f t="shared" si="2"/>
        <v>--</v>
      </c>
      <c r="I22" s="70" t="str">
        <f t="shared" si="2"/>
        <v>--</v>
      </c>
      <c r="J22" s="71" t="str">
        <f t="shared" si="2"/>
        <v>--</v>
      </c>
    </row>
    <row r="23" spans="2:10" ht="15" customHeight="1" x14ac:dyDescent="0.25">
      <c r="B23" s="69" t="s">
        <v>97</v>
      </c>
      <c r="C23" s="70">
        <f t="shared" si="2"/>
        <v>1</v>
      </c>
      <c r="D23" s="70" t="str">
        <f t="shared" si="2"/>
        <v>--</v>
      </c>
      <c r="E23" s="70" t="str">
        <f t="shared" si="2"/>
        <v>--</v>
      </c>
      <c r="F23" s="70" t="str">
        <f t="shared" si="2"/>
        <v>--</v>
      </c>
      <c r="G23" s="70" t="str">
        <f t="shared" si="2"/>
        <v>--</v>
      </c>
      <c r="H23" s="70" t="str">
        <f t="shared" si="2"/>
        <v>--</v>
      </c>
      <c r="I23" s="70" t="str">
        <f t="shared" si="2"/>
        <v>--</v>
      </c>
      <c r="J23" s="71" t="str">
        <f t="shared" si="2"/>
        <v>--</v>
      </c>
    </row>
    <row r="24" spans="2:10" ht="15" customHeight="1" x14ac:dyDescent="0.25">
      <c r="B24" s="69" t="s">
        <v>13</v>
      </c>
      <c r="C24" s="70">
        <f t="shared" si="2"/>
        <v>1</v>
      </c>
      <c r="D24" s="70" t="str">
        <f t="shared" si="2"/>
        <v>--</v>
      </c>
      <c r="E24" s="70" t="str">
        <f t="shared" si="2"/>
        <v>--</v>
      </c>
      <c r="F24" s="70" t="str">
        <f t="shared" si="2"/>
        <v>--</v>
      </c>
      <c r="G24" s="70" t="str">
        <f t="shared" si="2"/>
        <v>--</v>
      </c>
      <c r="H24" s="70" t="str">
        <f t="shared" si="2"/>
        <v>--</v>
      </c>
      <c r="I24" s="70" t="str">
        <f t="shared" si="2"/>
        <v>--</v>
      </c>
      <c r="J24" s="71" t="str">
        <f t="shared" si="2"/>
        <v>--</v>
      </c>
    </row>
    <row r="25" spans="2:10" ht="15" customHeight="1" x14ac:dyDescent="0.25">
      <c r="B25" s="69" t="s">
        <v>14</v>
      </c>
      <c r="C25" s="70">
        <f t="shared" si="2"/>
        <v>1</v>
      </c>
      <c r="D25" s="70" t="str">
        <f t="shared" si="2"/>
        <v>--</v>
      </c>
      <c r="E25" s="70" t="str">
        <f t="shared" si="2"/>
        <v>--</v>
      </c>
      <c r="F25" s="70" t="str">
        <f t="shared" si="2"/>
        <v>--</v>
      </c>
      <c r="G25" s="70" t="str">
        <f t="shared" si="2"/>
        <v>--</v>
      </c>
      <c r="H25" s="70" t="str">
        <f t="shared" si="2"/>
        <v>--</v>
      </c>
      <c r="I25" s="70" t="str">
        <f t="shared" si="2"/>
        <v>--</v>
      </c>
      <c r="J25" s="71" t="str">
        <f t="shared" si="2"/>
        <v>--</v>
      </c>
    </row>
    <row r="26" spans="2:10" ht="25.5" customHeight="1" x14ac:dyDescent="0.25">
      <c r="B26" s="69" t="s">
        <v>15</v>
      </c>
      <c r="C26" s="70">
        <f t="shared" si="2"/>
        <v>1</v>
      </c>
      <c r="D26" s="70" t="str">
        <f t="shared" si="2"/>
        <v>--</v>
      </c>
      <c r="E26" s="70" t="str">
        <f t="shared" si="2"/>
        <v>--</v>
      </c>
      <c r="F26" s="70" t="str">
        <f t="shared" si="2"/>
        <v>--</v>
      </c>
      <c r="G26" s="70" t="str">
        <f t="shared" si="2"/>
        <v>--</v>
      </c>
      <c r="H26" s="70" t="str">
        <f t="shared" si="2"/>
        <v>--</v>
      </c>
      <c r="I26" s="70" t="str">
        <f t="shared" si="2"/>
        <v>--</v>
      </c>
      <c r="J26" s="71" t="str">
        <f t="shared" si="2"/>
        <v>--</v>
      </c>
    </row>
    <row r="27" spans="2:10" ht="15" customHeight="1" x14ac:dyDescent="0.25">
      <c r="B27" s="69" t="s">
        <v>16</v>
      </c>
      <c r="C27" s="70" t="str">
        <f t="shared" si="2"/>
        <v>--</v>
      </c>
      <c r="D27" s="70" t="str">
        <f t="shared" si="2"/>
        <v>--</v>
      </c>
      <c r="E27" s="70" t="str">
        <f t="shared" si="2"/>
        <v>--</v>
      </c>
      <c r="F27" s="70" t="str">
        <f t="shared" si="2"/>
        <v>--</v>
      </c>
      <c r="G27" s="70" t="str">
        <f t="shared" si="2"/>
        <v>--</v>
      </c>
      <c r="H27" s="70" t="str">
        <f t="shared" si="2"/>
        <v>--</v>
      </c>
      <c r="I27" s="70" t="str">
        <f t="shared" si="2"/>
        <v>--</v>
      </c>
      <c r="J27" s="71" t="str">
        <f t="shared" si="2"/>
        <v>--</v>
      </c>
    </row>
    <row r="28" spans="2:10" ht="15" customHeight="1" x14ac:dyDescent="0.25">
      <c r="B28" s="82" t="s">
        <v>98</v>
      </c>
      <c r="C28" s="83"/>
      <c r="D28" s="84" t="str">
        <f>Summary!C16</f>
        <v>Yes</v>
      </c>
      <c r="E28" s="84" t="str">
        <f>Summary!D16</f>
        <v>Yes</v>
      </c>
      <c r="F28" s="84" t="str">
        <f>Summary!E16</f>
        <v>Yes</v>
      </c>
      <c r="G28" s="84" t="str">
        <f>Summary!F16</f>
        <v>No</v>
      </c>
      <c r="H28" s="84" t="str">
        <f>Summary!G16</f>
        <v>Yes</v>
      </c>
      <c r="I28" s="84" t="str">
        <f>Summary!H16</f>
        <v>No</v>
      </c>
      <c r="J28" s="85"/>
    </row>
    <row r="29" spans="2:10" ht="15" customHeight="1" x14ac:dyDescent="0.25">
      <c r="B29" s="65"/>
      <c r="C29" s="1"/>
      <c r="D29" s="1"/>
      <c r="E29" s="1"/>
      <c r="F29" s="1"/>
      <c r="G29" s="1"/>
      <c r="H29" s="1"/>
      <c r="I29" s="1"/>
      <c r="J29" s="66"/>
    </row>
    <row r="30" spans="2:10" ht="15.75" customHeight="1" x14ac:dyDescent="0.25">
      <c r="B30" s="74" t="str">
        <f>'Black or African-American'!B16</f>
        <v>release 10/17/05</v>
      </c>
      <c r="C30" s="75"/>
      <c r="D30" s="75"/>
      <c r="E30" s="75"/>
      <c r="F30" s="75"/>
      <c r="G30" s="75"/>
      <c r="H30" s="75"/>
      <c r="I30" s="75"/>
      <c r="J30" s="76"/>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5"/>
  <sheetViews>
    <sheetView zoomScaleNormal="100" workbookViewId="0">
      <selection activeCell="A5" sqref="A5"/>
    </sheetView>
  </sheetViews>
  <sheetFormatPr defaultColWidth="10.28515625" defaultRowHeight="12.75" customHeight="1" x14ac:dyDescent="0.25"/>
  <cols>
    <col min="1" max="1" width="33.140625" style="1" customWidth="1"/>
  </cols>
  <sheetData>
    <row r="3" spans="1:10" ht="15" customHeight="1" x14ac:dyDescent="0.2">
      <c r="A3" s="47" t="s">
        <v>101</v>
      </c>
    </row>
    <row r="4" spans="1:10" ht="103.5" customHeight="1" x14ac:dyDescent="0.25">
      <c r="A4" s="215" t="s">
        <v>139</v>
      </c>
      <c r="B4" s="215"/>
      <c r="C4" s="215"/>
      <c r="D4" s="215"/>
      <c r="E4" s="215"/>
      <c r="F4" s="215"/>
      <c r="G4" s="215"/>
      <c r="H4" s="215"/>
      <c r="I4" s="215"/>
      <c r="J4" s="215"/>
    </row>
    <row r="6" spans="1:10" ht="15" customHeight="1" x14ac:dyDescent="0.25">
      <c r="A6" s="1" t="s">
        <v>102</v>
      </c>
      <c r="B6" s="1">
        <v>0.05</v>
      </c>
    </row>
    <row r="7" spans="1:10" ht="15" hidden="1" customHeight="1" x14ac:dyDescent="0.25">
      <c r="D7" s="20">
        <f>IF(B6=0.01,6.636,IF(B6=0.1,2.706,3.841))</f>
        <v>3.8410000000000002</v>
      </c>
      <c r="E7" s="20" t="s">
        <v>103</v>
      </c>
      <c r="F7" s="20"/>
    </row>
    <row r="8" spans="1:10" ht="15" customHeight="1" x14ac:dyDescent="0.25">
      <c r="D8" s="20"/>
      <c r="E8" s="20"/>
      <c r="F8" s="20"/>
    </row>
    <row r="9" spans="1:10" ht="15.75" customHeight="1" x14ac:dyDescent="0.25">
      <c r="A9" s="86" t="s">
        <v>104</v>
      </c>
    </row>
    <row r="10" spans="1:10" ht="85.5" customHeight="1" x14ac:dyDescent="0.25">
      <c r="A10" s="214" t="s">
        <v>105</v>
      </c>
      <c r="B10" s="214"/>
      <c r="C10" s="214"/>
      <c r="D10" s="214"/>
      <c r="E10" s="214"/>
      <c r="F10" s="214"/>
      <c r="G10" s="214"/>
      <c r="H10" s="214"/>
      <c r="I10" s="214"/>
      <c r="J10" s="214"/>
    </row>
    <row r="11" spans="1:10" ht="15.75" customHeight="1" x14ac:dyDescent="0.25">
      <c r="A11" s="87"/>
    </row>
    <row r="12" spans="1:10" ht="15.75" customHeight="1" x14ac:dyDescent="0.25">
      <c r="A12" s="87" t="s">
        <v>106</v>
      </c>
      <c r="B12" s="56">
        <v>5</v>
      </c>
    </row>
    <row r="13" spans="1:10" ht="15.75" customHeight="1" x14ac:dyDescent="0.25">
      <c r="A13" s="87" t="s">
        <v>107</v>
      </c>
      <c r="B13" s="56">
        <v>30</v>
      </c>
    </row>
    <row r="14" spans="1:10" ht="15.75" customHeight="1" x14ac:dyDescent="0.25">
      <c r="A14" s="16"/>
    </row>
    <row r="15" spans="1:10" ht="15.75" customHeight="1" x14ac:dyDescent="0.25">
      <c r="A15" s="1" t="str">
        <f>'Data Entry'!A17</f>
        <v>release 10/17/05</v>
      </c>
      <c r="C15" s="16"/>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A30"/>
  <sheetViews>
    <sheetView showGridLines="0" zoomScaleNormal="100" workbookViewId="0">
      <selection activeCell="AB9" sqref="AB9"/>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1" t="s">
        <v>122</v>
      </c>
      <c r="C2" s="172"/>
      <c r="D2" s="172"/>
      <c r="E2" s="172"/>
      <c r="F2" s="172"/>
      <c r="G2" s="172"/>
      <c r="H2" s="172"/>
      <c r="I2" s="172"/>
      <c r="J2" s="172"/>
      <c r="K2" s="172"/>
      <c r="L2" s="172"/>
      <c r="M2" s="172"/>
      <c r="N2" s="172"/>
      <c r="O2" s="172"/>
      <c r="P2" s="172"/>
      <c r="Q2" s="173"/>
    </row>
    <row r="3" spans="2:26" s="1" customFormat="1" ht="19.5" thickTop="1" x14ac:dyDescent="0.35">
      <c r="B3" s="95" t="str">
        <f>'Data Entry'!A2</f>
        <v>State: Michigan</v>
      </c>
      <c r="C3" s="93"/>
      <c r="D3" s="93"/>
      <c r="E3" s="93"/>
      <c r="F3" s="93"/>
      <c r="G3" s="93"/>
      <c r="H3" s="93"/>
      <c r="I3" s="93"/>
      <c r="J3" s="93"/>
      <c r="K3" s="93"/>
      <c r="L3" s="93"/>
      <c r="M3" s="93"/>
      <c r="N3" s="179" t="str">
        <f>'Data Entry'!C3</f>
        <v xml:space="preserve">Reporting Period:  </v>
      </c>
      <c r="O3" s="180"/>
      <c r="P3" s="180"/>
      <c r="Q3" s="181"/>
      <c r="R3"/>
    </row>
    <row r="4" spans="2:26" s="1" customFormat="1" ht="19.5" thickBot="1" x14ac:dyDescent="0.4">
      <c r="B4" s="99" t="str">
        <f>'Data Entry'!A3</f>
        <v>County: Roscommon</v>
      </c>
      <c r="C4" s="100"/>
      <c r="D4" s="100"/>
      <c r="E4" s="100"/>
      <c r="F4" s="100"/>
      <c r="G4" s="100"/>
      <c r="H4" s="100"/>
      <c r="I4" s="100"/>
      <c r="J4" s="100"/>
      <c r="K4" s="100"/>
      <c r="L4" s="100"/>
      <c r="M4" s="100"/>
      <c r="N4" s="176" t="str">
        <f>'Data Entry'!C4</f>
        <v>1/1/12 through 12/31/12</v>
      </c>
      <c r="O4" s="177"/>
      <c r="P4" s="177"/>
      <c r="Q4" s="178"/>
      <c r="R4"/>
    </row>
    <row r="5" spans="2:26" s="90" customFormat="1" ht="71.25" customHeight="1" x14ac:dyDescent="0.35">
      <c r="B5" s="97"/>
      <c r="C5" s="167" t="s">
        <v>3</v>
      </c>
      <c r="D5" s="174" t="str">
        <f>'Black or African-American'!$F$1</f>
        <v>Black or African American</v>
      </c>
      <c r="E5" s="175"/>
      <c r="F5" s="174" t="str">
        <f>Hispanic!F1</f>
        <v>Hispanic or Latino</v>
      </c>
      <c r="G5" s="175"/>
      <c r="H5" s="174" t="str">
        <f>Asian!F1</f>
        <v>Asian</v>
      </c>
      <c r="I5" s="175"/>
      <c r="J5" s="174" t="str">
        <f>Hawaiian!F1</f>
        <v>Native Hawaiian or Other Pacific Islanders</v>
      </c>
      <c r="K5" s="175"/>
      <c r="L5" s="174" t="str">
        <f>'Data Entry'!H5</f>
        <v>American Indian or Alaska Native</v>
      </c>
      <c r="M5" s="175"/>
      <c r="N5" s="174" t="str">
        <f>'Data Entry'!I5</f>
        <v>Biracial or Other</v>
      </c>
      <c r="O5" s="175"/>
      <c r="P5" s="174" t="str">
        <f>'Data Entry'!J5</f>
        <v>All Minorities</v>
      </c>
      <c r="Q5" s="182"/>
      <c r="T5" s="68"/>
      <c r="U5" s="68"/>
      <c r="V5" s="68"/>
      <c r="W5" s="68"/>
    </row>
    <row r="6" spans="2:26" s="90" customFormat="1" ht="18" customHeight="1" x14ac:dyDescent="0.35">
      <c r="B6" s="157" t="s">
        <v>120</v>
      </c>
      <c r="C6" s="147" t="s">
        <v>118</v>
      </c>
      <c r="D6" s="148" t="s">
        <v>118</v>
      </c>
      <c r="E6" s="149" t="s">
        <v>119</v>
      </c>
      <c r="F6" s="148" t="s">
        <v>118</v>
      </c>
      <c r="G6" s="149" t="s">
        <v>119</v>
      </c>
      <c r="H6" s="148" t="s">
        <v>118</v>
      </c>
      <c r="I6" s="149" t="s">
        <v>119</v>
      </c>
      <c r="J6" s="148" t="s">
        <v>118</v>
      </c>
      <c r="K6" s="149" t="s">
        <v>119</v>
      </c>
      <c r="L6" s="148" t="s">
        <v>118</v>
      </c>
      <c r="M6" s="149" t="s">
        <v>119</v>
      </c>
      <c r="N6" s="148" t="s">
        <v>118</v>
      </c>
      <c r="O6" s="149" t="s">
        <v>119</v>
      </c>
      <c r="P6" s="148" t="s">
        <v>118</v>
      </c>
      <c r="Q6" s="150" t="s">
        <v>119</v>
      </c>
    </row>
    <row r="7" spans="2:26" s="132" customFormat="1" ht="18" customHeight="1" x14ac:dyDescent="0.3">
      <c r="B7" s="144" t="str">
        <f>'Data Entry'!A6</f>
        <v xml:space="preserve">1. Population at risk (age 10 through 16) </v>
      </c>
      <c r="C7" s="102">
        <f>'Data Entry'!C6</f>
        <v>1482</v>
      </c>
      <c r="D7" s="103">
        <f>'Data Entry'!D6</f>
        <v>21</v>
      </c>
      <c r="E7" s="104"/>
      <c r="F7" s="105">
        <f>'Data Entry'!E6</f>
        <v>39</v>
      </c>
      <c r="G7" s="104"/>
      <c r="H7" s="105">
        <f>'Data Entry'!F6</f>
        <v>18</v>
      </c>
      <c r="I7" s="104"/>
      <c r="J7" s="105">
        <f>'Data Entry'!G6</f>
        <v>0</v>
      </c>
      <c r="K7" s="104"/>
      <c r="L7" s="105">
        <f>'Data Entry'!H6</f>
        <v>17</v>
      </c>
      <c r="M7" s="104"/>
      <c r="N7" s="105">
        <f>'Data Entry'!I6</f>
        <v>0</v>
      </c>
      <c r="O7" s="104"/>
      <c r="P7" s="105">
        <f>'Data Entry'!J6</f>
        <v>95</v>
      </c>
      <c r="Q7" s="106"/>
    </row>
    <row r="8" spans="2:26" s="1" customFormat="1" ht="15" customHeight="1" x14ac:dyDescent="0.3">
      <c r="B8" s="143" t="s">
        <v>8</v>
      </c>
      <c r="C8" s="102">
        <f>'Data Entry'!C7</f>
        <v>100</v>
      </c>
      <c r="D8" s="103">
        <f>'Data Entry'!D7</f>
        <v>0</v>
      </c>
      <c r="E8" s="104" t="str">
        <f>'Black or African-American'!$G7</f>
        <v>**</v>
      </c>
      <c r="F8" s="105">
        <f>'Data Entry'!E7</f>
        <v>0</v>
      </c>
      <c r="G8" s="104" t="str">
        <f>Hispanic!G7</f>
        <v>**</v>
      </c>
      <c r="H8" s="105">
        <f>'Data Entry'!F7</f>
        <v>0</v>
      </c>
      <c r="I8" s="104" t="str">
        <f>Asian!G7</f>
        <v>**</v>
      </c>
      <c r="J8" s="105">
        <f>'Data Entry'!G7</f>
        <v>0</v>
      </c>
      <c r="K8" s="104" t="str">
        <f>Hawaiian!G7</f>
        <v>*</v>
      </c>
      <c r="L8" s="105">
        <f>'Data Entry'!H7</f>
        <v>0</v>
      </c>
      <c r="M8" s="104" t="str">
        <f>'Am Indian'!G7</f>
        <v>**</v>
      </c>
      <c r="N8" s="105">
        <f>'Data Entry'!I7</f>
        <v>0</v>
      </c>
      <c r="O8" s="104" t="str">
        <f>'Other - Mixed'!G7</f>
        <v>*</v>
      </c>
      <c r="P8" s="105">
        <f>'Data Entry'!J7</f>
        <v>0</v>
      </c>
      <c r="Q8" s="106" t="str">
        <f>'All Minorities'!G7</f>
        <v>**</v>
      </c>
      <c r="R8"/>
      <c r="T8" s="1">
        <f>'Black or African-American'!L7</f>
        <v>40</v>
      </c>
      <c r="U8" s="1">
        <f>Hispanic!L7</f>
        <v>40</v>
      </c>
      <c r="V8" s="1">
        <f>Asian!L7</f>
        <v>40</v>
      </c>
      <c r="W8" s="1" t="e">
        <f>Hawaiian!L7</f>
        <v>#VALUE!</v>
      </c>
      <c r="X8" s="1">
        <f>'Am Indian'!L7</f>
        <v>40</v>
      </c>
      <c r="Y8" s="1" t="e">
        <f>'Other - Mixed'!L7</f>
        <v>#VALUE!</v>
      </c>
      <c r="Z8" s="1">
        <f>'All Minorities'!L7</f>
        <v>20</v>
      </c>
    </row>
    <row r="9" spans="2:26" s="1" customFormat="1" ht="15" customHeight="1" x14ac:dyDescent="0.3">
      <c r="B9" s="143" t="s">
        <v>134</v>
      </c>
      <c r="C9" s="102">
        <f>'Data Entry'!C8</f>
        <v>127</v>
      </c>
      <c r="D9" s="107">
        <f>'Data Entry'!D8</f>
        <v>0</v>
      </c>
      <c r="E9" s="108" t="str">
        <f>'Black or African-American'!$G8</f>
        <v>**</v>
      </c>
      <c r="F9" s="109">
        <f>'Data Entry'!E8</f>
        <v>0</v>
      </c>
      <c r="G9" s="108" t="str">
        <f>Hispanic!G8</f>
        <v>**</v>
      </c>
      <c r="H9" s="109">
        <f>'Data Entry'!F8</f>
        <v>0</v>
      </c>
      <c r="I9" s="108" t="str">
        <f>Asian!G8</f>
        <v>**</v>
      </c>
      <c r="J9" s="109">
        <f>'Data Entry'!G8</f>
        <v>0</v>
      </c>
      <c r="K9" s="108" t="str">
        <f>Hawaiian!G8</f>
        <v>*</v>
      </c>
      <c r="L9" s="109">
        <f>'Data Entry'!H8</f>
        <v>0</v>
      </c>
      <c r="M9" s="108" t="str">
        <f>'Am Indian'!G8</f>
        <v>**</v>
      </c>
      <c r="N9" s="109">
        <f>'Data Entry'!I8</f>
        <v>0</v>
      </c>
      <c r="O9" s="108" t="str">
        <f>'Other - Mixed'!G8</f>
        <v>*</v>
      </c>
      <c r="P9" s="109">
        <f>'Data Entry'!J8</f>
        <v>0</v>
      </c>
      <c r="Q9" s="110" t="str">
        <f>'All Minorities'!G8</f>
        <v>**</v>
      </c>
      <c r="R9"/>
      <c r="T9" s="1">
        <f>'Black or African-American'!L8</f>
        <v>40</v>
      </c>
      <c r="U9" s="1">
        <f>Hispanic!L8</f>
        <v>40</v>
      </c>
      <c r="V9" s="1">
        <f>Asian!L8</f>
        <v>40</v>
      </c>
      <c r="W9" s="1">
        <f>Hawaiian!L8</f>
        <v>139</v>
      </c>
      <c r="X9" s="1">
        <f>'Am Indian'!L8</f>
        <v>40</v>
      </c>
      <c r="Y9" s="1">
        <f>'Other - Mixed'!L8</f>
        <v>139</v>
      </c>
      <c r="Z9" s="1">
        <f>'All Minorities'!L8</f>
        <v>40</v>
      </c>
    </row>
    <row r="10" spans="2:26" s="1" customFormat="1" ht="15" customHeight="1" x14ac:dyDescent="0.3">
      <c r="B10" s="143" t="s">
        <v>10</v>
      </c>
      <c r="C10" s="102">
        <f>'Data Entry'!C9</f>
        <v>0</v>
      </c>
      <c r="D10" s="111">
        <f>'Data Entry'!D9</f>
        <v>0</v>
      </c>
      <c r="E10" s="112" t="str">
        <f>'Black or African-American'!$G9</f>
        <v>--</v>
      </c>
      <c r="F10" s="113">
        <f>'Data Entry'!E9</f>
        <v>0</v>
      </c>
      <c r="G10" s="112" t="str">
        <f>Hispanic!G9</f>
        <v>--</v>
      </c>
      <c r="H10" s="113">
        <f>'Data Entry'!F9</f>
        <v>0</v>
      </c>
      <c r="I10" s="112" t="str">
        <f>Asian!G9</f>
        <v>--</v>
      </c>
      <c r="J10" s="113">
        <f>'Data Entry'!G9</f>
        <v>0</v>
      </c>
      <c r="K10" s="112" t="str">
        <f>Hawaiian!G9</f>
        <v>*</v>
      </c>
      <c r="L10" s="113">
        <f>'Data Entry'!H9</f>
        <v>0</v>
      </c>
      <c r="M10" s="112" t="str">
        <f>'Am Indian'!G9</f>
        <v>--</v>
      </c>
      <c r="N10" s="113">
        <f>'Data Entry'!I9</f>
        <v>0</v>
      </c>
      <c r="O10" s="112" t="str">
        <f>'Other - Mixed'!G9</f>
        <v>*</v>
      </c>
      <c r="P10" s="113">
        <f>'Data Entry'!J9</f>
        <v>0</v>
      </c>
      <c r="Q10" s="114"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3" t="s">
        <v>11</v>
      </c>
      <c r="C11" s="102">
        <f>'Data Entry'!C10</f>
        <v>9</v>
      </c>
      <c r="D11" s="107">
        <f>'Data Entry'!D10</f>
        <v>0</v>
      </c>
      <c r="E11" s="108" t="str">
        <f>'Black or African-American'!$G10</f>
        <v>--</v>
      </c>
      <c r="F11" s="109">
        <f>'Data Entry'!E10</f>
        <v>0</v>
      </c>
      <c r="G11" s="108" t="str">
        <f>Hispanic!G10</f>
        <v>--</v>
      </c>
      <c r="H11" s="109">
        <f>'Data Entry'!F10</f>
        <v>0</v>
      </c>
      <c r="I11" s="108" t="str">
        <f>Asian!G10</f>
        <v>--</v>
      </c>
      <c r="J11" s="109">
        <f>'Data Entry'!G10</f>
        <v>0</v>
      </c>
      <c r="K11" s="108" t="str">
        <f>Hawaiian!G10</f>
        <v>*</v>
      </c>
      <c r="L11" s="109">
        <f>'Data Entry'!H10</f>
        <v>0</v>
      </c>
      <c r="M11" s="108" t="str">
        <f>'Am Indian'!G10</f>
        <v>--</v>
      </c>
      <c r="N11" s="109">
        <f>'Data Entry'!I10</f>
        <v>0</v>
      </c>
      <c r="O11" s="108" t="str">
        <f>'Other - Mixed'!G10</f>
        <v>*</v>
      </c>
      <c r="P11" s="109">
        <f>'Data Entry'!J10</f>
        <v>0</v>
      </c>
      <c r="Q11" s="110"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3" t="s">
        <v>97</v>
      </c>
      <c r="C12" s="102">
        <f>'Data Entry'!C11</f>
        <v>40</v>
      </c>
      <c r="D12" s="111">
        <f>'Data Entry'!D11</f>
        <v>0</v>
      </c>
      <c r="E12" s="112" t="str">
        <f>'Black or African-American'!$G11</f>
        <v>--</v>
      </c>
      <c r="F12" s="113">
        <f>'Data Entry'!E11</f>
        <v>0</v>
      </c>
      <c r="G12" s="112" t="str">
        <f>Hispanic!G11</f>
        <v>--</v>
      </c>
      <c r="H12" s="113">
        <f>'Data Entry'!F11</f>
        <v>0</v>
      </c>
      <c r="I12" s="112" t="str">
        <f>Asian!G11</f>
        <v>--</v>
      </c>
      <c r="J12" s="113">
        <f>'Data Entry'!G11</f>
        <v>0</v>
      </c>
      <c r="K12" s="112" t="str">
        <f>Hawaiian!G11</f>
        <v>*</v>
      </c>
      <c r="L12" s="113">
        <f>'Data Entry'!H11</f>
        <v>0</v>
      </c>
      <c r="M12" s="112" t="str">
        <f>'Am Indian'!G11</f>
        <v>--</v>
      </c>
      <c r="N12" s="113">
        <f>'Data Entry'!I11</f>
        <v>0</v>
      </c>
      <c r="O12" s="112" t="str">
        <f>'Other - Mixed'!G11</f>
        <v>*</v>
      </c>
      <c r="P12" s="113">
        <f>'Data Entry'!J11</f>
        <v>0</v>
      </c>
      <c r="Q12" s="114"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3" t="s">
        <v>13</v>
      </c>
      <c r="C13" s="102">
        <f>'Data Entry'!C12</f>
        <v>42</v>
      </c>
      <c r="D13" s="107">
        <f>'Data Entry'!D12</f>
        <v>0</v>
      </c>
      <c r="E13" s="108" t="str">
        <f>'Black or African-American'!$G12</f>
        <v>--</v>
      </c>
      <c r="F13" s="109">
        <f>'Data Entry'!E12</f>
        <v>0</v>
      </c>
      <c r="G13" s="108" t="str">
        <f>Hispanic!G12</f>
        <v>--</v>
      </c>
      <c r="H13" s="109">
        <f>'Data Entry'!F12</f>
        <v>0</v>
      </c>
      <c r="I13" s="108" t="str">
        <f>Asian!G12</f>
        <v>--</v>
      </c>
      <c r="J13" s="109">
        <f>'Data Entry'!G12</f>
        <v>0</v>
      </c>
      <c r="K13" s="108" t="str">
        <f>Hawaiian!G12</f>
        <v>*</v>
      </c>
      <c r="L13" s="109">
        <f>'Data Entry'!H12</f>
        <v>0</v>
      </c>
      <c r="M13" s="108" t="str">
        <f>'Am Indian'!G12</f>
        <v>--</v>
      </c>
      <c r="N13" s="109">
        <f>'Data Entry'!I12</f>
        <v>0</v>
      </c>
      <c r="O13" s="108" t="str">
        <f>'Other - Mixed'!G12</f>
        <v>*</v>
      </c>
      <c r="P13" s="109">
        <f>'Data Entry'!J12</f>
        <v>0</v>
      </c>
      <c r="Q13" s="110"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3" t="s">
        <v>133</v>
      </c>
      <c r="C14" s="102">
        <f>'Data Entry'!C13</f>
        <v>91</v>
      </c>
      <c r="D14" s="111">
        <f>'Data Entry'!D13</f>
        <v>0</v>
      </c>
      <c r="E14" s="112" t="str">
        <f>'Black or African-American'!$G13</f>
        <v>--</v>
      </c>
      <c r="F14" s="113">
        <f>'Data Entry'!E13</f>
        <v>0</v>
      </c>
      <c r="G14" s="112" t="str">
        <f>Hispanic!G13</f>
        <v>--</v>
      </c>
      <c r="H14" s="113">
        <f>'Data Entry'!F13</f>
        <v>0</v>
      </c>
      <c r="I14" s="112" t="str">
        <f>Asian!G13</f>
        <v>--</v>
      </c>
      <c r="J14" s="113">
        <f>'Data Entry'!G13</f>
        <v>0</v>
      </c>
      <c r="K14" s="112" t="str">
        <f>Hawaiian!G13</f>
        <v>*</v>
      </c>
      <c r="L14" s="113">
        <f>'Data Entry'!H13</f>
        <v>0</v>
      </c>
      <c r="M14" s="112" t="str">
        <f>'Am Indian'!G13</f>
        <v>--</v>
      </c>
      <c r="N14" s="113">
        <f>'Data Entry'!I13</f>
        <v>0</v>
      </c>
      <c r="O14" s="112" t="str">
        <f>'Other - Mixed'!G13</f>
        <v>*</v>
      </c>
      <c r="P14" s="113">
        <f>'Data Entry'!J13</f>
        <v>0</v>
      </c>
      <c r="Q14" s="114"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45" t="s">
        <v>124</v>
      </c>
      <c r="C15" s="102">
        <f>'Data Entry'!C14</f>
        <v>36</v>
      </c>
      <c r="D15" s="107">
        <f>'Data Entry'!D14</f>
        <v>0</v>
      </c>
      <c r="E15" s="108" t="str">
        <f>'Black or African-American'!$G14</f>
        <v>--</v>
      </c>
      <c r="F15" s="109">
        <f>'Data Entry'!E14</f>
        <v>0</v>
      </c>
      <c r="G15" s="108" t="str">
        <f>Hispanic!G14</f>
        <v>--</v>
      </c>
      <c r="H15" s="109">
        <f>'Data Entry'!F14</f>
        <v>0</v>
      </c>
      <c r="I15" s="108" t="str">
        <f>Asian!G14</f>
        <v>--</v>
      </c>
      <c r="J15" s="109">
        <f>'Data Entry'!G14</f>
        <v>0</v>
      </c>
      <c r="K15" s="108" t="str">
        <f>Hawaiian!G14</f>
        <v>*</v>
      </c>
      <c r="L15" s="109">
        <f>'Data Entry'!H14</f>
        <v>0</v>
      </c>
      <c r="M15" s="108" t="str">
        <f>'Am Indian'!G14</f>
        <v>--</v>
      </c>
      <c r="N15" s="109">
        <f>'Data Entry'!I14</f>
        <v>0</v>
      </c>
      <c r="O15" s="108" t="str">
        <f>'Other - Mixed'!G14</f>
        <v>*</v>
      </c>
      <c r="P15" s="109">
        <f>'Data Entry'!J14</f>
        <v>0</v>
      </c>
      <c r="Q15" s="110"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3" t="s">
        <v>16</v>
      </c>
      <c r="C16" s="102">
        <f>'Data Entry'!C15</f>
        <v>0</v>
      </c>
      <c r="D16" s="115">
        <f>'Data Entry'!D15</f>
        <v>0</v>
      </c>
      <c r="E16" s="116" t="str">
        <f>'Black or African-American'!$G15</f>
        <v>--</v>
      </c>
      <c r="F16" s="117">
        <f>'Data Entry'!E15</f>
        <v>0</v>
      </c>
      <c r="G16" s="116" t="str">
        <f>Hispanic!G15</f>
        <v>--</v>
      </c>
      <c r="H16" s="117">
        <f>'Data Entry'!F15</f>
        <v>0</v>
      </c>
      <c r="I16" s="116" t="str">
        <f>Asian!G15</f>
        <v>--</v>
      </c>
      <c r="J16" s="117">
        <f>'Data Entry'!G15</f>
        <v>0</v>
      </c>
      <c r="K16" s="116" t="str">
        <f>Hawaiian!G15</f>
        <v>*</v>
      </c>
      <c r="L16" s="117">
        <f>'Data Entry'!H15</f>
        <v>0</v>
      </c>
      <c r="M16" s="116" t="str">
        <f>'Am Indian'!G15</f>
        <v>--</v>
      </c>
      <c r="N16" s="117">
        <f>'Data Entry'!I15</f>
        <v>0</v>
      </c>
      <c r="O16" s="116" t="str">
        <f>'Other - Mixed'!G15</f>
        <v>*</v>
      </c>
      <c r="P16" s="117">
        <f>'Data Entry'!J15</f>
        <v>0</v>
      </c>
      <c r="Q16" s="118"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46" t="s">
        <v>98</v>
      </c>
      <c r="C17" s="96" t="str">
        <f>'Data Entry'!C16</f>
        <v>Yes</v>
      </c>
      <c r="D17" s="130"/>
      <c r="E17" s="140" t="str">
        <f>'Data Entry'!$D$16</f>
        <v>Yes</v>
      </c>
      <c r="F17" s="130"/>
      <c r="G17" s="140" t="str">
        <f>'Data Entry'!$E$16</f>
        <v>Yes</v>
      </c>
      <c r="H17" s="130"/>
      <c r="I17" s="140" t="str">
        <f>'Data Entry'!F16</f>
        <v>Yes</v>
      </c>
      <c r="J17" s="130"/>
      <c r="K17" s="140" t="str">
        <f>'Data Entry'!G16</f>
        <v>No</v>
      </c>
      <c r="L17" s="130"/>
      <c r="M17" s="140" t="str">
        <f>'Data Entry'!H16</f>
        <v>Yes</v>
      </c>
      <c r="N17" s="130"/>
      <c r="O17" s="140" t="str">
        <f>'Data Entry'!I16</f>
        <v>No</v>
      </c>
      <c r="P17" s="130"/>
      <c r="Q17" s="141" t="str">
        <f>'Data Entry'!J16</f>
        <v>Yes</v>
      </c>
      <c r="R17"/>
    </row>
    <row r="18" spans="2:18" ht="15" customHeight="1" thickTop="1" thickBot="1" x14ac:dyDescent="0.35">
      <c r="B18" s="91"/>
      <c r="C18" s="91"/>
      <c r="D18" s="91"/>
      <c r="E18" s="91"/>
      <c r="F18" s="91"/>
      <c r="G18" s="91"/>
      <c r="H18" s="91"/>
      <c r="I18" s="91"/>
      <c r="J18" s="91"/>
      <c r="K18" s="91"/>
      <c r="L18" s="91"/>
      <c r="M18" s="91"/>
      <c r="N18" s="91"/>
      <c r="O18" s="91"/>
      <c r="P18" s="91"/>
      <c r="Q18" s="91"/>
    </row>
    <row r="19" spans="2:18" ht="18" customHeight="1" thickBot="1" x14ac:dyDescent="0.4">
      <c r="B19" s="92"/>
      <c r="C19" s="131"/>
      <c r="D19" s="133"/>
      <c r="E19" s="133"/>
      <c r="F19" s="133"/>
      <c r="G19" s="133"/>
      <c r="H19" s="135" t="s">
        <v>129</v>
      </c>
      <c r="I19" s="136" t="s">
        <v>52</v>
      </c>
      <c r="J19" s="133"/>
      <c r="K19" s="133"/>
      <c r="L19" s="133"/>
      <c r="M19" s="133"/>
      <c r="N19" s="133"/>
      <c r="O19" s="134"/>
      <c r="P19" s="91"/>
      <c r="Q19" s="91"/>
    </row>
    <row r="20" spans="2:18" ht="16.5" x14ac:dyDescent="0.3">
      <c r="B20" s="91"/>
      <c r="C20" s="152" t="s">
        <v>126</v>
      </c>
      <c r="D20" s="158"/>
      <c r="E20" s="159"/>
      <c r="F20" s="160"/>
      <c r="G20" s="161" t="s">
        <v>54</v>
      </c>
      <c r="H20" s="158"/>
      <c r="I20" s="152" t="s">
        <v>57</v>
      </c>
      <c r="J20" s="158"/>
      <c r="K20" s="158"/>
      <c r="L20" s="158"/>
      <c r="M20" s="158"/>
      <c r="N20" s="158"/>
      <c r="O20" s="153" t="s">
        <v>58</v>
      </c>
      <c r="Q20" s="91"/>
    </row>
    <row r="21" spans="2:18" ht="15" customHeight="1" x14ac:dyDescent="0.3">
      <c r="B21" s="91"/>
      <c r="C21" s="154" t="s">
        <v>128</v>
      </c>
      <c r="D21" s="158"/>
      <c r="E21" s="162"/>
      <c r="F21" s="158"/>
      <c r="G21" s="163" t="s">
        <v>56</v>
      </c>
      <c r="H21" s="158"/>
      <c r="I21" s="154" t="s">
        <v>59</v>
      </c>
      <c r="J21" s="158"/>
      <c r="K21" s="158"/>
      <c r="L21" s="158"/>
      <c r="M21" s="158"/>
      <c r="N21" s="158"/>
      <c r="O21" s="155" t="s">
        <v>60</v>
      </c>
      <c r="Q21" s="91"/>
    </row>
    <row r="22" spans="2:18" ht="15" customHeight="1" thickBot="1" x14ac:dyDescent="0.35">
      <c r="B22" s="91"/>
      <c r="C22" s="164"/>
      <c r="D22" s="165"/>
      <c r="E22" s="165"/>
      <c r="F22" s="165"/>
      <c r="G22" s="165"/>
      <c r="H22" s="165"/>
      <c r="I22" s="166" t="s">
        <v>61</v>
      </c>
      <c r="J22" s="165"/>
      <c r="K22" s="165"/>
      <c r="L22" s="165"/>
      <c r="M22" s="165"/>
      <c r="N22" s="165"/>
      <c r="O22" s="156" t="s">
        <v>62</v>
      </c>
      <c r="Q22" s="91"/>
    </row>
    <row r="23" spans="2:18" ht="15" customHeight="1" x14ac:dyDescent="0.3">
      <c r="B23" s="91"/>
      <c r="C23" s="91"/>
      <c r="D23" s="91"/>
      <c r="E23"/>
      <c r="F23"/>
      <c r="G23"/>
      <c r="H23"/>
      <c r="K23"/>
      <c r="L23"/>
      <c r="M23" s="91"/>
      <c r="N23" s="91"/>
      <c r="O23" s="91"/>
      <c r="P23" s="91"/>
      <c r="Q23" s="91"/>
    </row>
    <row r="24" spans="2:18" ht="15" customHeight="1" x14ac:dyDescent="0.3">
      <c r="B24" s="91"/>
      <c r="C24" s="91"/>
      <c r="D24" s="91"/>
      <c r="E24"/>
      <c r="F24"/>
      <c r="G24"/>
      <c r="H24"/>
      <c r="K24"/>
      <c r="L24"/>
      <c r="M24" s="91"/>
      <c r="N24" s="91"/>
      <c r="O24" s="91"/>
      <c r="P24" s="91"/>
      <c r="Q24" s="91"/>
    </row>
    <row r="25" spans="2:18" ht="15" customHeight="1" x14ac:dyDescent="0.25">
      <c r="B25" s="1" t="str">
        <f>'Data Entry'!A18</f>
        <v>5. DATA SOURCES &amp; NOTES</v>
      </c>
    </row>
    <row r="26" spans="2:18" ht="15" customHeight="1" x14ac:dyDescent="0.25">
      <c r="B26" s="1" t="str">
        <f>'Data Entry'!A19</f>
        <v>Item 1. Population (figures for 2012): Population data are from Puzzanchera, C., Sladky, A. and Kang, W. (2013). "Easy Access to Juvenile Populations: 1990-2012." Online.  Last modified October 30, 2013, accessed March 21, 2014.  Available: http://www.ojjdp.gov/ojstatbb/ezapop/.</v>
      </c>
      <c r="E26" s="1" t="str">
        <f>'Data Entry'!D19</f>
        <v>Item 2.Arrest: Michigan State Police (figures for 2012)</v>
      </c>
      <c r="I26" s="94"/>
      <c r="J26" s="94"/>
    </row>
    <row r="27" spans="2:18" ht="12.75" customHeight="1" x14ac:dyDescent="0.25">
      <c r="B27" s="1" t="str">
        <f>'Data Entry'!A20</f>
        <v>Item 3.Referral: State Court Administrative Office</v>
      </c>
      <c r="E27" s="1" t="str">
        <f>'Data Entry'!D20</f>
        <v>Item 4.Diversion: State Court Administrative Office</v>
      </c>
      <c r="I27" s="94"/>
      <c r="J27" s="94"/>
    </row>
    <row r="28" spans="2:18" ht="12.75" customHeight="1" x14ac:dyDescent="0.25">
      <c r="B28" s="1" t="str">
        <f>'Data Entry'!A21</f>
        <v>Item 5.Detention: State Court Administrative Office</v>
      </c>
      <c r="E28" s="1" t="str">
        <f>'Data Entry'!D21</f>
        <v>Item 6.Petitioned: State Court Administrative Office</v>
      </c>
      <c r="I28" s="94"/>
      <c r="J28" s="94"/>
    </row>
    <row r="29" spans="2:18" ht="12.75" customHeight="1" x14ac:dyDescent="0.25">
      <c r="B29" s="1" t="str">
        <f>'Data Entry'!A22</f>
        <v>Item 7.Delinquent: State Court Administrative Office</v>
      </c>
      <c r="E29" s="1" t="str">
        <f>'Data Entry'!D22</f>
        <v>Item 8.Probation: State Court Administrative Office</v>
      </c>
      <c r="I29" s="94"/>
      <c r="J29" s="94"/>
    </row>
    <row r="30" spans="2:18" ht="12.75" customHeight="1" x14ac:dyDescent="0.25">
      <c r="B30" s="1" t="str">
        <f>'Data Entry'!A23</f>
        <v>Item 9.Confinement: State Court Administrative Office</v>
      </c>
      <c r="E30" s="1" t="str">
        <f>'Data Entry'!D23</f>
        <v>Item 10.Transferred: State Court Administrative Office</v>
      </c>
      <c r="I30" s="94"/>
      <c r="J30" s="94"/>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D30"/>
  <sheetViews>
    <sheetView showGridLines="0" zoomScaleNormal="100" workbookViewId="0">
      <selection activeCell="X15" sqref="X15"/>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1" t="s">
        <v>122</v>
      </c>
      <c r="C2" s="172"/>
      <c r="D2" s="172"/>
      <c r="E2" s="172"/>
      <c r="F2" s="172"/>
      <c r="G2" s="172"/>
      <c r="H2" s="172"/>
      <c r="I2" s="172"/>
      <c r="J2" s="172"/>
      <c r="K2" s="173"/>
    </row>
    <row r="3" spans="2:30" s="1" customFormat="1" ht="19.5" thickTop="1" x14ac:dyDescent="0.35">
      <c r="B3" s="95" t="str">
        <f>'Data Entry'!A2</f>
        <v>State: Michigan</v>
      </c>
      <c r="C3" s="120"/>
      <c r="D3" s="120"/>
      <c r="H3" s="186" t="str">
        <f>'Data Entry'!C3</f>
        <v xml:space="preserve">Reporting Period:  </v>
      </c>
      <c r="I3" s="187"/>
      <c r="J3" s="187"/>
      <c r="K3" s="188"/>
    </row>
    <row r="4" spans="2:30" s="1" customFormat="1" ht="19.5" thickBot="1" x14ac:dyDescent="0.4">
      <c r="B4" s="99" t="str">
        <f>'Data Entry'!A3</f>
        <v>County: Roscommon</v>
      </c>
      <c r="C4" s="119"/>
      <c r="D4" s="119"/>
      <c r="E4" s="122"/>
      <c r="F4" s="122"/>
      <c r="G4" s="122"/>
      <c r="H4" s="176" t="str">
        <f>'Data Entry'!C4</f>
        <v>1/1/12 through 12/31/12</v>
      </c>
      <c r="I4" s="189"/>
      <c r="J4" s="189"/>
      <c r="K4" s="190"/>
    </row>
    <row r="5" spans="2:30" s="121" customFormat="1" ht="69" customHeight="1" x14ac:dyDescent="0.35">
      <c r="B5" s="97"/>
      <c r="C5" s="98" t="s">
        <v>3</v>
      </c>
      <c r="D5" s="183" t="str">
        <f>'Black or African-American'!$F$1</f>
        <v>Black or African American</v>
      </c>
      <c r="E5" s="184"/>
      <c r="F5" s="183" t="str">
        <f>Hispanic!F1</f>
        <v>Hispanic or Latino</v>
      </c>
      <c r="G5" s="184"/>
      <c r="H5" s="183" t="str">
        <f>Asian!F1</f>
        <v>Asian</v>
      </c>
      <c r="I5" s="184"/>
      <c r="J5" s="183" t="str">
        <f>'Data Entry'!J5</f>
        <v>All Minorities</v>
      </c>
      <c r="K5" s="185"/>
      <c r="N5" s="68"/>
      <c r="O5" s="68"/>
      <c r="P5" s="68"/>
      <c r="Q5" s="68"/>
    </row>
    <row r="6" spans="2:30" s="121" customFormat="1" ht="18" customHeight="1" x14ac:dyDescent="0.35">
      <c r="B6" s="151" t="s">
        <v>120</v>
      </c>
      <c r="C6" s="124" t="s">
        <v>118</v>
      </c>
      <c r="D6" s="125" t="s">
        <v>118</v>
      </c>
      <c r="E6" s="126" t="s">
        <v>119</v>
      </c>
      <c r="F6" s="125" t="s">
        <v>118</v>
      </c>
      <c r="G6" s="126" t="s">
        <v>119</v>
      </c>
      <c r="H6" s="125" t="s">
        <v>118</v>
      </c>
      <c r="I6" s="126" t="s">
        <v>119</v>
      </c>
      <c r="J6" s="125" t="s">
        <v>118</v>
      </c>
      <c r="K6" s="127" t="s">
        <v>119</v>
      </c>
    </row>
    <row r="7" spans="2:30" s="132" customFormat="1" ht="18" customHeight="1" x14ac:dyDescent="0.3">
      <c r="B7" s="142" t="str">
        <f>'Data Entry'!A6</f>
        <v xml:space="preserve">1. Population at risk (age 10 through 16) </v>
      </c>
      <c r="C7" s="102">
        <f>'Data Entry'!C6</f>
        <v>1482</v>
      </c>
      <c r="D7" s="103">
        <f>'Data Entry'!D6</f>
        <v>21</v>
      </c>
      <c r="E7" s="104"/>
      <c r="F7" s="105">
        <f>'Data Entry'!E6</f>
        <v>39</v>
      </c>
      <c r="G7" s="104"/>
      <c r="H7" s="105">
        <f>'Data Entry'!F6</f>
        <v>18</v>
      </c>
      <c r="I7" s="104"/>
      <c r="J7" s="105">
        <f>'Data Entry'!J6</f>
        <v>95</v>
      </c>
      <c r="K7" s="106"/>
    </row>
    <row r="8" spans="2:30" s="1" customFormat="1" ht="15" customHeight="1" x14ac:dyDescent="0.3">
      <c r="B8" s="123" t="s">
        <v>8</v>
      </c>
      <c r="C8" s="102">
        <f>'Data Entry'!C7</f>
        <v>100</v>
      </c>
      <c r="D8" s="103">
        <f>'Data Entry'!D7</f>
        <v>0</v>
      </c>
      <c r="E8" s="104" t="str">
        <f>'Black or African-American'!$G7</f>
        <v>**</v>
      </c>
      <c r="F8" s="105">
        <f>'Data Entry'!E7</f>
        <v>0</v>
      </c>
      <c r="G8" s="104" t="str">
        <f>Hispanic!G7</f>
        <v>**</v>
      </c>
      <c r="H8" s="105">
        <f>'Data Entry'!F7</f>
        <v>0</v>
      </c>
      <c r="I8" s="104" t="str">
        <f>Asian!G7</f>
        <v>**</v>
      </c>
      <c r="J8" s="105">
        <f>'Data Entry'!J7</f>
        <v>0</v>
      </c>
      <c r="K8" s="106" t="str">
        <f>'All Minorities'!G7</f>
        <v>**</v>
      </c>
      <c r="L8"/>
      <c r="N8" s="1">
        <f>'Black or African-American'!L7</f>
        <v>40</v>
      </c>
      <c r="O8" s="1">
        <f>Hispanic!L7</f>
        <v>40</v>
      </c>
      <c r="P8" s="1">
        <f>Asian!L7</f>
        <v>40</v>
      </c>
      <c r="Q8" s="1" t="e">
        <f>Hawaiian!L7</f>
        <v>#VALUE!</v>
      </c>
      <c r="R8" s="1">
        <f>'Am Indian'!L7</f>
        <v>40</v>
      </c>
      <c r="S8" s="1" t="e">
        <f>'Other - Mixed'!L7</f>
        <v>#VALUE!</v>
      </c>
      <c r="T8" s="1">
        <f>'All Minorities'!L7</f>
        <v>20</v>
      </c>
    </row>
    <row r="9" spans="2:30" s="1" customFormat="1" ht="15" customHeight="1" x14ac:dyDescent="0.3">
      <c r="B9" s="123" t="s">
        <v>134</v>
      </c>
      <c r="C9" s="102">
        <f>'Data Entry'!C8</f>
        <v>127</v>
      </c>
      <c r="D9" s="107">
        <f>'Data Entry'!D8</f>
        <v>0</v>
      </c>
      <c r="E9" s="108" t="str">
        <f>'Black or African-American'!$G8</f>
        <v>**</v>
      </c>
      <c r="F9" s="109">
        <f>'Data Entry'!E8</f>
        <v>0</v>
      </c>
      <c r="G9" s="108" t="str">
        <f>Hispanic!G8</f>
        <v>**</v>
      </c>
      <c r="H9" s="109">
        <f>'Data Entry'!F8</f>
        <v>0</v>
      </c>
      <c r="I9" s="108" t="str">
        <f>Asian!G8</f>
        <v>**</v>
      </c>
      <c r="J9" s="109">
        <f>'Data Entry'!J8</f>
        <v>0</v>
      </c>
      <c r="K9" s="110" t="str">
        <f>'All Minorities'!G8</f>
        <v>**</v>
      </c>
      <c r="L9"/>
      <c r="N9" s="1">
        <f>'Black or African-American'!L8</f>
        <v>40</v>
      </c>
      <c r="O9" s="1">
        <f>Hispanic!L8</f>
        <v>40</v>
      </c>
      <c r="P9" s="1">
        <f>Asian!L8</f>
        <v>40</v>
      </c>
      <c r="Q9" s="1">
        <f>Hawaiian!L8</f>
        <v>139</v>
      </c>
      <c r="R9" s="1">
        <f>'Am Indian'!L8</f>
        <v>40</v>
      </c>
      <c r="S9" s="1">
        <f>'Other - Mixed'!L8</f>
        <v>139</v>
      </c>
      <c r="T9" s="1">
        <f>'All Minorities'!L8</f>
        <v>40</v>
      </c>
    </row>
    <row r="10" spans="2:30" s="1" customFormat="1" ht="15" customHeight="1" x14ac:dyDescent="0.3">
      <c r="B10" s="123" t="s">
        <v>10</v>
      </c>
      <c r="C10" s="102">
        <f>'Data Entry'!C9</f>
        <v>0</v>
      </c>
      <c r="D10" s="111">
        <f>'Data Entry'!D9</f>
        <v>0</v>
      </c>
      <c r="E10" s="112" t="str">
        <f>'Black or African-American'!$G9</f>
        <v>--</v>
      </c>
      <c r="F10" s="113">
        <f>'Data Entry'!E9</f>
        <v>0</v>
      </c>
      <c r="G10" s="112" t="str">
        <f>Hispanic!G9</f>
        <v>--</v>
      </c>
      <c r="H10" s="113">
        <f>'Data Entry'!F9</f>
        <v>0</v>
      </c>
      <c r="I10" s="112" t="str">
        <f>Asian!G9</f>
        <v>--</v>
      </c>
      <c r="J10" s="113">
        <f>'Data Entry'!J9</f>
        <v>0</v>
      </c>
      <c r="K10" s="114"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3" t="s">
        <v>11</v>
      </c>
      <c r="C11" s="102">
        <f>'Data Entry'!C10</f>
        <v>9</v>
      </c>
      <c r="D11" s="107">
        <f>'Data Entry'!D10</f>
        <v>0</v>
      </c>
      <c r="E11" s="108" t="str">
        <f>'Black or African-American'!$G10</f>
        <v>--</v>
      </c>
      <c r="F11" s="109">
        <f>'Data Entry'!E10</f>
        <v>0</v>
      </c>
      <c r="G11" s="108" t="str">
        <f>Hispanic!G10</f>
        <v>--</v>
      </c>
      <c r="H11" s="109">
        <f>'Data Entry'!F10</f>
        <v>0</v>
      </c>
      <c r="I11" s="108" t="str">
        <f>Asian!G10</f>
        <v>--</v>
      </c>
      <c r="J11" s="109">
        <f>'Data Entry'!J10</f>
        <v>0</v>
      </c>
      <c r="K11" s="110"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3" t="s">
        <v>97</v>
      </c>
      <c r="C12" s="102">
        <f>'Data Entry'!C11</f>
        <v>40</v>
      </c>
      <c r="D12" s="111">
        <f>'Data Entry'!D11</f>
        <v>0</v>
      </c>
      <c r="E12" s="112" t="str">
        <f>'Black or African-American'!$G11</f>
        <v>--</v>
      </c>
      <c r="F12" s="113">
        <f>'Data Entry'!E11</f>
        <v>0</v>
      </c>
      <c r="G12" s="112" t="str">
        <f>Hispanic!G11</f>
        <v>--</v>
      </c>
      <c r="H12" s="113">
        <f>'Data Entry'!F11</f>
        <v>0</v>
      </c>
      <c r="I12" s="112" t="str">
        <f>Asian!G11</f>
        <v>--</v>
      </c>
      <c r="J12" s="113">
        <f>'Data Entry'!J11</f>
        <v>0</v>
      </c>
      <c r="K12" s="114"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3" t="s">
        <v>13</v>
      </c>
      <c r="C13" s="102">
        <f>'Data Entry'!C12</f>
        <v>42</v>
      </c>
      <c r="D13" s="107">
        <f>'Data Entry'!D12</f>
        <v>0</v>
      </c>
      <c r="E13" s="108" t="str">
        <f>'Black or African-American'!$G12</f>
        <v>--</v>
      </c>
      <c r="F13" s="109">
        <f>'Data Entry'!E12</f>
        <v>0</v>
      </c>
      <c r="G13" s="108" t="str">
        <f>Hispanic!G12</f>
        <v>--</v>
      </c>
      <c r="H13" s="109">
        <f>'Data Entry'!F12</f>
        <v>0</v>
      </c>
      <c r="I13" s="108" t="str">
        <f>Asian!G12</f>
        <v>--</v>
      </c>
      <c r="J13" s="109">
        <f>'Data Entry'!J12</f>
        <v>0</v>
      </c>
      <c r="K13" s="110"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2"/>
      <c r="X13" s="132"/>
      <c r="Y13" s="132"/>
      <c r="Z13" s="132"/>
      <c r="AA13" s="132"/>
      <c r="AB13" s="132"/>
      <c r="AC13" s="132"/>
      <c r="AD13" s="132"/>
    </row>
    <row r="14" spans="2:30" s="1" customFormat="1" ht="15" customHeight="1" x14ac:dyDescent="0.3">
      <c r="B14" s="123" t="s">
        <v>14</v>
      </c>
      <c r="C14" s="102">
        <f>'Data Entry'!C13</f>
        <v>91</v>
      </c>
      <c r="D14" s="111">
        <f>'Data Entry'!D13</f>
        <v>0</v>
      </c>
      <c r="E14" s="112" t="str">
        <f>'Black or African-American'!$G13</f>
        <v>--</v>
      </c>
      <c r="F14" s="113">
        <f>'Data Entry'!E13</f>
        <v>0</v>
      </c>
      <c r="G14" s="112" t="str">
        <f>Hispanic!G13</f>
        <v>--</v>
      </c>
      <c r="H14" s="113">
        <f>'Data Entry'!F13</f>
        <v>0</v>
      </c>
      <c r="I14" s="112" t="str">
        <f>Asian!G13</f>
        <v>--</v>
      </c>
      <c r="J14" s="113">
        <f>'Data Entry'!J13</f>
        <v>0</v>
      </c>
      <c r="K14" s="114"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2"/>
      <c r="X14" s="132"/>
      <c r="Y14" s="132"/>
      <c r="Z14" s="132"/>
      <c r="AA14" s="132"/>
      <c r="AB14" s="132"/>
      <c r="AC14" s="132"/>
      <c r="AD14" s="132"/>
    </row>
    <row r="15" spans="2:30" s="1" customFormat="1" ht="33" x14ac:dyDescent="0.3">
      <c r="B15" s="128" t="s">
        <v>124</v>
      </c>
      <c r="C15" s="102">
        <f>'Data Entry'!C14</f>
        <v>36</v>
      </c>
      <c r="D15" s="107">
        <f>'Data Entry'!D14</f>
        <v>0</v>
      </c>
      <c r="E15" s="108" t="str">
        <f>'Black or African-American'!$G14</f>
        <v>--</v>
      </c>
      <c r="F15" s="109">
        <f>'Data Entry'!E14</f>
        <v>0</v>
      </c>
      <c r="G15" s="108" t="str">
        <f>Hispanic!G14</f>
        <v>--</v>
      </c>
      <c r="H15" s="109">
        <f>'Data Entry'!F14</f>
        <v>0</v>
      </c>
      <c r="I15" s="108" t="str">
        <f>Asian!G14</f>
        <v>--</v>
      </c>
      <c r="J15" s="109">
        <f>'Data Entry'!J14</f>
        <v>0</v>
      </c>
      <c r="K15" s="110"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2"/>
      <c r="X15" s="132"/>
      <c r="Y15" s="132"/>
      <c r="Z15" s="132"/>
      <c r="AA15" s="132"/>
      <c r="AB15" s="132"/>
      <c r="AC15" s="132"/>
      <c r="AD15" s="132"/>
    </row>
    <row r="16" spans="2:30" s="1" customFormat="1" ht="15" customHeight="1" x14ac:dyDescent="0.3">
      <c r="B16" s="123" t="s">
        <v>16</v>
      </c>
      <c r="C16" s="102">
        <f>'Data Entry'!C15</f>
        <v>0</v>
      </c>
      <c r="D16" s="115">
        <f>'Data Entry'!D15</f>
        <v>0</v>
      </c>
      <c r="E16" s="116" t="str">
        <f>'Black or African-American'!$G15</f>
        <v>--</v>
      </c>
      <c r="F16" s="117">
        <f>'Data Entry'!E15</f>
        <v>0</v>
      </c>
      <c r="G16" s="116" t="str">
        <f>Hispanic!G15</f>
        <v>--</v>
      </c>
      <c r="H16" s="117">
        <f>'Data Entry'!F15</f>
        <v>0</v>
      </c>
      <c r="I16" s="116" t="str">
        <f>Asian!G15</f>
        <v>--</v>
      </c>
      <c r="J16" s="117">
        <f>'Data Entry'!J15</f>
        <v>0</v>
      </c>
      <c r="K16" s="118"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2"/>
      <c r="X16" s="132"/>
      <c r="Y16" s="132"/>
      <c r="Z16" s="132"/>
      <c r="AA16" s="132"/>
      <c r="AB16" s="132"/>
      <c r="AC16" s="132"/>
      <c r="AD16" s="132"/>
    </row>
    <row r="17" spans="2:30" s="1" customFormat="1" ht="15" customHeight="1" thickBot="1" x14ac:dyDescent="0.4">
      <c r="B17" s="129" t="s">
        <v>98</v>
      </c>
      <c r="C17" s="96" t="str">
        <f>'Data Entry'!C16</f>
        <v>Yes</v>
      </c>
      <c r="D17" s="130"/>
      <c r="E17" s="139" t="str">
        <f>'Data Entry'!$D$16</f>
        <v>Yes</v>
      </c>
      <c r="F17" s="130"/>
      <c r="G17" s="139" t="str">
        <f>'Data Entry'!$E$16</f>
        <v>Yes</v>
      </c>
      <c r="H17" s="130"/>
      <c r="I17" s="139" t="str">
        <f>'Data Entry'!F16</f>
        <v>Yes</v>
      </c>
      <c r="J17" s="130"/>
      <c r="K17" s="138" t="str">
        <f>'Data Entry'!J16</f>
        <v>Yes</v>
      </c>
      <c r="L17"/>
      <c r="W17" s="132"/>
      <c r="X17" s="132"/>
      <c r="Y17" s="132"/>
      <c r="Z17" s="132"/>
      <c r="AA17" s="132"/>
      <c r="AB17" s="132"/>
      <c r="AC17" s="132"/>
      <c r="AD17" s="132"/>
    </row>
    <row r="18" spans="2:30" ht="15" customHeight="1" thickTop="1" thickBot="1" x14ac:dyDescent="0.35">
      <c r="B18" s="91"/>
      <c r="C18" s="91"/>
      <c r="D18" s="91"/>
      <c r="E18" s="91"/>
      <c r="F18" s="91"/>
      <c r="G18" s="91"/>
      <c r="H18" s="91"/>
      <c r="I18" s="91"/>
      <c r="J18" s="91"/>
      <c r="K18" s="91"/>
      <c r="W18" s="132"/>
      <c r="X18" s="132"/>
      <c r="Y18" s="132"/>
      <c r="Z18" s="132"/>
      <c r="AA18" s="132"/>
      <c r="AB18" s="132"/>
      <c r="AC18" s="132"/>
      <c r="AD18" s="132"/>
    </row>
    <row r="19" spans="2:30" ht="18" customHeight="1" thickBot="1" x14ac:dyDescent="0.4">
      <c r="B19" s="199" t="s">
        <v>121</v>
      </c>
      <c r="C19" s="200"/>
      <c r="D19" s="200"/>
      <c r="E19" s="200"/>
      <c r="F19" s="200"/>
      <c r="G19" s="200"/>
      <c r="H19" s="200"/>
      <c r="I19" s="201"/>
      <c r="J19" s="202"/>
      <c r="K19" s="203"/>
    </row>
    <row r="20" spans="2:30" ht="15.75" x14ac:dyDescent="0.3">
      <c r="B20" s="152" t="s">
        <v>126</v>
      </c>
      <c r="C20" s="207" t="s">
        <v>54</v>
      </c>
      <c r="D20" s="208"/>
      <c r="E20" s="191" t="s">
        <v>57</v>
      </c>
      <c r="F20" s="192"/>
      <c r="G20" s="192"/>
      <c r="H20" s="192"/>
      <c r="I20" s="192"/>
      <c r="J20" s="192"/>
      <c r="K20" s="153" t="s">
        <v>58</v>
      </c>
    </row>
    <row r="21" spans="2:30" ht="15" customHeight="1" x14ac:dyDescent="0.3">
      <c r="B21" s="154" t="s">
        <v>127</v>
      </c>
      <c r="C21" s="193" t="s">
        <v>56</v>
      </c>
      <c r="D21" s="194"/>
      <c r="E21" s="195" t="s">
        <v>59</v>
      </c>
      <c r="F21" s="196"/>
      <c r="G21" s="196"/>
      <c r="H21" s="196"/>
      <c r="I21" s="196"/>
      <c r="J21" s="196"/>
      <c r="K21" s="155" t="s">
        <v>60</v>
      </c>
    </row>
    <row r="22" spans="2:30" ht="15" customHeight="1" thickBot="1" x14ac:dyDescent="0.35">
      <c r="B22" s="204"/>
      <c r="C22" s="205"/>
      <c r="D22" s="206"/>
      <c r="E22" s="197" t="s">
        <v>61</v>
      </c>
      <c r="F22" s="198"/>
      <c r="G22" s="198"/>
      <c r="H22" s="198"/>
      <c r="I22" s="198"/>
      <c r="J22" s="198"/>
      <c r="K22" s="156" t="s">
        <v>62</v>
      </c>
    </row>
    <row r="23" spans="2:30" ht="15" customHeight="1" x14ac:dyDescent="0.3">
      <c r="B23" s="91"/>
      <c r="C23" s="91"/>
      <c r="D23" s="91"/>
      <c r="E23"/>
      <c r="F23"/>
      <c r="G23"/>
      <c r="H23"/>
      <c r="J23"/>
      <c r="K23"/>
    </row>
    <row r="24" spans="2:30" ht="15" customHeight="1" x14ac:dyDescent="0.3">
      <c r="B24" s="91"/>
      <c r="C24" s="91"/>
      <c r="D24" s="91"/>
      <c r="E24"/>
      <c r="F24"/>
      <c r="G24"/>
      <c r="H24"/>
      <c r="J24"/>
      <c r="K24"/>
    </row>
    <row r="25" spans="2:30" ht="15" customHeight="1" x14ac:dyDescent="0.25">
      <c r="B25" s="1" t="str">
        <f>'Data Entry'!A18</f>
        <v>5. DATA SOURCES &amp; NOTES</v>
      </c>
    </row>
    <row r="26" spans="2:30" ht="15" customHeight="1" x14ac:dyDescent="0.25">
      <c r="B26" s="1" t="str">
        <f>'Data Entry'!A19</f>
        <v>Item 1. Population (figures for 2012): Population data are from Puzzanchera, C., Sladky, A. and Kang, W. (2013). "Easy Access to Juvenile Populations: 1990-2012." Online.  Last modified October 30, 2013, accessed March 21, 2014.  Available: http://www.ojjdp.gov/ojstatbb/ezapop/.</v>
      </c>
      <c r="E26" s="1" t="str">
        <f>'Data Entry'!D19</f>
        <v>Item 2.Arrest: Michigan State Police (figures for 2012)</v>
      </c>
      <c r="I26" s="94"/>
    </row>
    <row r="27" spans="2:30" ht="12.75" customHeight="1" x14ac:dyDescent="0.25">
      <c r="B27" s="1" t="str">
        <f>'Data Entry'!A20</f>
        <v>Item 3.Referral: State Court Administrative Office</v>
      </c>
      <c r="E27" s="1" t="str">
        <f>'Data Entry'!D20</f>
        <v>Item 4.Diversion: State Court Administrative Office</v>
      </c>
      <c r="I27" s="94"/>
    </row>
    <row r="28" spans="2:30" ht="12.75" customHeight="1" x14ac:dyDescent="0.25">
      <c r="B28" s="1" t="str">
        <f>'Data Entry'!A21</f>
        <v>Item 5.Detention: State Court Administrative Office</v>
      </c>
      <c r="E28" s="1" t="str">
        <f>'Data Entry'!D21</f>
        <v>Item 6.Petitioned: State Court Administrative Office</v>
      </c>
      <c r="I28" s="94"/>
    </row>
    <row r="29" spans="2:30" ht="12.75" customHeight="1" x14ac:dyDescent="0.25">
      <c r="B29" s="1" t="str">
        <f>'Data Entry'!A22</f>
        <v>Item 7.Delinquent: State Court Administrative Office</v>
      </c>
      <c r="E29" s="1" t="str">
        <f>'Data Entry'!D22</f>
        <v>Item 8.Probation: State Court Administrative Office</v>
      </c>
      <c r="I29" s="94"/>
    </row>
    <row r="30" spans="2:30" ht="12.75" customHeight="1" x14ac:dyDescent="0.25">
      <c r="B30" s="1" t="str">
        <f>'Data Entry'!A23</f>
        <v>Item 9.Confinement: State Court Administrative Office</v>
      </c>
      <c r="E30" s="1" t="str">
        <f>'Data Entry'!D23</f>
        <v>Item 10.Transferred: State Court Administrative Office</v>
      </c>
      <c r="I30" s="94"/>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V90"/>
  <sheetViews>
    <sheetView showGridLines="0" showRowColHeaders="0" zoomScale="95" zoomScaleNormal="95" workbookViewId="0">
      <selection activeCell="W3" sqref="W3"/>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7" hidden="1" customWidth="1"/>
    <col min="21" max="21" width="12" style="18" hidden="1" customWidth="1"/>
    <col min="22" max="22" width="9.140625" style="1" customWidth="1"/>
  </cols>
  <sheetData>
    <row r="1" spans="2:21" ht="27.75" customHeight="1" x14ac:dyDescent="0.25">
      <c r="B1" s="15" t="s">
        <v>29</v>
      </c>
      <c r="D1" s="19" t="s">
        <v>30</v>
      </c>
      <c r="E1" s="13"/>
      <c r="F1" s="211" t="str">
        <f>'Data Entry'!D5</f>
        <v>Black or African American</v>
      </c>
      <c r="G1" s="211"/>
      <c r="H1" s="211"/>
      <c r="I1" s="211"/>
      <c r="J1" s="211"/>
      <c r="K1" s="8"/>
      <c r="N1" s="20"/>
      <c r="O1" s="20"/>
      <c r="P1" s="20"/>
      <c r="Q1" s="20"/>
      <c r="R1" s="20"/>
    </row>
    <row r="2" spans="2:21" ht="15" customHeight="1" x14ac:dyDescent="0.25">
      <c r="B2" s="15" t="str">
        <f>'Data Entry'!A2</f>
        <v>State: Michigan</v>
      </c>
      <c r="C2" s="4"/>
      <c r="D2" s="4"/>
      <c r="E2" s="4"/>
      <c r="F2" s="4"/>
      <c r="N2" s="20"/>
      <c r="O2" s="20"/>
      <c r="P2" s="20"/>
      <c r="Q2" s="20"/>
      <c r="R2" s="20"/>
    </row>
    <row r="3" spans="2:21" ht="15" customHeight="1" x14ac:dyDescent="0.25">
      <c r="B3" s="15" t="str">
        <f>'Data Entry'!A3</f>
        <v>County: Roscommon</v>
      </c>
      <c r="C3" s="21"/>
      <c r="D3" s="21"/>
      <c r="E3" s="21"/>
      <c r="F3" s="21"/>
      <c r="G3" s="7"/>
      <c r="H3" s="7"/>
      <c r="I3" s="7"/>
      <c r="J3" s="7"/>
      <c r="K3" s="7"/>
      <c r="N3" s="210" t="s">
        <v>31</v>
      </c>
      <c r="O3" s="210"/>
      <c r="P3" s="210"/>
      <c r="Q3" s="210"/>
      <c r="R3" s="210"/>
      <c r="S3" s="210"/>
      <c r="T3" s="210"/>
      <c r="U3" s="210"/>
    </row>
    <row r="4" spans="2:21" ht="8.25" customHeight="1" x14ac:dyDescent="0.25">
      <c r="B4" s="4"/>
      <c r="C4" s="22"/>
      <c r="D4" s="22"/>
      <c r="E4" s="22"/>
      <c r="F4" s="22"/>
      <c r="G4" s="8"/>
      <c r="H4" s="8"/>
      <c r="I4" s="8"/>
      <c r="N4" s="210"/>
      <c r="O4" s="210"/>
      <c r="P4" s="210"/>
      <c r="Q4" s="210"/>
      <c r="R4" s="210"/>
      <c r="S4" s="210"/>
      <c r="T4" s="210"/>
      <c r="U4" s="210"/>
    </row>
    <row r="5" spans="2:21" ht="66.75" customHeight="1" x14ac:dyDescent="0.25">
      <c r="B5" s="23" t="s">
        <v>32</v>
      </c>
      <c r="C5" s="24" t="s">
        <v>33</v>
      </c>
      <c r="D5" s="25" t="s">
        <v>34</v>
      </c>
      <c r="E5" s="24" t="s">
        <v>35</v>
      </c>
      <c r="F5" s="24" t="s">
        <v>36</v>
      </c>
      <c r="G5" s="26" t="s">
        <v>37</v>
      </c>
      <c r="H5" s="24"/>
      <c r="I5" s="24"/>
      <c r="J5" s="24" t="s">
        <v>38</v>
      </c>
      <c r="K5" s="27" t="s">
        <v>39</v>
      </c>
      <c r="L5" s="8" t="s">
        <v>40</v>
      </c>
      <c r="M5" s="8" t="s">
        <v>41</v>
      </c>
      <c r="N5" s="28" t="s">
        <v>42</v>
      </c>
      <c r="O5" s="20" t="s">
        <v>43</v>
      </c>
      <c r="P5" s="20" t="s">
        <v>44</v>
      </c>
      <c r="Q5" s="20" t="s">
        <v>45</v>
      </c>
      <c r="R5" s="20" t="s">
        <v>46</v>
      </c>
      <c r="S5" s="29" t="s">
        <v>47</v>
      </c>
      <c r="T5" s="29" t="s">
        <v>48</v>
      </c>
      <c r="U5" s="30" t="s">
        <v>49</v>
      </c>
    </row>
    <row r="6" spans="2:21" ht="20.25" customHeight="1" x14ac:dyDescent="0.25">
      <c r="B6" s="31" t="str">
        <f>'Data Entry'!A6</f>
        <v xml:space="preserve">1. Population at risk (age 10 through 16) </v>
      </c>
      <c r="C6" s="32">
        <f>'Data Entry'!C6</f>
        <v>1482</v>
      </c>
      <c r="D6" s="33"/>
      <c r="E6" s="32">
        <f>'Data Entry'!D6</f>
        <v>21</v>
      </c>
      <c r="F6" s="33"/>
      <c r="G6" s="34"/>
      <c r="H6" s="35"/>
      <c r="I6" s="36"/>
      <c r="J6" s="37"/>
      <c r="K6" s="36"/>
      <c r="L6" s="1">
        <f>IF( ('Data Entry'!D6&gt;('Data Entry'!B6/100)),1,100)</f>
        <v>1</v>
      </c>
      <c r="M6" s="1" t="s">
        <v>50</v>
      </c>
      <c r="N6" s="20"/>
      <c r="O6" s="20"/>
      <c r="P6" s="20"/>
      <c r="Q6" s="20"/>
      <c r="R6" s="20"/>
      <c r="S6" s="29"/>
      <c r="T6" s="29"/>
      <c r="U6" s="30"/>
    </row>
    <row r="7" spans="2:21" ht="18" customHeight="1" x14ac:dyDescent="0.25">
      <c r="B7" s="31" t="str">
        <f>'Data Entry'!A7</f>
        <v xml:space="preserve">2. Juvenile Arrests </v>
      </c>
      <c r="C7" s="32">
        <f>'Data Entry'!C7</f>
        <v>100</v>
      </c>
      <c r="D7" s="33">
        <f>IF((AND(C66&gt;0,C7&gt;0)),(C7/C66),0)</f>
        <v>67.476383265856953</v>
      </c>
      <c r="E7" s="32">
        <f>'Data Entry'!D7</f>
        <v>0</v>
      </c>
      <c r="F7" s="33">
        <f>IF((AND($E$7&gt;0,$D$66&gt;0)),($E$7/$D$66),0)</f>
        <v>0</v>
      </c>
      <c r="G7" s="38" t="str">
        <f>IF(L$6=100,"*",IF(M7=FALSE,"--",IF(K7=20,"**",($F7/$D7))))</f>
        <v>**</v>
      </c>
      <c r="H7" s="39"/>
      <c r="I7" s="40"/>
      <c r="J7" s="39">
        <f>IF((ABS($U7)&gt;Defaults!D$7),1,2)</f>
        <v>2</v>
      </c>
      <c r="K7" s="38">
        <f>IF((AND(N7&gt;Defaults!B$12,(N7+O7)&gt;Defaults!B$13, P7 &gt; Defaults!B$12, (P7+Q7) &gt; Defaults!B$13)),1,20)</f>
        <v>20</v>
      </c>
      <c r="L7" s="1">
        <f>(J7*K7+L$6)-1</f>
        <v>40</v>
      </c>
      <c r="M7" s="1" t="b">
        <f t="shared" ref="M7:M15" si="0">(ISNUMBER(J7))</f>
        <v>1</v>
      </c>
      <c r="N7" s="41">
        <f t="shared" ref="N7:N15" si="1">E7</f>
        <v>0</v>
      </c>
      <c r="O7" s="41">
        <f>E6-E7</f>
        <v>21</v>
      </c>
      <c r="P7" s="41">
        <f t="shared" ref="P7:P15" si="2">C7</f>
        <v>100</v>
      </c>
      <c r="Q7" s="41">
        <f>C6-C7</f>
        <v>1382</v>
      </c>
      <c r="R7" s="41">
        <f t="shared" ref="R7:R15" si="3">SUM(N7:Q7)</f>
        <v>1503</v>
      </c>
      <c r="S7" s="29">
        <f t="shared" ref="S7:S15" si="4">R7*((((N7*Q7)-(O7*P7))^2))</f>
        <v>6628230000</v>
      </c>
      <c r="T7" s="29">
        <f t="shared" ref="T7:T15" si="5">(N7+O7)*(P7+Q7)*(N7+P7)*(O7+Q7)</f>
        <v>4366416600</v>
      </c>
      <c r="U7" s="30">
        <f t="shared" ref="U7:U15" si="6">IF((S7&gt;0),S7/T7,"- -")</f>
        <v>1.5180021988740149</v>
      </c>
    </row>
    <row r="8" spans="2:21" ht="18" customHeight="1" x14ac:dyDescent="0.25">
      <c r="B8" s="31" t="str">
        <f>'Data Entry'!A8</f>
        <v>3. Refer to Juvenile Court</v>
      </c>
      <c r="C8" s="32">
        <f>'Data Entry'!C8</f>
        <v>127</v>
      </c>
      <c r="D8" s="33">
        <f>IF((AND(C67&gt;0,C8&gt;0)),(C8/C67),0)</f>
        <v>127</v>
      </c>
      <c r="E8" s="32">
        <f>'Data Entry'!D8</f>
        <v>0</v>
      </c>
      <c r="F8" s="33">
        <f>IF((AND($E$8&gt;0,$D$67&gt;0)),($E8/$D67),0)</f>
        <v>0</v>
      </c>
      <c r="G8" s="38" t="str">
        <f t="shared" ref="G8:G15" si="7">IF(L$6=100,"*",IF(M8=FALSE,"--",IF(K8=20,"**",($F8/$D8))))</f>
        <v>**</v>
      </c>
      <c r="H8" s="39"/>
      <c r="I8" s="40"/>
      <c r="J8" s="39">
        <f>IF((ABS($U8)&gt;Defaults!D$7),1,2)</f>
        <v>2</v>
      </c>
      <c r="K8" s="38">
        <f>IF((AND(N8&gt;Defaults!B$12,(N8+O8)&gt;Defaults!B$13, P8 &gt; Defaults!B$12, (P8+Q8) &gt; Defaults!B$13)),1,20)</f>
        <v>20</v>
      </c>
      <c r="L8" s="1">
        <f t="shared" ref="L8:L15" si="8">(J8*K8+L$6)-1</f>
        <v>40</v>
      </c>
      <c r="M8" s="1" t="b">
        <f t="shared" si="0"/>
        <v>1</v>
      </c>
      <c r="N8" s="41">
        <f t="shared" si="1"/>
        <v>0</v>
      </c>
      <c r="O8" s="41">
        <f>((D67*L67)-E8)+0.05</f>
        <v>0.05</v>
      </c>
      <c r="P8" s="41">
        <f t="shared" si="2"/>
        <v>127</v>
      </c>
      <c r="Q8" s="41">
        <f>(C$67*L67)-C8</f>
        <v>-27</v>
      </c>
      <c r="R8" s="41">
        <f t="shared" si="3"/>
        <v>100.05</v>
      </c>
      <c r="S8" s="29">
        <f t="shared" si="4"/>
        <v>4034.2661250000006</v>
      </c>
      <c r="T8" s="29">
        <f t="shared" si="5"/>
        <v>-17113.25</v>
      </c>
      <c r="U8" s="30">
        <f t="shared" si="6"/>
        <v>-0.23573933209647499</v>
      </c>
    </row>
    <row r="9" spans="2:21" ht="18" customHeight="1" x14ac:dyDescent="0.25">
      <c r="B9" s="31" t="str">
        <f>'Data Entry'!A9</f>
        <v xml:space="preserve">4. Cases Diverted </v>
      </c>
      <c r="C9" s="32">
        <f>'Data Entry'!C9</f>
        <v>0</v>
      </c>
      <c r="D9" s="33">
        <f>IF((AND(C68&gt;0,C9&gt;0)),((C9/C68)),0)</f>
        <v>0</v>
      </c>
      <c r="E9" s="32">
        <f>'Data Entry'!D9</f>
        <v>0</v>
      </c>
      <c r="F9" s="33">
        <f>IF((AND($E$9&gt;0,$D$68&gt;0)),(($E$9/$D$68)),0)</f>
        <v>0</v>
      </c>
      <c r="G9" s="38" t="str">
        <f t="shared" si="7"/>
        <v>--</v>
      </c>
      <c r="H9" s="39"/>
      <c r="I9" s="40"/>
      <c r="J9" s="39" t="e">
        <f>IF((ABS($U9)&gt;Defaults!D$7),1,2)</f>
        <v>#VALUE!</v>
      </c>
      <c r="K9" s="38">
        <f>IF((AND(N9&gt;Defaults!B$12,(N9+O9)&gt;Defaults!B$13, P9 &gt; Defaults!B$12, (P9+Q9) &gt; Defaults!B$13)),1,20)</f>
        <v>20</v>
      </c>
      <c r="L9" s="1" t="e">
        <f t="shared" si="8"/>
        <v>#VALUE!</v>
      </c>
      <c r="M9" s="1" t="b">
        <f t="shared" si="0"/>
        <v>0</v>
      </c>
      <c r="N9" s="41">
        <f t="shared" si="1"/>
        <v>0</v>
      </c>
      <c r="O9" s="41">
        <f>(D$68*L68)-E9</f>
        <v>0</v>
      </c>
      <c r="P9" s="41">
        <f t="shared" si="2"/>
        <v>0</v>
      </c>
      <c r="Q9" s="41">
        <f>(C$68*L68)-C9</f>
        <v>127</v>
      </c>
      <c r="R9" s="41">
        <f t="shared" si="3"/>
        <v>127</v>
      </c>
      <c r="S9" s="29">
        <f t="shared" si="4"/>
        <v>0</v>
      </c>
      <c r="T9" s="29">
        <f t="shared" si="5"/>
        <v>0</v>
      </c>
      <c r="U9" s="30" t="str">
        <f t="shared" si="6"/>
        <v>- -</v>
      </c>
    </row>
    <row r="10" spans="2:21" ht="18" customHeight="1" x14ac:dyDescent="0.25">
      <c r="B10" s="31" t="str">
        <f>'Data Entry'!A10</f>
        <v>5. Cases Involving Secure Detention</v>
      </c>
      <c r="C10" s="32">
        <f>'Data Entry'!C10</f>
        <v>9</v>
      </c>
      <c r="D10" s="33">
        <f>IF(((AND(C68&gt;0,C10&gt;0))),(C10/(C68)),0)</f>
        <v>7.0866141732283463</v>
      </c>
      <c r="E10" s="32">
        <f>'Data Entry'!D10</f>
        <v>0</v>
      </c>
      <c r="F10" s="33">
        <f>IF(((AND($E$10&gt;0,$D$68&gt;0))),($E$10/($D$68)),0)</f>
        <v>0</v>
      </c>
      <c r="G10" s="38" t="str">
        <f t="shared" si="7"/>
        <v>--</v>
      </c>
      <c r="H10" s="39"/>
      <c r="I10" s="40"/>
      <c r="J10" s="39" t="e">
        <f>IF((ABS($U10)&gt;Defaults!D$7),1,2)</f>
        <v>#VALUE!</v>
      </c>
      <c r="K10" s="38">
        <f>IF((AND(N10&gt;Defaults!B$12,(N10+O10)&gt;Defaults!B$13, P10 &gt; Defaults!B$12, (P10+Q10) &gt; Defaults!B$13)),1,20)</f>
        <v>20</v>
      </c>
      <c r="L10" s="1" t="e">
        <f t="shared" si="8"/>
        <v>#VALUE!</v>
      </c>
      <c r="M10" s="1" t="b">
        <f t="shared" si="0"/>
        <v>0</v>
      </c>
      <c r="N10" s="41">
        <f t="shared" si="1"/>
        <v>0</v>
      </c>
      <c r="O10" s="41">
        <f>(D$68*L68)-E10</f>
        <v>0</v>
      </c>
      <c r="P10" s="41">
        <f t="shared" si="2"/>
        <v>9</v>
      </c>
      <c r="Q10" s="41">
        <f>(C$68*L68)-C10</f>
        <v>118</v>
      </c>
      <c r="R10" s="41">
        <f t="shared" si="3"/>
        <v>127</v>
      </c>
      <c r="S10" s="29">
        <f t="shared" si="4"/>
        <v>0</v>
      </c>
      <c r="T10" s="29">
        <f t="shared" si="5"/>
        <v>0</v>
      </c>
      <c r="U10" s="30" t="str">
        <f t="shared" si="6"/>
        <v>- -</v>
      </c>
    </row>
    <row r="11" spans="2:21" ht="18" customHeight="1" x14ac:dyDescent="0.25">
      <c r="B11" s="31" t="str">
        <f>'Data Entry'!A11</f>
        <v>6. Cases Petitioned (Charge Filed)</v>
      </c>
      <c r="C11" s="32">
        <f>'Data Entry'!C11</f>
        <v>40</v>
      </c>
      <c r="D11" s="33">
        <f>IF(((AND(C68&gt;0,C11&gt;0))),(C11/(C68)),0)</f>
        <v>31.496062992125985</v>
      </c>
      <c r="E11" s="32">
        <f>'Data Entry'!D11</f>
        <v>0</v>
      </c>
      <c r="F11" s="33">
        <f>IF(((AND($E$11&gt;0,$D$68&gt;0))),($E$11/($D$68)),0)</f>
        <v>0</v>
      </c>
      <c r="G11" s="38" t="str">
        <f t="shared" si="7"/>
        <v>--</v>
      </c>
      <c r="H11" s="39"/>
      <c r="I11" s="40"/>
      <c r="J11" s="39" t="e">
        <f>IF((ABS($U11)&gt;Defaults!D$7),1,2)</f>
        <v>#VALUE!</v>
      </c>
      <c r="K11" s="38">
        <f>IF((AND(N11&gt;Defaults!B$12,(N11+O11)&gt;Defaults!B$13, P11 &gt; Defaults!B$12, (P11+Q11) &gt; Defaults!B$13)),1,20)</f>
        <v>20</v>
      </c>
      <c r="L11" s="1" t="e">
        <f t="shared" si="8"/>
        <v>#VALUE!</v>
      </c>
      <c r="M11" s="1" t="b">
        <f t="shared" si="0"/>
        <v>0</v>
      </c>
      <c r="N11" s="41">
        <f t="shared" si="1"/>
        <v>0</v>
      </c>
      <c r="O11" s="41">
        <f>(D$68*L68)-E11</f>
        <v>0</v>
      </c>
      <c r="P11" s="41">
        <f t="shared" si="2"/>
        <v>40</v>
      </c>
      <c r="Q11" s="41">
        <f>(C$68*L68)-C11</f>
        <v>87</v>
      </c>
      <c r="R11" s="41">
        <f t="shared" si="3"/>
        <v>127</v>
      </c>
      <c r="S11" s="29">
        <f t="shared" si="4"/>
        <v>0</v>
      </c>
      <c r="T11" s="29">
        <f t="shared" si="5"/>
        <v>0</v>
      </c>
      <c r="U11" s="30" t="str">
        <f t="shared" si="6"/>
        <v>- -</v>
      </c>
    </row>
    <row r="12" spans="2:21" ht="18" customHeight="1" x14ac:dyDescent="0.25">
      <c r="B12" s="31" t="str">
        <f>'Data Entry'!A12</f>
        <v>7. Cases Resulting in Delinquent Findings</v>
      </c>
      <c r="C12" s="32">
        <f>'Data Entry'!C12</f>
        <v>42</v>
      </c>
      <c r="D12" s="33">
        <f>IF(((AND(C69&gt;0,C12&gt;0))),(C12/(C69)),0)</f>
        <v>105</v>
      </c>
      <c r="E12" s="32">
        <f>'Data Entry'!D12</f>
        <v>0</v>
      </c>
      <c r="F12" s="33">
        <f>IF(((AND($D$69&gt;0,$E$12&gt;0))),(E12/(D69)),0)</f>
        <v>0</v>
      </c>
      <c r="G12" s="38" t="str">
        <f t="shared" si="7"/>
        <v>--</v>
      </c>
      <c r="H12" s="39"/>
      <c r="I12" s="40"/>
      <c r="J12" s="39" t="e">
        <f>IF((ABS($U12)&gt;Defaults!D$7),1,2)</f>
        <v>#VALUE!</v>
      </c>
      <c r="K12" s="38">
        <f>IF((AND(N12&gt;Defaults!B$12,(N12+O12)&gt;Defaults!B$13, P12 &gt; Defaults!B$12, (P12+Q12) &gt; Defaults!B$13)),1,20)</f>
        <v>20</v>
      </c>
      <c r="L12" s="1" t="e">
        <f t="shared" si="8"/>
        <v>#VALUE!</v>
      </c>
      <c r="M12" s="1" t="b">
        <f t="shared" si="0"/>
        <v>0</v>
      </c>
      <c r="N12" s="41">
        <f t="shared" si="1"/>
        <v>0</v>
      </c>
      <c r="O12" s="41">
        <f>(D69*L69)-E12</f>
        <v>0</v>
      </c>
      <c r="P12" s="41">
        <f t="shared" si="2"/>
        <v>42</v>
      </c>
      <c r="Q12" s="41">
        <f>(C69*L69)-C12</f>
        <v>-2</v>
      </c>
      <c r="R12" s="41">
        <f t="shared" si="3"/>
        <v>40</v>
      </c>
      <c r="S12" s="29">
        <f t="shared" si="4"/>
        <v>0</v>
      </c>
      <c r="T12" s="29">
        <f t="shared" si="5"/>
        <v>0</v>
      </c>
      <c r="U12" s="30" t="str">
        <f t="shared" si="6"/>
        <v>- -</v>
      </c>
    </row>
    <row r="13" spans="2:21" ht="18" customHeight="1" x14ac:dyDescent="0.25">
      <c r="B13" s="31" t="str">
        <f>'Data Entry'!A13</f>
        <v>8. Cases Resulting in Probation Placement</v>
      </c>
      <c r="C13" s="32">
        <f>'Data Entry'!C13</f>
        <v>91</v>
      </c>
      <c r="D13" s="33">
        <f>IF(((AND(C70&gt;0,C13&gt;0))),(C13/(C70)),0)</f>
        <v>216.66666666666669</v>
      </c>
      <c r="E13" s="32">
        <f>'Data Entry'!D13</f>
        <v>0</v>
      </c>
      <c r="F13" s="33">
        <f>IF(((AND($D$70&gt;0,$E$13&gt;0))),($E$13/($D$70)),0)</f>
        <v>0</v>
      </c>
      <c r="G13" s="38" t="str">
        <f t="shared" si="7"/>
        <v>--</v>
      </c>
      <c r="H13" s="39"/>
      <c r="I13" s="40"/>
      <c r="J13" s="39" t="e">
        <f>IF((ABS($U13)&gt;Defaults!D$7),1,2)</f>
        <v>#VALUE!</v>
      </c>
      <c r="K13" s="38">
        <f>IF((AND(N13&gt;Defaults!B$12,(N13+O13)&gt;Defaults!B$13, P13 &gt; Defaults!B$12, (P13+Q13) &gt; Defaults!B$13)),1,20)</f>
        <v>20</v>
      </c>
      <c r="L13" s="1" t="e">
        <f t="shared" si="8"/>
        <v>#VALUE!</v>
      </c>
      <c r="M13" s="1" t="b">
        <f t="shared" si="0"/>
        <v>0</v>
      </c>
      <c r="N13" s="41">
        <f t="shared" si="1"/>
        <v>0</v>
      </c>
      <c r="O13" s="41">
        <f>(D70*L70)-E13</f>
        <v>0</v>
      </c>
      <c r="P13" s="41">
        <f t="shared" si="2"/>
        <v>91</v>
      </c>
      <c r="Q13" s="41">
        <f>(C70*L70)-C13</f>
        <v>-49</v>
      </c>
      <c r="R13" s="41">
        <f t="shared" si="3"/>
        <v>42</v>
      </c>
      <c r="S13" s="29">
        <f t="shared" si="4"/>
        <v>0</v>
      </c>
      <c r="T13" s="29">
        <f t="shared" si="5"/>
        <v>0</v>
      </c>
      <c r="U13" s="30" t="str">
        <f t="shared" si="6"/>
        <v>- -</v>
      </c>
    </row>
    <row r="14" spans="2:21" ht="30.75" customHeight="1" x14ac:dyDescent="0.25">
      <c r="B14" s="31" t="str">
        <f>'Data Entry'!A14</f>
        <v xml:space="preserve">9. Cases Resulting in Confinement in Secure Juvenile Correctional Facilities </v>
      </c>
      <c r="C14" s="32">
        <f>'Data Entry'!C14</f>
        <v>36</v>
      </c>
      <c r="D14" s="33">
        <f>IF(((AND(C70&gt;0,C14&gt;0))), ((C14/(C70))),0)</f>
        <v>85.714285714285722</v>
      </c>
      <c r="E14" s="32">
        <f>'Data Entry'!D14</f>
        <v>0</v>
      </c>
      <c r="F14" s="33">
        <f>IF(((AND($D$70&gt;0,$E$14&gt;0))), (($E$14/($D$70))),0)</f>
        <v>0</v>
      </c>
      <c r="G14" s="38" t="str">
        <f t="shared" si="7"/>
        <v>--</v>
      </c>
      <c r="H14" s="39"/>
      <c r="I14" s="40"/>
      <c r="J14" s="39" t="e">
        <f>IF((ABS($U14)&gt;Defaults!D$7),1,2)</f>
        <v>#VALUE!</v>
      </c>
      <c r="K14" s="38">
        <f>IF((AND(N14&gt;Defaults!B$12,(N14+O14)&gt;Defaults!B$13, P14 &gt; Defaults!B$12, (P14+Q14) &gt; Defaults!B$13)),1,20)</f>
        <v>20</v>
      </c>
      <c r="L14" s="1" t="e">
        <f t="shared" si="8"/>
        <v>#VALUE!</v>
      </c>
      <c r="M14" s="1" t="b">
        <f t="shared" si="0"/>
        <v>0</v>
      </c>
      <c r="N14" s="41">
        <f t="shared" si="1"/>
        <v>0</v>
      </c>
      <c r="O14" s="41">
        <f>(D70*L70)-E14</f>
        <v>0</v>
      </c>
      <c r="P14" s="41">
        <f t="shared" si="2"/>
        <v>36</v>
      </c>
      <c r="Q14" s="41">
        <f>(C70*L70)-C14</f>
        <v>6</v>
      </c>
      <c r="R14" s="41">
        <f t="shared" si="3"/>
        <v>42</v>
      </c>
      <c r="S14" s="29">
        <f t="shared" si="4"/>
        <v>0</v>
      </c>
      <c r="T14" s="29">
        <f t="shared" si="5"/>
        <v>0</v>
      </c>
      <c r="U14" s="30" t="str">
        <f t="shared" si="6"/>
        <v>- -</v>
      </c>
    </row>
    <row r="15" spans="2:21" ht="15.75" customHeight="1" x14ac:dyDescent="0.25">
      <c r="B15" s="31" t="str">
        <f>'Data Entry'!A15</f>
        <v xml:space="preserve">10. Cases Transferred to Adult Court </v>
      </c>
      <c r="C15" s="32">
        <f>'Data Entry'!C15</f>
        <v>0</v>
      </c>
      <c r="D15" s="33">
        <f>IF(((AND(C69&gt;0,C15&gt;0))),((C15/(C69))),0)</f>
        <v>0</v>
      </c>
      <c r="E15" s="32">
        <f>'Data Entry'!D15</f>
        <v>0</v>
      </c>
      <c r="F15" s="33">
        <f>IF(((AND($D$69&gt;0,$E$15&gt;0))),(($E$15/($D$69))),0)</f>
        <v>0</v>
      </c>
      <c r="G15" s="38" t="str">
        <f t="shared" si="7"/>
        <v>--</v>
      </c>
      <c r="H15" s="39"/>
      <c r="I15" s="40"/>
      <c r="J15" s="39" t="e">
        <f>IF((ABS($U15)&gt;Defaults!D$7),1,2)</f>
        <v>#VALUE!</v>
      </c>
      <c r="K15" s="38">
        <f>IF((AND(N15&gt;Defaults!B$12,(N15+O15)&gt;Defaults!B$13, P15 &gt; Defaults!B$12, (P15+Q15) &gt; Defaults!B$13)),1,20)</f>
        <v>20</v>
      </c>
      <c r="L15" s="1" t="e">
        <f t="shared" si="8"/>
        <v>#VALUE!</v>
      </c>
      <c r="M15" s="1" t="b">
        <f t="shared" si="0"/>
        <v>0</v>
      </c>
      <c r="N15" s="41">
        <f t="shared" si="1"/>
        <v>0</v>
      </c>
      <c r="O15" s="41">
        <f>(D69*L69)-E15</f>
        <v>0</v>
      </c>
      <c r="P15" s="41">
        <f t="shared" si="2"/>
        <v>0</v>
      </c>
      <c r="Q15" s="41">
        <f>(C69*L69)-C15</f>
        <v>40</v>
      </c>
      <c r="R15" s="41">
        <f t="shared" si="3"/>
        <v>40</v>
      </c>
      <c r="S15" s="29">
        <f t="shared" si="4"/>
        <v>0</v>
      </c>
      <c r="T15" s="29">
        <f t="shared" si="5"/>
        <v>0</v>
      </c>
      <c r="U15" s="30" t="str">
        <f t="shared" si="6"/>
        <v>- -</v>
      </c>
    </row>
    <row r="16" spans="2:21" ht="12" customHeight="1" x14ac:dyDescent="0.25">
      <c r="B16" s="42" t="s">
        <v>51</v>
      </c>
      <c r="C16" s="43"/>
      <c r="D16" s="43"/>
      <c r="E16" s="43"/>
      <c r="F16" s="43"/>
      <c r="G16" s="43"/>
      <c r="H16" s="43"/>
      <c r="I16" s="43"/>
      <c r="N16" s="20"/>
      <c r="O16" s="20"/>
      <c r="P16" s="20"/>
      <c r="Q16" s="20"/>
      <c r="R16" s="20"/>
      <c r="S16" s="29"/>
      <c r="T16" s="29"/>
      <c r="U16" s="30"/>
    </row>
    <row r="17" spans="2:21" ht="12" customHeight="1" x14ac:dyDescent="0.25">
      <c r="B17" s="42"/>
      <c r="C17" s="43"/>
      <c r="D17" s="43"/>
      <c r="E17" s="43"/>
      <c r="F17" s="43"/>
      <c r="G17" s="43"/>
      <c r="H17" s="43"/>
      <c r="I17" s="43"/>
      <c r="N17" s="20"/>
      <c r="O17" s="20"/>
      <c r="P17" s="20"/>
      <c r="Q17" s="20"/>
      <c r="R17" s="20"/>
      <c r="S17" s="29"/>
      <c r="T17" s="29"/>
      <c r="U17" s="30"/>
    </row>
    <row r="18" spans="2:21" ht="15" customHeight="1" x14ac:dyDescent="0.25">
      <c r="B18" s="1" t="s">
        <v>52</v>
      </c>
    </row>
    <row r="19" spans="2:21" ht="15" customHeight="1" x14ac:dyDescent="0.25">
      <c r="B19" s="1" t="s">
        <v>53</v>
      </c>
      <c r="D19" s="44" t="s">
        <v>54</v>
      </c>
    </row>
    <row r="20" spans="2:21" ht="15" customHeight="1" x14ac:dyDescent="0.25">
      <c r="B20" s="1" t="s">
        <v>55</v>
      </c>
      <c r="D20" s="1" t="s">
        <v>56</v>
      </c>
    </row>
    <row r="21" spans="2:21" ht="15" customHeight="1" x14ac:dyDescent="0.25">
      <c r="B21" s="1" t="s">
        <v>57</v>
      </c>
      <c r="D21" s="1" t="s">
        <v>58</v>
      </c>
    </row>
    <row r="22" spans="2:21" ht="15" customHeight="1" x14ac:dyDescent="0.25">
      <c r="B22" s="1" t="s">
        <v>59</v>
      </c>
      <c r="D22" s="1" t="s">
        <v>60</v>
      </c>
    </row>
    <row r="23" spans="2:21" ht="15" customHeight="1" x14ac:dyDescent="0.25">
      <c r="B23" s="1" t="s">
        <v>61</v>
      </c>
      <c r="D23" s="1" t="s">
        <v>62</v>
      </c>
    </row>
    <row r="24" spans="2:21" ht="12" customHeight="1" x14ac:dyDescent="0.25">
      <c r="B24" s="42"/>
      <c r="C24" s="43"/>
      <c r="D24" s="43"/>
      <c r="E24" s="43"/>
      <c r="F24" s="43"/>
      <c r="G24" s="43"/>
      <c r="H24" s="43"/>
      <c r="I24" s="43"/>
      <c r="N24" s="20"/>
      <c r="O24" s="20"/>
      <c r="P24" s="20"/>
      <c r="Q24" s="20"/>
      <c r="R24" s="20"/>
      <c r="S24" s="29"/>
      <c r="T24" s="29"/>
      <c r="U24" s="30"/>
    </row>
    <row r="25" spans="2:21" ht="15" customHeight="1" x14ac:dyDescent="0.25">
      <c r="B25" s="45" t="s">
        <v>63</v>
      </c>
      <c r="K25" s="1" t="s">
        <v>64</v>
      </c>
      <c r="L25" s="1" t="s">
        <v>65</v>
      </c>
      <c r="N25" s="20"/>
      <c r="O25" s="20" t="b">
        <f>ISBLANK(N12)</f>
        <v>0</v>
      </c>
      <c r="P25" s="20"/>
      <c r="Q25" s="20"/>
      <c r="R25" s="20"/>
    </row>
    <row r="26" spans="2:21" ht="15" customHeight="1" x14ac:dyDescent="0.25">
      <c r="B26" s="46" t="s">
        <v>66</v>
      </c>
      <c r="F26" s="46" t="s">
        <v>67</v>
      </c>
      <c r="G26" s="46"/>
      <c r="H26" s="46"/>
      <c r="I26" s="46"/>
      <c r="J26" s="46"/>
      <c r="K26" s="47" t="s">
        <v>62</v>
      </c>
      <c r="L26" s="47" t="s">
        <v>68</v>
      </c>
      <c r="M26" s="47"/>
      <c r="R26" s="48"/>
    </row>
    <row r="27" spans="2:21" ht="15" customHeight="1" x14ac:dyDescent="0.25">
      <c r="B27" s="49" t="s">
        <v>69</v>
      </c>
      <c r="C27" s="49"/>
      <c r="D27" s="49"/>
      <c r="E27" s="49"/>
      <c r="F27" s="49" t="str">
        <f>B66</f>
        <v>per 1000 youth</v>
      </c>
      <c r="G27" s="49"/>
      <c r="H27" s="49"/>
      <c r="I27" s="49"/>
      <c r="J27" s="49">
        <f>F66</f>
        <v>0</v>
      </c>
      <c r="K27" s="49" t="s">
        <v>60</v>
      </c>
      <c r="L27" s="50" t="s">
        <v>70</v>
      </c>
      <c r="R27" s="48"/>
    </row>
    <row r="28" spans="2:21" ht="15" customHeight="1" x14ac:dyDescent="0.25">
      <c r="B28" s="49" t="s">
        <v>71</v>
      </c>
      <c r="C28" s="49"/>
      <c r="D28" s="49"/>
      <c r="E28" s="49"/>
      <c r="F28" s="51" t="str">
        <f>B67</f>
        <v>per 100 arrests</v>
      </c>
      <c r="G28" s="51"/>
      <c r="H28" s="51"/>
      <c r="I28" s="51"/>
      <c r="J28" s="51"/>
      <c r="K28" s="51" t="s">
        <v>58</v>
      </c>
      <c r="L28" s="52" t="s">
        <v>72</v>
      </c>
      <c r="R28" s="48"/>
    </row>
    <row r="29" spans="2:21" ht="15" customHeight="1" x14ac:dyDescent="0.25">
      <c r="B29" s="51" t="s">
        <v>73</v>
      </c>
      <c r="C29" s="51"/>
      <c r="D29" s="51"/>
      <c r="E29" s="51"/>
      <c r="F29" s="51" t="str">
        <f>B68</f>
        <v>per 100 referrals</v>
      </c>
      <c r="G29" s="51"/>
      <c r="H29" s="51"/>
      <c r="I29" s="51"/>
      <c r="J29" s="51"/>
      <c r="K29" s="51"/>
      <c r="L29" s="52"/>
      <c r="R29" s="48"/>
    </row>
    <row r="30" spans="2:21" ht="15" customHeight="1" x14ac:dyDescent="0.25">
      <c r="B30" s="51" t="s">
        <v>74</v>
      </c>
      <c r="C30" s="51"/>
      <c r="D30" s="51"/>
      <c r="E30" s="51"/>
      <c r="F30" s="51" t="str">
        <f>B68</f>
        <v>per 100 referrals</v>
      </c>
      <c r="G30" s="51"/>
      <c r="H30" s="51"/>
      <c r="I30" s="51"/>
      <c r="J30" s="51"/>
      <c r="K30" s="51"/>
      <c r="L30" s="52"/>
      <c r="N30" s="1" t="b">
        <f>ISNUMBER(J14)</f>
        <v>0</v>
      </c>
      <c r="R30" s="48"/>
    </row>
    <row r="31" spans="2:21" ht="15" customHeight="1" x14ac:dyDescent="0.25">
      <c r="B31" s="51" t="s">
        <v>75</v>
      </c>
      <c r="C31" s="51"/>
      <c r="D31" s="51"/>
      <c r="E31" s="51"/>
      <c r="F31" s="51" t="str">
        <f>B68</f>
        <v>per 100 referrals</v>
      </c>
      <c r="G31" s="51"/>
      <c r="H31" s="51"/>
      <c r="I31" s="51"/>
      <c r="J31" s="51"/>
      <c r="K31" s="51"/>
      <c r="L31" s="52"/>
      <c r="R31" s="48"/>
    </row>
    <row r="32" spans="2:21" ht="15" customHeight="1" x14ac:dyDescent="0.25">
      <c r="B32" s="51" t="s">
        <v>76</v>
      </c>
      <c r="C32" s="51"/>
      <c r="D32" s="51"/>
      <c r="E32" s="51"/>
      <c r="F32" s="51" t="str">
        <f>B69</f>
        <v>per 100 youth petitioned</v>
      </c>
      <c r="G32" s="51"/>
      <c r="H32" s="51"/>
      <c r="I32" s="51"/>
      <c r="J32" s="51"/>
      <c r="K32" s="51"/>
      <c r="L32" s="52"/>
      <c r="R32" s="48"/>
    </row>
    <row r="33" spans="2:18" ht="15" customHeight="1" x14ac:dyDescent="0.25">
      <c r="B33" s="51" t="s">
        <v>77</v>
      </c>
      <c r="C33" s="51"/>
      <c r="D33" s="51"/>
      <c r="E33" s="51"/>
      <c r="F33" s="51" t="str">
        <f>B70</f>
        <v>per 100 youth found delinquent</v>
      </c>
      <c r="G33" s="51"/>
      <c r="H33" s="51"/>
      <c r="I33" s="51"/>
      <c r="J33" s="51"/>
      <c r="K33" s="51"/>
      <c r="L33" s="52"/>
      <c r="R33" s="48"/>
    </row>
    <row r="34" spans="2:18" ht="15" customHeight="1" x14ac:dyDescent="0.25">
      <c r="B34" s="51" t="s">
        <v>78</v>
      </c>
      <c r="C34" s="51"/>
      <c r="D34" s="51"/>
      <c r="E34" s="51"/>
      <c r="F34" s="51" t="str">
        <f>B70</f>
        <v>per 100 youth found delinquent</v>
      </c>
      <c r="G34" s="51"/>
      <c r="H34" s="51"/>
      <c r="I34" s="51"/>
      <c r="J34" s="51"/>
      <c r="K34" s="51"/>
      <c r="L34" s="52"/>
      <c r="R34" s="48"/>
    </row>
    <row r="35" spans="2:18" ht="15" customHeight="1" x14ac:dyDescent="0.25">
      <c r="B35" s="51" t="s">
        <v>79</v>
      </c>
      <c r="C35" s="51"/>
      <c r="D35" s="51"/>
      <c r="E35" s="51"/>
      <c r="F35" s="51" t="str">
        <f>B69</f>
        <v>per 100 youth petitioned</v>
      </c>
      <c r="G35" s="51"/>
      <c r="H35" s="51"/>
      <c r="I35" s="51"/>
      <c r="J35" s="51"/>
      <c r="K35" s="51"/>
      <c r="L35" s="52"/>
      <c r="R35" s="48"/>
    </row>
    <row r="36" spans="2:18" ht="15" customHeight="1" x14ac:dyDescent="0.25">
      <c r="R36" s="48"/>
    </row>
    <row r="37" spans="2:18" ht="15" hidden="1" customHeight="1" x14ac:dyDescent="0.25">
      <c r="R37" s="48"/>
    </row>
    <row r="38" spans="2:18" ht="15" hidden="1" customHeight="1" x14ac:dyDescent="0.25">
      <c r="R38" s="48"/>
    </row>
    <row r="39" spans="2:18" ht="15" hidden="1" customHeight="1" x14ac:dyDescent="0.25">
      <c r="R39" s="48"/>
    </row>
    <row r="40" spans="2:18" ht="30.75" hidden="1" customHeight="1" x14ac:dyDescent="0.25">
      <c r="B40" s="209" t="s">
        <v>80</v>
      </c>
      <c r="C40" s="209"/>
      <c r="D40" s="209"/>
      <c r="E40" s="209"/>
      <c r="F40" s="209"/>
      <c r="G40" s="209"/>
      <c r="H40" s="209"/>
      <c r="I40" s="209"/>
      <c r="J40" s="209"/>
      <c r="K40" s="8"/>
      <c r="R40" s="48"/>
    </row>
    <row r="41" spans="2:18" ht="15" hidden="1" customHeight="1" x14ac:dyDescent="0.25">
      <c r="B41" s="53" t="s">
        <v>81</v>
      </c>
      <c r="C41" s="53" t="s">
        <v>82</v>
      </c>
      <c r="D41" s="54" t="s">
        <v>83</v>
      </c>
      <c r="E41" s="53" t="s">
        <v>84</v>
      </c>
      <c r="G41" s="53" t="s">
        <v>85</v>
      </c>
      <c r="H41" s="53"/>
      <c r="I41" s="53"/>
      <c r="L41" s="1" t="s">
        <v>86</v>
      </c>
      <c r="R41" s="48"/>
    </row>
    <row r="42" spans="2:18" ht="15" hidden="1" customHeight="1" x14ac:dyDescent="0.25">
      <c r="B42" s="48" t="s">
        <v>87</v>
      </c>
      <c r="C42" s="55">
        <f>C6/1000</f>
        <v>1.482</v>
      </c>
      <c r="D42" s="55">
        <f>E6/1000</f>
        <v>2.1000000000000001E-2</v>
      </c>
      <c r="E42" s="55">
        <f>MAX(C42:D42)</f>
        <v>1.482</v>
      </c>
      <c r="G42" s="1" t="str">
        <f>B42</f>
        <v>per 1000 youth</v>
      </c>
      <c r="L42" s="56">
        <v>1000</v>
      </c>
      <c r="M42" s="56"/>
      <c r="R42" s="48"/>
    </row>
    <row r="43" spans="2:18" ht="15" hidden="1" customHeight="1" x14ac:dyDescent="0.25">
      <c r="B43" s="48" t="s">
        <v>88</v>
      </c>
      <c r="C43" s="55">
        <f>C7/100</f>
        <v>1</v>
      </c>
      <c r="D43" s="55">
        <f>E7/100</f>
        <v>0</v>
      </c>
      <c r="E43" s="55">
        <f>MAX(C43:D43,0)</f>
        <v>1</v>
      </c>
      <c r="G43" s="1" t="str">
        <f>B43</f>
        <v>per 100 arrests</v>
      </c>
      <c r="L43" s="56">
        <v>100</v>
      </c>
      <c r="M43" s="56"/>
      <c r="R43" s="48"/>
    </row>
    <row r="44" spans="2:18" ht="15" hidden="1" customHeight="1" x14ac:dyDescent="0.25">
      <c r="B44" s="48" t="s">
        <v>89</v>
      </c>
      <c r="C44" s="55">
        <f>C8/100</f>
        <v>1.27</v>
      </c>
      <c r="D44" s="55">
        <f>E8/100</f>
        <v>0</v>
      </c>
      <c r="E44" s="55">
        <f>MAX(C44:D44,0)</f>
        <v>1.27</v>
      </c>
      <c r="G44" s="1" t="str">
        <f>B44</f>
        <v>per 100 referrals</v>
      </c>
      <c r="L44" s="56">
        <v>100</v>
      </c>
      <c r="M44" s="56"/>
      <c r="R44" s="48"/>
    </row>
    <row r="45" spans="2:18" ht="15" hidden="1" customHeight="1" x14ac:dyDescent="0.25">
      <c r="B45" s="48" t="s">
        <v>90</v>
      </c>
      <c r="C45" s="48">
        <f>C11/100</f>
        <v>0.4</v>
      </c>
      <c r="D45" s="48">
        <f>E11/100</f>
        <v>0</v>
      </c>
      <c r="E45" s="55">
        <f>MAX(C45:D45,0)</f>
        <v>0.4</v>
      </c>
      <c r="G45" s="1" t="str">
        <f>B45</f>
        <v>per 100 youth petitioned</v>
      </c>
      <c r="L45" s="56">
        <v>100</v>
      </c>
      <c r="M45" s="56"/>
      <c r="R45" s="48"/>
    </row>
    <row r="46" spans="2:18" ht="15" hidden="1" customHeight="1" x14ac:dyDescent="0.25">
      <c r="B46" s="48" t="s">
        <v>91</v>
      </c>
      <c r="C46" s="48">
        <f>C12/100</f>
        <v>0.42</v>
      </c>
      <c r="D46" s="48">
        <f>E12/100</f>
        <v>0</v>
      </c>
      <c r="E46" s="55">
        <f>MAX(C46:D46)</f>
        <v>0.42</v>
      </c>
      <c r="G46" s="1" t="str">
        <f>B46</f>
        <v>per 100 youth found delinquent</v>
      </c>
      <c r="L46" s="56">
        <v>100</v>
      </c>
      <c r="M46" s="56"/>
      <c r="R46" s="48"/>
    </row>
    <row r="47" spans="2:18" ht="15" hidden="1" customHeight="1" x14ac:dyDescent="0.25">
      <c r="B47" s="8"/>
      <c r="C47" s="8"/>
      <c r="D47" s="8"/>
      <c r="E47" s="8"/>
      <c r="L47" s="56"/>
      <c r="M47" s="56"/>
      <c r="R47" s="48"/>
    </row>
    <row r="48" spans="2:18" ht="15" hidden="1" customHeight="1" x14ac:dyDescent="0.25">
      <c r="B48" s="48" t="str">
        <f>B42</f>
        <v>per 1000 youth</v>
      </c>
      <c r="C48" s="55">
        <f>C42</f>
        <v>1.482</v>
      </c>
      <c r="D48" s="55">
        <f>D42</f>
        <v>2.1000000000000001E-2</v>
      </c>
      <c r="E48" s="55">
        <f>MAX(C48:D48)</f>
        <v>1.482</v>
      </c>
      <c r="G48" s="1" t="str">
        <f>G42</f>
        <v>per 1000 youth</v>
      </c>
      <c r="L48" s="57">
        <f>L42</f>
        <v>1000</v>
      </c>
      <c r="M48" s="57"/>
      <c r="N48" s="20"/>
      <c r="O48" s="20"/>
      <c r="P48" s="20"/>
      <c r="Q48" s="20"/>
      <c r="R48" s="20"/>
    </row>
    <row r="49" spans="2:18" ht="15" hidden="1" customHeight="1" x14ac:dyDescent="0.25">
      <c r="B49" s="48" t="str">
        <f t="shared" ref="B49:D50" si="9">IF(($E43&gt;0),B43,B42)</f>
        <v>per 100 arrests</v>
      </c>
      <c r="C49" s="48">
        <f>IF(($E43&gt;0),C43,C42)</f>
        <v>1</v>
      </c>
      <c r="D49" s="48">
        <f t="shared" si="9"/>
        <v>0</v>
      </c>
      <c r="E49" s="48">
        <f>MAX(C49:D49)</f>
        <v>1</v>
      </c>
      <c r="G49" s="1" t="str">
        <f>G43</f>
        <v>per 100 arrests</v>
      </c>
      <c r="L49" s="57">
        <f>IF(($E43&gt;0),L43,L42)</f>
        <v>100</v>
      </c>
      <c r="M49" s="57"/>
      <c r="N49" s="20"/>
      <c r="O49" s="20"/>
      <c r="P49" s="20"/>
      <c r="Q49" s="20"/>
      <c r="R49" s="20"/>
    </row>
    <row r="50" spans="2:18" ht="15" hidden="1" customHeight="1" x14ac:dyDescent="0.25">
      <c r="B50" s="48" t="str">
        <f t="shared" si="9"/>
        <v>per 100 referrals</v>
      </c>
      <c r="C50" s="48">
        <f t="shared" si="9"/>
        <v>1.27</v>
      </c>
      <c r="D50" s="48">
        <f t="shared" si="9"/>
        <v>0</v>
      </c>
      <c r="E50" s="48">
        <f>MAX(C50:D50)</f>
        <v>1.27</v>
      </c>
      <c r="G50" s="1" t="str">
        <f>G44</f>
        <v>per 100 referrals</v>
      </c>
      <c r="L50" s="57">
        <f>IF(($E44&gt;0),L44,L43)</f>
        <v>100</v>
      </c>
      <c r="M50" s="57"/>
      <c r="N50" s="20"/>
      <c r="O50" s="20"/>
      <c r="P50" s="20"/>
      <c r="Q50" s="20"/>
      <c r="R50" s="20"/>
    </row>
    <row r="51" spans="2:18" ht="15" hidden="1" customHeight="1" x14ac:dyDescent="0.25">
      <c r="B51" s="48" t="str">
        <f>IF(($E45&gt;0),B45,B43)</f>
        <v>per 100 youth petitioned</v>
      </c>
      <c r="C51" s="48">
        <f>IF(($E45&gt;0),C45,C44)</f>
        <v>0.4</v>
      </c>
      <c r="D51" s="48">
        <f>IF(($E45&gt;0),D45,D44)</f>
        <v>0</v>
      </c>
      <c r="E51" s="48">
        <f>MAX(C51:D51)</f>
        <v>0.4</v>
      </c>
      <c r="G51" s="1" t="str">
        <f>G45</f>
        <v>per 100 youth petitioned</v>
      </c>
      <c r="L51" s="57">
        <f>IF(($E45&gt;0),L45,L44)</f>
        <v>100</v>
      </c>
      <c r="M51" s="57"/>
    </row>
    <row r="52" spans="2:18" ht="15" hidden="1" customHeight="1" x14ac:dyDescent="0.25">
      <c r="B52" s="48" t="str">
        <f>IF(($E46&gt;0),B46,B45)</f>
        <v>per 100 youth found delinquent</v>
      </c>
      <c r="C52" s="48">
        <f>IF(($E46&gt;0),C46,C45)</f>
        <v>0.42</v>
      </c>
      <c r="D52" s="48">
        <f>IF(($E46&gt;0),D46,D45)</f>
        <v>0</v>
      </c>
      <c r="E52" s="55">
        <f>MAX(C52:D52)</f>
        <v>0.42</v>
      </c>
      <c r="G52" s="1" t="str">
        <f>G46</f>
        <v>per 100 youth found delinquent</v>
      </c>
      <c r="L52" s="57">
        <f>IF(($E46&gt;0),L46,L45)</f>
        <v>100</v>
      </c>
      <c r="M52" s="57"/>
    </row>
    <row r="53" spans="2:18" ht="15" hidden="1" customHeight="1" x14ac:dyDescent="0.25">
      <c r="B53" s="48"/>
      <c r="C53" s="48"/>
      <c r="D53" s="48"/>
      <c r="E53" s="48"/>
      <c r="L53" s="56"/>
      <c r="M53" s="56"/>
    </row>
    <row r="54" spans="2:18" ht="15" hidden="1" customHeight="1" x14ac:dyDescent="0.25">
      <c r="B54" s="48" t="str">
        <f>B48</f>
        <v>per 1000 youth</v>
      </c>
      <c r="C54" s="55">
        <f>C48</f>
        <v>1.482</v>
      </c>
      <c r="D54" s="55">
        <f>D48</f>
        <v>2.1000000000000001E-2</v>
      </c>
      <c r="E54" s="55">
        <f>MAX(C54:D54)</f>
        <v>1.482</v>
      </c>
      <c r="G54" s="1" t="str">
        <f>G48</f>
        <v>per 1000 youth</v>
      </c>
      <c r="L54" s="57">
        <f>L48</f>
        <v>1000</v>
      </c>
      <c r="M54" s="57"/>
    </row>
    <row r="55" spans="2:18" ht="15" hidden="1" customHeight="1" x14ac:dyDescent="0.25">
      <c r="B55" s="48" t="str">
        <f t="shared" ref="B55:D56" si="10">IF(($E49&gt;0),B49,B48)</f>
        <v>per 100 arrests</v>
      </c>
      <c r="C55" s="48">
        <f t="shared" si="10"/>
        <v>1</v>
      </c>
      <c r="D55" s="48">
        <f t="shared" si="10"/>
        <v>0</v>
      </c>
      <c r="E55" s="48">
        <f>MAX(C55:D55)</f>
        <v>1</v>
      </c>
      <c r="G55" s="1" t="str">
        <f>G49</f>
        <v>per 100 arrests</v>
      </c>
      <c r="L55" s="57">
        <f>IF(($E49&gt;0),L49,L48)</f>
        <v>100</v>
      </c>
      <c r="M55" s="57"/>
    </row>
    <row r="56" spans="2:18" ht="15" hidden="1" customHeight="1" x14ac:dyDescent="0.25">
      <c r="B56" s="48" t="str">
        <f t="shared" si="10"/>
        <v>per 100 referrals</v>
      </c>
      <c r="C56" s="48">
        <f t="shared" si="10"/>
        <v>1.27</v>
      </c>
      <c r="D56" s="48">
        <f t="shared" si="10"/>
        <v>0</v>
      </c>
      <c r="E56" s="48">
        <f>MAX(C56:D56)</f>
        <v>1.27</v>
      </c>
      <c r="G56" s="1" t="str">
        <f>G50</f>
        <v>per 100 referrals</v>
      </c>
      <c r="L56" s="57">
        <f>IF(($E50&gt;0),L50,L49)</f>
        <v>100</v>
      </c>
      <c r="M56" s="57"/>
    </row>
    <row r="57" spans="2:18" ht="15" hidden="1" customHeight="1" x14ac:dyDescent="0.25">
      <c r="B57" s="48" t="str">
        <f>IF(($E51&gt;0),B51,B49)</f>
        <v>per 100 youth petitioned</v>
      </c>
      <c r="C57" s="48">
        <f>IF(($E51&gt;0),C51,C50)</f>
        <v>0.4</v>
      </c>
      <c r="D57" s="48">
        <f>IF(($E51&gt;0),D51,D50)</f>
        <v>0</v>
      </c>
      <c r="E57" s="48">
        <f>MAX(C57:D57)</f>
        <v>0.4</v>
      </c>
      <c r="G57" s="1" t="str">
        <f>G51</f>
        <v>per 100 youth petitioned</v>
      </c>
      <c r="L57" s="57">
        <f>IF(($E51&gt;0),L51,L50)</f>
        <v>100</v>
      </c>
      <c r="M57" s="57"/>
    </row>
    <row r="58" spans="2:18" ht="15" hidden="1" customHeight="1" x14ac:dyDescent="0.25">
      <c r="B58" s="48" t="str">
        <f>IF(($E52&gt;0),B52,B51)</f>
        <v>per 100 youth found delinquent</v>
      </c>
      <c r="C58" s="48">
        <f>IF(($E52&gt;0),C52,C51)</f>
        <v>0.42</v>
      </c>
      <c r="D58" s="48">
        <f>IF(($E52&gt;0),D52,D51)</f>
        <v>0</v>
      </c>
      <c r="E58" s="55">
        <f>MAX(C58:D58)</f>
        <v>0.42</v>
      </c>
      <c r="G58" s="1" t="str">
        <f>G52</f>
        <v>per 100 youth found delinquent</v>
      </c>
      <c r="L58" s="57">
        <f>IF(($E52&gt;0),L52,L51)</f>
        <v>100</v>
      </c>
      <c r="M58" s="57"/>
    </row>
    <row r="59" spans="2:18" ht="15" hidden="1" customHeight="1" x14ac:dyDescent="0.25">
      <c r="B59" s="48"/>
      <c r="C59" s="48"/>
      <c r="D59" s="48"/>
      <c r="E59" s="48"/>
      <c r="L59" s="56"/>
      <c r="M59" s="56"/>
    </row>
    <row r="60" spans="2:18" ht="15" hidden="1" customHeight="1" x14ac:dyDescent="0.25">
      <c r="B60" s="48" t="str">
        <f>B54</f>
        <v>per 1000 youth</v>
      </c>
      <c r="C60" s="55">
        <f>C54</f>
        <v>1.482</v>
      </c>
      <c r="D60" s="55">
        <f>D54</f>
        <v>2.1000000000000001E-2</v>
      </c>
      <c r="E60" s="55">
        <f>MAX(C60:D60)</f>
        <v>1.482</v>
      </c>
      <c r="G60" s="1" t="str">
        <f>G54</f>
        <v>per 1000 youth</v>
      </c>
      <c r="L60" s="57">
        <f>L54</f>
        <v>1000</v>
      </c>
      <c r="M60" s="57"/>
    </row>
    <row r="61" spans="2:18" ht="15" hidden="1" customHeight="1" x14ac:dyDescent="0.25">
      <c r="B61" s="48" t="str">
        <f t="shared" ref="B61:D62" si="11">IF(($E55&gt;0),B55,B54)</f>
        <v>per 100 arrests</v>
      </c>
      <c r="C61" s="48">
        <f t="shared" si="11"/>
        <v>1</v>
      </c>
      <c r="D61" s="48">
        <f t="shared" si="11"/>
        <v>0</v>
      </c>
      <c r="E61" s="48">
        <f>MAX(C61:D61)</f>
        <v>1</v>
      </c>
      <c r="G61" s="1" t="str">
        <f>G55</f>
        <v>per 100 arrests</v>
      </c>
      <c r="L61" s="57">
        <f>IF(($E55&gt;0),L55,L54)</f>
        <v>100</v>
      </c>
      <c r="M61" s="57"/>
    </row>
    <row r="62" spans="2:18" ht="15" hidden="1" customHeight="1" x14ac:dyDescent="0.25">
      <c r="B62" s="48" t="str">
        <f t="shared" si="11"/>
        <v>per 100 referrals</v>
      </c>
      <c r="C62" s="48">
        <f t="shared" si="11"/>
        <v>1.27</v>
      </c>
      <c r="D62" s="48">
        <f t="shared" si="11"/>
        <v>0</v>
      </c>
      <c r="E62" s="48">
        <f>MAX(C62:D62)</f>
        <v>1.27</v>
      </c>
      <c r="G62" s="1" t="str">
        <f>G56</f>
        <v>per 100 referrals</v>
      </c>
      <c r="L62" s="57">
        <f>IF(($E56&gt;0),L56,L55)</f>
        <v>100</v>
      </c>
      <c r="M62" s="57"/>
    </row>
    <row r="63" spans="2:18" ht="15" hidden="1" customHeight="1" x14ac:dyDescent="0.25">
      <c r="B63" s="48" t="str">
        <f>IF(($E57&gt;0),B57,B55)</f>
        <v>per 100 youth petitioned</v>
      </c>
      <c r="C63" s="48">
        <f>IF(($E57&gt;0),C57,C56)</f>
        <v>0.4</v>
      </c>
      <c r="D63" s="48">
        <f>IF(($E57&gt;0),D57,D56)</f>
        <v>0</v>
      </c>
      <c r="E63" s="48">
        <f>MAX(C63:D63)</f>
        <v>0.4</v>
      </c>
      <c r="G63" s="1" t="str">
        <f>G57</f>
        <v>per 100 youth petitioned</v>
      </c>
      <c r="L63" s="57">
        <f>IF(($E57&gt;0),L57,L56)</f>
        <v>100</v>
      </c>
      <c r="M63" s="57"/>
    </row>
    <row r="64" spans="2:18" ht="15" hidden="1" customHeight="1" x14ac:dyDescent="0.25">
      <c r="B64" s="48" t="str">
        <f>IF(($E58&gt;0),B58,B57)</f>
        <v>per 100 youth found delinquent</v>
      </c>
      <c r="C64" s="48">
        <f>IF(($E58&gt;0),C58,C57)</f>
        <v>0.42</v>
      </c>
      <c r="D64" s="48">
        <f>IF(($E58&gt;0),D58,D57)</f>
        <v>0</v>
      </c>
      <c r="E64" s="55">
        <f>MAX(C64:D64)</f>
        <v>0.42</v>
      </c>
      <c r="G64" s="1" t="str">
        <f>G58</f>
        <v>per 100 youth found delinquent</v>
      </c>
      <c r="L64" s="57">
        <f>IF(($E58&gt;0),L58,L57)</f>
        <v>100</v>
      </c>
      <c r="M64" s="57"/>
    </row>
    <row r="65" spans="2:13" ht="15" hidden="1" customHeight="1" x14ac:dyDescent="0.25">
      <c r="B65" s="58" t="s">
        <v>92</v>
      </c>
      <c r="L65" s="56"/>
      <c r="M65" s="56"/>
    </row>
    <row r="66" spans="2:13" ht="15" hidden="1" customHeight="1" x14ac:dyDescent="0.25">
      <c r="B66" s="48" t="str">
        <f>B60</f>
        <v>per 1000 youth</v>
      </c>
      <c r="C66" s="55">
        <f>C60</f>
        <v>1.482</v>
      </c>
      <c r="D66" s="55">
        <f>D60</f>
        <v>2.1000000000000001E-2</v>
      </c>
      <c r="E66" s="55">
        <f>MAX(C66:D66)</f>
        <v>1.482</v>
      </c>
      <c r="G66" s="1" t="str">
        <f>G60</f>
        <v>per 1000 youth</v>
      </c>
      <c r="L66" s="57">
        <f>L60</f>
        <v>1000</v>
      </c>
      <c r="M66" s="57">
        <f>IF((B66=G66),1,2)</f>
        <v>1</v>
      </c>
    </row>
    <row r="67" spans="2:13" ht="15" hidden="1" customHeight="1" x14ac:dyDescent="0.25">
      <c r="B67" s="48" t="str">
        <f t="shared" ref="B67:D68" si="12">IF(($E61&gt;0),B61,B60)</f>
        <v>per 100 arrests</v>
      </c>
      <c r="C67" s="48">
        <f t="shared" si="12"/>
        <v>1</v>
      </c>
      <c r="D67" s="48">
        <f t="shared" si="12"/>
        <v>0</v>
      </c>
      <c r="E67" s="48">
        <f>MAX(C67:D67)</f>
        <v>1</v>
      </c>
      <c r="G67" s="1" t="str">
        <f>G61</f>
        <v>per 100 arrests</v>
      </c>
      <c r="L67" s="57">
        <f>IF(($E61&gt;0),L61,L60)</f>
        <v>100</v>
      </c>
      <c r="M67" s="57">
        <f>IF((B67=G67),1,2)</f>
        <v>1</v>
      </c>
    </row>
    <row r="68" spans="2:13" ht="15" hidden="1" customHeight="1" x14ac:dyDescent="0.25">
      <c r="B68" s="48" t="str">
        <f t="shared" si="12"/>
        <v>per 100 referrals</v>
      </c>
      <c r="C68" s="48">
        <f t="shared" si="12"/>
        <v>1.27</v>
      </c>
      <c r="D68" s="48">
        <f t="shared" si="12"/>
        <v>0</v>
      </c>
      <c r="E68" s="48">
        <f>MAX(C68:D68)</f>
        <v>1.27</v>
      </c>
      <c r="G68" s="1" t="str">
        <f>G62</f>
        <v>per 100 referrals</v>
      </c>
      <c r="L68" s="57">
        <f>IF(($E62&gt;0),L62,L61)</f>
        <v>100</v>
      </c>
      <c r="M68" s="57">
        <f>IF((B68=G68),1,2)</f>
        <v>1</v>
      </c>
    </row>
    <row r="69" spans="2:13" ht="15" hidden="1" customHeight="1" x14ac:dyDescent="0.25">
      <c r="B69" s="48" t="str">
        <f>IF(($E63&gt;0),B63,B61)</f>
        <v>per 100 youth petitioned</v>
      </c>
      <c r="C69" s="48">
        <f>IF(($E63&gt;0),C63,C62)</f>
        <v>0.4</v>
      </c>
      <c r="D69" s="48">
        <f>IF(($E63&gt;0),D63,D62)</f>
        <v>0</v>
      </c>
      <c r="E69" s="48">
        <f>MAX(C69:D69)</f>
        <v>0.4</v>
      </c>
      <c r="G69" s="1" t="str">
        <f>G63</f>
        <v>per 100 youth petitioned</v>
      </c>
      <c r="L69" s="57">
        <f>IF(($E63&gt;0),L63,L62)</f>
        <v>100</v>
      </c>
      <c r="M69" s="57">
        <f>IF((B69=G69),1,2)</f>
        <v>1</v>
      </c>
    </row>
    <row r="70" spans="2:13" ht="15" hidden="1" customHeight="1" x14ac:dyDescent="0.25">
      <c r="B70" s="48" t="str">
        <f>IF(($E64&gt;0),B64,B63)</f>
        <v>per 100 youth found delinquent</v>
      </c>
      <c r="C70" s="48">
        <f>IF(($E64&gt;0),C64,C63)</f>
        <v>0.42</v>
      </c>
      <c r="D70" s="48">
        <f>IF(($E64&gt;0),D64,D63)</f>
        <v>0</v>
      </c>
      <c r="E70" s="55">
        <f>MAX(C70:D70)</f>
        <v>0.42</v>
      </c>
      <c r="G70" s="1" t="str">
        <f>G64</f>
        <v>per 100 youth found delinquent</v>
      </c>
      <c r="L70" s="57">
        <f>IF(($E64&gt;0),L64,L63)</f>
        <v>100</v>
      </c>
      <c r="M70" s="57">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59"/>
    </row>
    <row r="83" spans="2:2" ht="15" hidden="1" customHeight="1" x14ac:dyDescent="0.25">
      <c r="B83" s="60"/>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0"/>
  <sheetViews>
    <sheetView showGridLines="0" showRowColHeaders="0" zoomScale="95" zoomScaleNormal="95" workbookViewId="0">
      <selection activeCell="I5" sqref="I5"/>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7" hidden="1" customWidth="1"/>
    <col min="21" max="21" width="12" style="18" hidden="1" customWidth="1"/>
    <col min="22" max="22" width="0" style="1" hidden="1" customWidth="1"/>
  </cols>
  <sheetData>
    <row r="1" spans="2:21" ht="27.75" customHeight="1" x14ac:dyDescent="0.25">
      <c r="B1" s="15" t="s">
        <v>29</v>
      </c>
      <c r="D1" s="19" t="s">
        <v>30</v>
      </c>
      <c r="E1" s="13"/>
      <c r="F1" s="211" t="str">
        <f>'Data Entry'!F5</f>
        <v>Asian</v>
      </c>
      <c r="G1" s="211"/>
      <c r="H1" s="211"/>
      <c r="I1" s="211"/>
      <c r="J1" s="211"/>
      <c r="K1" s="8"/>
      <c r="N1" s="20"/>
      <c r="O1" s="20"/>
      <c r="P1" s="20"/>
      <c r="Q1" s="20"/>
      <c r="R1" s="20"/>
    </row>
    <row r="2" spans="2:21" ht="15" customHeight="1" x14ac:dyDescent="0.25">
      <c r="B2" s="4" t="str">
        <f>'Data Entry'!A2</f>
        <v>State: Michigan</v>
      </c>
      <c r="C2" s="4"/>
      <c r="D2" s="4"/>
      <c r="E2" s="4"/>
      <c r="F2" s="4"/>
      <c r="N2" s="20"/>
      <c r="O2" s="20"/>
      <c r="P2" s="20"/>
      <c r="Q2" s="20"/>
      <c r="R2" s="20"/>
    </row>
    <row r="3" spans="2:21" ht="15" customHeight="1" x14ac:dyDescent="0.25">
      <c r="B3" s="4" t="str">
        <f>'Data Entry'!A3</f>
        <v>County: Roscommon</v>
      </c>
      <c r="C3" s="21"/>
      <c r="D3" s="21"/>
      <c r="E3" s="21"/>
      <c r="F3" s="21"/>
      <c r="G3" s="7"/>
      <c r="H3" s="7"/>
      <c r="I3" s="7"/>
      <c r="J3" s="7"/>
      <c r="K3" s="7"/>
      <c r="N3" s="210" t="s">
        <v>31</v>
      </c>
      <c r="O3" s="210"/>
      <c r="P3" s="210"/>
      <c r="Q3" s="210"/>
      <c r="R3" s="210"/>
      <c r="S3" s="210"/>
      <c r="T3" s="210"/>
      <c r="U3" s="210"/>
    </row>
    <row r="4" spans="2:21" ht="8.25" customHeight="1" x14ac:dyDescent="0.25">
      <c r="B4" s="4"/>
      <c r="C4" s="22"/>
      <c r="D4" s="22"/>
      <c r="E4" s="22"/>
      <c r="F4" s="22"/>
      <c r="G4" s="8"/>
      <c r="H4" s="8"/>
      <c r="I4" s="8"/>
      <c r="N4" s="210"/>
      <c r="O4" s="210"/>
      <c r="P4" s="210"/>
      <c r="Q4" s="210"/>
      <c r="R4" s="210"/>
      <c r="S4" s="210"/>
      <c r="T4" s="210"/>
      <c r="U4" s="210"/>
    </row>
    <row r="5" spans="2:21" ht="66.75" customHeight="1" x14ac:dyDescent="0.25">
      <c r="B5" s="23" t="s">
        <v>32</v>
      </c>
      <c r="C5" s="24" t="s">
        <v>33</v>
      </c>
      <c r="D5" s="25" t="s">
        <v>34</v>
      </c>
      <c r="E5" s="24" t="s">
        <v>35</v>
      </c>
      <c r="F5" s="24" t="s">
        <v>36</v>
      </c>
      <c r="G5" s="26" t="s">
        <v>37</v>
      </c>
      <c r="H5" s="24"/>
      <c r="I5" s="24"/>
      <c r="J5" s="24" t="s">
        <v>38</v>
      </c>
      <c r="K5" s="27" t="s">
        <v>39</v>
      </c>
      <c r="L5" s="8" t="s">
        <v>40</v>
      </c>
      <c r="M5" s="8" t="s">
        <v>41</v>
      </c>
      <c r="N5" s="28" t="s">
        <v>42</v>
      </c>
      <c r="O5" s="20" t="s">
        <v>43</v>
      </c>
      <c r="P5" s="20" t="s">
        <v>44</v>
      </c>
      <c r="Q5" s="20" t="s">
        <v>45</v>
      </c>
      <c r="R5" s="20" t="s">
        <v>46</v>
      </c>
      <c r="S5" s="29" t="s">
        <v>47</v>
      </c>
      <c r="T5" s="29" t="s">
        <v>48</v>
      </c>
      <c r="U5" s="30" t="s">
        <v>49</v>
      </c>
    </row>
    <row r="6" spans="2:21" ht="20.25" customHeight="1" x14ac:dyDescent="0.25">
      <c r="B6" s="31" t="str">
        <f>'Data Entry'!A6</f>
        <v xml:space="preserve">1. Population at risk (age 10 through 16) </v>
      </c>
      <c r="C6" s="32">
        <f>'Data Entry'!C6</f>
        <v>1482</v>
      </c>
      <c r="D6" s="33"/>
      <c r="E6" s="32">
        <f>'Data Entry'!F6</f>
        <v>18</v>
      </c>
      <c r="F6" s="33"/>
      <c r="G6" s="34"/>
      <c r="H6" s="35"/>
      <c r="I6" s="36"/>
      <c r="J6" s="37"/>
      <c r="K6" s="36"/>
      <c r="L6" s="1">
        <f>IF( ('Data Entry'!F6&gt;('Data Entry'!B6/100)),1,100)</f>
        <v>1</v>
      </c>
      <c r="M6" s="1" t="s">
        <v>50</v>
      </c>
      <c r="N6" s="20"/>
      <c r="O6" s="20"/>
      <c r="P6" s="20"/>
      <c r="Q6" s="20"/>
      <c r="R6" s="20"/>
      <c r="S6" s="29"/>
      <c r="T6" s="29"/>
      <c r="U6" s="30"/>
    </row>
    <row r="7" spans="2:21" ht="18" customHeight="1" x14ac:dyDescent="0.25">
      <c r="B7" s="31" t="str">
        <f>'Data Entry'!A7</f>
        <v xml:space="preserve">2. Juvenile Arrests </v>
      </c>
      <c r="C7" s="32">
        <f>'Data Entry'!C7</f>
        <v>100</v>
      </c>
      <c r="D7" s="33">
        <f>IF((AND(C66&gt;0,C7&gt;0)),(C7/C66),0)</f>
        <v>67.476383265856953</v>
      </c>
      <c r="E7" s="32">
        <f>'Data Entry'!F7</f>
        <v>0</v>
      </c>
      <c r="F7" s="33">
        <f>IF((AND($E$7&gt;0,$D$66&gt;0)),($E$7/$D$66),0)</f>
        <v>0</v>
      </c>
      <c r="G7" s="38" t="str">
        <f t="shared" ref="G7:G15" si="0">IF(L$6=100,"*",IF(M7=FALSE,"--",IF(K7=20,"**",($F7/$D7))))</f>
        <v>**</v>
      </c>
      <c r="H7" s="39"/>
      <c r="I7" s="40"/>
      <c r="J7" s="39">
        <f>IF((ABS($U7)&gt;Defaults!D$7),1,2)</f>
        <v>2</v>
      </c>
      <c r="K7" s="38">
        <f>IF((AND(N7&gt;Defaults!B$12,(N7+O7)&gt;Defaults!B$13, P7 &gt; Defaults!B$12, (P7+Q7) &gt; Defaults!B$13)),1,20)</f>
        <v>20</v>
      </c>
      <c r="L7" s="1">
        <f t="shared" ref="L7:L15" si="1">(J7*K7+L$6)-1</f>
        <v>40</v>
      </c>
      <c r="M7" s="1" t="b">
        <f t="shared" ref="M7:M15" si="2">(ISNUMBER(J7))</f>
        <v>1</v>
      </c>
      <c r="N7" s="41">
        <f t="shared" ref="N7:N15" si="3">E7</f>
        <v>0</v>
      </c>
      <c r="O7" s="41">
        <f>E6-E7</f>
        <v>18</v>
      </c>
      <c r="P7" s="41">
        <f t="shared" ref="P7:P15" si="4">C7</f>
        <v>100</v>
      </c>
      <c r="Q7" s="41">
        <f>C6-C7</f>
        <v>1382</v>
      </c>
      <c r="R7" s="41">
        <f t="shared" ref="R7:R15" si="5">SUM(N7:Q7)</f>
        <v>1500</v>
      </c>
      <c r="S7" s="29">
        <f t="shared" ref="S7:S15" si="6">R7*((((N7*Q7)-(O7*P7))^2))</f>
        <v>4860000000</v>
      </c>
      <c r="T7" s="29">
        <f t="shared" ref="T7:T15" si="7">(N7+O7)*(P7+Q7)*(N7+P7)*(O7+Q7)</f>
        <v>3734640000</v>
      </c>
      <c r="U7" s="30">
        <f t="shared" ref="U7:U15" si="8">IF((S7&gt;0),S7/T7,"- -")</f>
        <v>1.3013302486986698</v>
      </c>
    </row>
    <row r="8" spans="2:21" ht="18" customHeight="1" x14ac:dyDescent="0.25">
      <c r="B8" s="31" t="str">
        <f>'Data Entry'!A8</f>
        <v>3. Refer to Juvenile Court</v>
      </c>
      <c r="C8" s="32">
        <f>'Data Entry'!C8</f>
        <v>127</v>
      </c>
      <c r="D8" s="33">
        <f>IF((AND(C67&gt;0,C8&gt;0)),(C8/C67),0)</f>
        <v>127</v>
      </c>
      <c r="E8" s="32">
        <f>'Data Entry'!F8</f>
        <v>0</v>
      </c>
      <c r="F8" s="33">
        <f>IF((AND($E$8&gt;0,$D$67&gt;0)),($E8/$D67),0)</f>
        <v>0</v>
      </c>
      <c r="G8" s="38" t="str">
        <f t="shared" si="0"/>
        <v>**</v>
      </c>
      <c r="H8" s="39"/>
      <c r="I8" s="40"/>
      <c r="J8" s="39">
        <f>IF((ABS($U8)&gt;Defaults!D$7),1,2)</f>
        <v>2</v>
      </c>
      <c r="K8" s="38">
        <f>IF((AND(N8&gt;Defaults!B$12,(N8+O8)&gt;Defaults!B$13, P8 &gt; Defaults!B$12, (P8+Q8) &gt; Defaults!B$13)),1,20)</f>
        <v>20</v>
      </c>
      <c r="L8" s="1">
        <f t="shared" si="1"/>
        <v>40</v>
      </c>
      <c r="M8" s="1" t="b">
        <f t="shared" si="2"/>
        <v>1</v>
      </c>
      <c r="N8" s="41">
        <f t="shared" si="3"/>
        <v>0</v>
      </c>
      <c r="O8" s="41">
        <f>((D67*L67)-E8)+0.05</f>
        <v>0.05</v>
      </c>
      <c r="P8" s="41">
        <f t="shared" si="4"/>
        <v>127</v>
      </c>
      <c r="Q8" s="41">
        <f>(C$67*L67)-C8</f>
        <v>-27</v>
      </c>
      <c r="R8" s="41">
        <f t="shared" si="5"/>
        <v>100.05</v>
      </c>
      <c r="S8" s="29">
        <f t="shared" si="6"/>
        <v>4034.2661250000006</v>
      </c>
      <c r="T8" s="29">
        <f t="shared" si="7"/>
        <v>-17113.25</v>
      </c>
      <c r="U8" s="30">
        <f t="shared" si="8"/>
        <v>-0.23573933209647499</v>
      </c>
    </row>
    <row r="9" spans="2:21" ht="18" customHeight="1" x14ac:dyDescent="0.25">
      <c r="B9" s="31" t="str">
        <f>'Data Entry'!A9</f>
        <v xml:space="preserve">4. Cases Diverted </v>
      </c>
      <c r="C9" s="32">
        <f>'Data Entry'!C9</f>
        <v>0</v>
      </c>
      <c r="D9" s="33">
        <f>IF((AND(C68&gt;0,C9&gt;0)),((C9/C68)),0)</f>
        <v>0</v>
      </c>
      <c r="E9" s="32">
        <f>'Data Entry'!F9</f>
        <v>0</v>
      </c>
      <c r="F9" s="33">
        <f>IF((AND($E$9&gt;0,$D$68&gt;0)),(($E$9/$D$68)),0)</f>
        <v>0</v>
      </c>
      <c r="G9" s="38" t="str">
        <f t="shared" si="0"/>
        <v>--</v>
      </c>
      <c r="H9" s="39"/>
      <c r="I9" s="40"/>
      <c r="J9" s="39" t="e">
        <f>IF((ABS($U9)&gt;Defaults!D$7),1,2)</f>
        <v>#VALUE!</v>
      </c>
      <c r="K9" s="38">
        <f>IF((AND(N9&gt;Defaults!B$12,(N9+O9)&gt;Defaults!B$13, P9 &gt; Defaults!B$12, (P9+Q9) &gt; Defaults!B$13)),1,20)</f>
        <v>20</v>
      </c>
      <c r="L9" s="1" t="e">
        <f t="shared" si="1"/>
        <v>#VALUE!</v>
      </c>
      <c r="M9" s="1" t="b">
        <f t="shared" si="2"/>
        <v>0</v>
      </c>
      <c r="N9" s="41">
        <f t="shared" si="3"/>
        <v>0</v>
      </c>
      <c r="O9" s="41">
        <f>(D$68*L68)-E9</f>
        <v>0</v>
      </c>
      <c r="P9" s="41">
        <f t="shared" si="4"/>
        <v>0</v>
      </c>
      <c r="Q9" s="41">
        <f>(C$68*L68)-C9</f>
        <v>127</v>
      </c>
      <c r="R9" s="41">
        <f t="shared" si="5"/>
        <v>127</v>
      </c>
      <c r="S9" s="29">
        <f t="shared" si="6"/>
        <v>0</v>
      </c>
      <c r="T9" s="29">
        <f t="shared" si="7"/>
        <v>0</v>
      </c>
      <c r="U9" s="30" t="str">
        <f t="shared" si="8"/>
        <v>- -</v>
      </c>
    </row>
    <row r="10" spans="2:21" ht="18" customHeight="1" x14ac:dyDescent="0.25">
      <c r="B10" s="31" t="str">
        <f>'Data Entry'!A10</f>
        <v>5. Cases Involving Secure Detention</v>
      </c>
      <c r="C10" s="32">
        <f>'Data Entry'!C10</f>
        <v>9</v>
      </c>
      <c r="D10" s="33">
        <f>IF(((AND(C68&gt;0,C10&gt;0))),(C10/(C68)),0)</f>
        <v>7.0866141732283463</v>
      </c>
      <c r="E10" s="32">
        <f>'Data Entry'!F10</f>
        <v>0</v>
      </c>
      <c r="F10" s="33">
        <f>IF(((AND($E$10&gt;0,$D$68&gt;0))),($E$10/($D$68)),0)</f>
        <v>0</v>
      </c>
      <c r="G10" s="38" t="str">
        <f t="shared" si="0"/>
        <v>--</v>
      </c>
      <c r="H10" s="39"/>
      <c r="I10" s="40"/>
      <c r="J10" s="39" t="e">
        <f>IF((ABS($U10)&gt;Defaults!D$7),1,2)</f>
        <v>#VALUE!</v>
      </c>
      <c r="K10" s="38">
        <f>IF((AND(N10&gt;Defaults!B$12,(N10+O10)&gt;Defaults!B$13, P10 &gt; Defaults!B$12, (P10+Q10) &gt; Defaults!B$13)),1,20)</f>
        <v>20</v>
      </c>
      <c r="L10" s="1" t="e">
        <f t="shared" si="1"/>
        <v>#VALUE!</v>
      </c>
      <c r="M10" s="1" t="b">
        <f t="shared" si="2"/>
        <v>0</v>
      </c>
      <c r="N10" s="41">
        <f t="shared" si="3"/>
        <v>0</v>
      </c>
      <c r="O10" s="41">
        <f>(D$68*L68)-E10</f>
        <v>0</v>
      </c>
      <c r="P10" s="41">
        <f t="shared" si="4"/>
        <v>9</v>
      </c>
      <c r="Q10" s="41">
        <f>(C$68*L68)-C10</f>
        <v>118</v>
      </c>
      <c r="R10" s="41">
        <f t="shared" si="5"/>
        <v>127</v>
      </c>
      <c r="S10" s="29">
        <f t="shared" si="6"/>
        <v>0</v>
      </c>
      <c r="T10" s="29">
        <f t="shared" si="7"/>
        <v>0</v>
      </c>
      <c r="U10" s="30" t="str">
        <f t="shared" si="8"/>
        <v>- -</v>
      </c>
    </row>
    <row r="11" spans="2:21" ht="18" customHeight="1" x14ac:dyDescent="0.25">
      <c r="B11" s="31" t="str">
        <f>'Data Entry'!A11</f>
        <v>6. Cases Petitioned (Charge Filed)</v>
      </c>
      <c r="C11" s="32">
        <f>'Data Entry'!C11</f>
        <v>40</v>
      </c>
      <c r="D11" s="33">
        <f>IF(((AND(C68&gt;0,C11&gt;0))),(C11/(C68)),0)</f>
        <v>31.496062992125985</v>
      </c>
      <c r="E11" s="32">
        <f>'Data Entry'!F11</f>
        <v>0</v>
      </c>
      <c r="F11" s="33">
        <f>IF(((AND($E$11&gt;0,$D$68&gt;0))),($E$11/($D$68)),0)</f>
        <v>0</v>
      </c>
      <c r="G11" s="38" t="str">
        <f t="shared" si="0"/>
        <v>--</v>
      </c>
      <c r="H11" s="39"/>
      <c r="I11" s="40"/>
      <c r="J11" s="39" t="e">
        <f>IF((ABS($U11)&gt;Defaults!D$7),1,2)</f>
        <v>#VALUE!</v>
      </c>
      <c r="K11" s="38">
        <f>IF((AND(N11&gt;Defaults!B$12,(N11+O11)&gt;Defaults!B$13, P11 &gt; Defaults!B$12, (P11+Q11) &gt; Defaults!B$13)),1,20)</f>
        <v>20</v>
      </c>
      <c r="L11" s="1" t="e">
        <f t="shared" si="1"/>
        <v>#VALUE!</v>
      </c>
      <c r="M11" s="1" t="b">
        <f t="shared" si="2"/>
        <v>0</v>
      </c>
      <c r="N11" s="41">
        <f t="shared" si="3"/>
        <v>0</v>
      </c>
      <c r="O11" s="41">
        <f>(D$68*L68)-E11</f>
        <v>0</v>
      </c>
      <c r="P11" s="41">
        <f t="shared" si="4"/>
        <v>40</v>
      </c>
      <c r="Q11" s="41">
        <f>(C$68*L68)-C11</f>
        <v>87</v>
      </c>
      <c r="R11" s="41">
        <f t="shared" si="5"/>
        <v>127</v>
      </c>
      <c r="S11" s="29">
        <f t="shared" si="6"/>
        <v>0</v>
      </c>
      <c r="T11" s="29">
        <f t="shared" si="7"/>
        <v>0</v>
      </c>
      <c r="U11" s="30" t="str">
        <f t="shared" si="8"/>
        <v>- -</v>
      </c>
    </row>
    <row r="12" spans="2:21" ht="18" customHeight="1" x14ac:dyDescent="0.25">
      <c r="B12" s="31" t="str">
        <f>'Data Entry'!A12</f>
        <v>7. Cases Resulting in Delinquent Findings</v>
      </c>
      <c r="C12" s="32">
        <f>'Data Entry'!C12</f>
        <v>42</v>
      </c>
      <c r="D12" s="33">
        <f>IF(((AND(C69&gt;0,C12&gt;0))),(C12/(C69)),0)</f>
        <v>105</v>
      </c>
      <c r="E12" s="32">
        <f>'Data Entry'!F12</f>
        <v>0</v>
      </c>
      <c r="F12" s="33">
        <f>IF(((AND($D$69&gt;0,$E$12&gt;0))),(E12/(D69)),0)</f>
        <v>0</v>
      </c>
      <c r="G12" s="38" t="str">
        <f t="shared" si="0"/>
        <v>--</v>
      </c>
      <c r="H12" s="39"/>
      <c r="I12" s="40"/>
      <c r="J12" s="39" t="e">
        <f>IF((ABS($U12)&gt;Defaults!D$7),1,2)</f>
        <v>#VALUE!</v>
      </c>
      <c r="K12" s="38">
        <f>IF((AND(N12&gt;Defaults!B$12,(N12+O12)&gt;Defaults!B$13, P12 &gt; Defaults!B$12, (P12+Q12) &gt; Defaults!B$13)),1,20)</f>
        <v>20</v>
      </c>
      <c r="L12" s="1" t="e">
        <f t="shared" si="1"/>
        <v>#VALUE!</v>
      </c>
      <c r="M12" s="1" t="b">
        <f t="shared" si="2"/>
        <v>0</v>
      </c>
      <c r="N12" s="41">
        <f t="shared" si="3"/>
        <v>0</v>
      </c>
      <c r="O12" s="41">
        <f>(D69*L69)-E12</f>
        <v>0</v>
      </c>
      <c r="P12" s="41">
        <f t="shared" si="4"/>
        <v>42</v>
      </c>
      <c r="Q12" s="41">
        <f>(C69*L69)-C12</f>
        <v>-2</v>
      </c>
      <c r="R12" s="41">
        <f t="shared" si="5"/>
        <v>40</v>
      </c>
      <c r="S12" s="29">
        <f t="shared" si="6"/>
        <v>0</v>
      </c>
      <c r="T12" s="29">
        <f t="shared" si="7"/>
        <v>0</v>
      </c>
      <c r="U12" s="30" t="str">
        <f t="shared" si="8"/>
        <v>- -</v>
      </c>
    </row>
    <row r="13" spans="2:21" ht="18" customHeight="1" x14ac:dyDescent="0.25">
      <c r="B13" s="31" t="str">
        <f>'Data Entry'!A13</f>
        <v>8. Cases Resulting in Probation Placement</v>
      </c>
      <c r="C13" s="32">
        <f>'Data Entry'!C13</f>
        <v>91</v>
      </c>
      <c r="D13" s="33">
        <f>IF(((AND(C70&gt;0,C13&gt;0))),(C13/(C70)),0)</f>
        <v>216.66666666666669</v>
      </c>
      <c r="E13" s="32">
        <f>'Data Entry'!F13</f>
        <v>0</v>
      </c>
      <c r="F13" s="33">
        <f>IF(((AND($D$70&gt;0,$E$13&gt;0))),($E$13/($D$70)),0)</f>
        <v>0</v>
      </c>
      <c r="G13" s="38" t="str">
        <f t="shared" si="0"/>
        <v>--</v>
      </c>
      <c r="H13" s="39"/>
      <c r="I13" s="40"/>
      <c r="J13" s="39" t="e">
        <f>IF((ABS($U13)&gt;Defaults!D$7),1,2)</f>
        <v>#VALUE!</v>
      </c>
      <c r="K13" s="38">
        <f>IF((AND(N13&gt;Defaults!B$12,(N13+O13)&gt;Defaults!B$13, P13 &gt; Defaults!B$12, (P13+Q13) &gt; Defaults!B$13)),1,20)</f>
        <v>20</v>
      </c>
      <c r="L13" s="1" t="e">
        <f t="shared" si="1"/>
        <v>#VALUE!</v>
      </c>
      <c r="M13" s="1" t="b">
        <f t="shared" si="2"/>
        <v>0</v>
      </c>
      <c r="N13" s="41">
        <f t="shared" si="3"/>
        <v>0</v>
      </c>
      <c r="O13" s="41">
        <f>(D70*L70)-E13</f>
        <v>0</v>
      </c>
      <c r="P13" s="41">
        <f t="shared" si="4"/>
        <v>91</v>
      </c>
      <c r="Q13" s="41">
        <f>(C70*L70)-C13</f>
        <v>-49</v>
      </c>
      <c r="R13" s="41">
        <f t="shared" si="5"/>
        <v>42</v>
      </c>
      <c r="S13" s="29">
        <f t="shared" si="6"/>
        <v>0</v>
      </c>
      <c r="T13" s="29">
        <f t="shared" si="7"/>
        <v>0</v>
      </c>
      <c r="U13" s="30" t="str">
        <f t="shared" si="8"/>
        <v>- -</v>
      </c>
    </row>
    <row r="14" spans="2:21" ht="30.75" customHeight="1" x14ac:dyDescent="0.25">
      <c r="B14" s="31" t="str">
        <f>'Data Entry'!A14</f>
        <v xml:space="preserve">9. Cases Resulting in Confinement in Secure Juvenile Correctional Facilities </v>
      </c>
      <c r="C14" s="32">
        <f>'Data Entry'!C14</f>
        <v>36</v>
      </c>
      <c r="D14" s="33">
        <f>IF(((AND(C70&gt;0,C14&gt;0))), ((C14/(C70))),0)</f>
        <v>85.714285714285722</v>
      </c>
      <c r="E14" s="32">
        <f>'Data Entry'!F14</f>
        <v>0</v>
      </c>
      <c r="F14" s="33">
        <f>IF(((AND($D$70&gt;0,$E$14&gt;0))), (($E$14/($D$70))),0)</f>
        <v>0</v>
      </c>
      <c r="G14" s="38" t="str">
        <f t="shared" si="0"/>
        <v>--</v>
      </c>
      <c r="H14" s="39"/>
      <c r="I14" s="40"/>
      <c r="J14" s="39" t="e">
        <f>IF((ABS($U14)&gt;Defaults!D$7),1,2)</f>
        <v>#VALUE!</v>
      </c>
      <c r="K14" s="38">
        <f>IF((AND(N14&gt;Defaults!B$12,(N14+O14)&gt;Defaults!B$13, P14 &gt; Defaults!B$12, (P14+Q14) &gt; Defaults!B$13)),1,20)</f>
        <v>20</v>
      </c>
      <c r="L14" s="1" t="e">
        <f t="shared" si="1"/>
        <v>#VALUE!</v>
      </c>
      <c r="M14" s="1" t="b">
        <f t="shared" si="2"/>
        <v>0</v>
      </c>
      <c r="N14" s="41">
        <f t="shared" si="3"/>
        <v>0</v>
      </c>
      <c r="O14" s="41">
        <f>(D70*L70)-E14</f>
        <v>0</v>
      </c>
      <c r="P14" s="41">
        <f t="shared" si="4"/>
        <v>36</v>
      </c>
      <c r="Q14" s="41">
        <f>(C70*L70)-C14</f>
        <v>6</v>
      </c>
      <c r="R14" s="41">
        <f t="shared" si="5"/>
        <v>42</v>
      </c>
      <c r="S14" s="29">
        <f t="shared" si="6"/>
        <v>0</v>
      </c>
      <c r="T14" s="29">
        <f t="shared" si="7"/>
        <v>0</v>
      </c>
      <c r="U14" s="30" t="str">
        <f t="shared" si="8"/>
        <v>- -</v>
      </c>
    </row>
    <row r="15" spans="2:21" ht="15.75" customHeight="1" x14ac:dyDescent="0.25">
      <c r="B15" s="31" t="str">
        <f>'Data Entry'!A15</f>
        <v xml:space="preserve">10. Cases Transferred to Adult Court </v>
      </c>
      <c r="C15" s="32">
        <f>'Data Entry'!C15</f>
        <v>0</v>
      </c>
      <c r="D15" s="33">
        <f>IF(((AND(C69&gt;0,C15&gt;0))),((C15/(C69))),0)</f>
        <v>0</v>
      </c>
      <c r="E15" s="32">
        <f>'Data Entry'!F15</f>
        <v>0</v>
      </c>
      <c r="F15" s="33">
        <f>IF(((AND($D$69&gt;0,$E$15&gt;0))),(($E$15/($D$69))),0)</f>
        <v>0</v>
      </c>
      <c r="G15" s="38" t="str">
        <f t="shared" si="0"/>
        <v>--</v>
      </c>
      <c r="H15" s="39"/>
      <c r="I15" s="40"/>
      <c r="J15" s="39" t="e">
        <f>IF((ABS($U15)&gt;Defaults!D$7),1,2)</f>
        <v>#VALUE!</v>
      </c>
      <c r="K15" s="38">
        <f>IF((AND(N15&gt;Defaults!B$12,(N15+O15)&gt;Defaults!B$13, P15 &gt; Defaults!B$12, (P15+Q15) &gt; Defaults!B$13)),1,20)</f>
        <v>20</v>
      </c>
      <c r="L15" s="1" t="e">
        <f t="shared" si="1"/>
        <v>#VALUE!</v>
      </c>
      <c r="M15" s="1" t="b">
        <f t="shared" si="2"/>
        <v>0</v>
      </c>
      <c r="N15" s="41">
        <f t="shared" si="3"/>
        <v>0</v>
      </c>
      <c r="O15" s="41">
        <f>(D69*L69)-E15</f>
        <v>0</v>
      </c>
      <c r="P15" s="41">
        <f t="shared" si="4"/>
        <v>0</v>
      </c>
      <c r="Q15" s="41">
        <f>(C69*L69)-C15</f>
        <v>40</v>
      </c>
      <c r="R15" s="41">
        <f t="shared" si="5"/>
        <v>40</v>
      </c>
      <c r="S15" s="29">
        <f t="shared" si="6"/>
        <v>0</v>
      </c>
      <c r="T15" s="29">
        <f t="shared" si="7"/>
        <v>0</v>
      </c>
      <c r="U15" s="30" t="str">
        <f t="shared" si="8"/>
        <v>- -</v>
      </c>
    </row>
    <row r="16" spans="2:21" ht="12" customHeight="1" x14ac:dyDescent="0.25">
      <c r="B16" s="42" t="s">
        <v>93</v>
      </c>
      <c r="C16" s="43"/>
      <c r="D16" s="43"/>
      <c r="E16" s="43"/>
      <c r="F16" s="43"/>
      <c r="G16" s="43"/>
      <c r="H16" s="43"/>
      <c r="I16" s="43"/>
      <c r="N16" s="20"/>
      <c r="O16" s="20"/>
      <c r="P16" s="20"/>
      <c r="Q16" s="20"/>
      <c r="R16" s="20"/>
      <c r="S16" s="29"/>
      <c r="T16" s="29"/>
      <c r="U16" s="30"/>
    </row>
    <row r="17" spans="2:21" ht="26.25" customHeight="1" x14ac:dyDescent="0.25">
      <c r="B17" s="61"/>
      <c r="C17" s="61"/>
      <c r="D17" s="61"/>
      <c r="E17" s="61"/>
      <c r="F17" s="61"/>
      <c r="G17" s="61"/>
      <c r="H17" s="61"/>
      <c r="I17" s="61"/>
      <c r="K17" s="1" t="s">
        <v>94</v>
      </c>
      <c r="L17" s="1" t="s">
        <v>95</v>
      </c>
      <c r="N17" s="20"/>
      <c r="O17" s="20"/>
      <c r="P17" s="20"/>
      <c r="Q17" s="20"/>
      <c r="R17" s="20"/>
      <c r="S17" s="29"/>
      <c r="T17" s="29"/>
      <c r="U17" s="30"/>
    </row>
    <row r="18" spans="2:21" ht="15" customHeight="1" x14ac:dyDescent="0.25">
      <c r="B18" s="1" t="s">
        <v>52</v>
      </c>
    </row>
    <row r="19" spans="2:21" ht="15" customHeight="1" x14ac:dyDescent="0.25">
      <c r="B19" s="1" t="s">
        <v>53</v>
      </c>
      <c r="D19" s="44" t="s">
        <v>54</v>
      </c>
    </row>
    <row r="20" spans="2:21" ht="15" customHeight="1" x14ac:dyDescent="0.25">
      <c r="B20" s="1" t="s">
        <v>55</v>
      </c>
      <c r="D20" s="1" t="s">
        <v>56</v>
      </c>
    </row>
    <row r="21" spans="2:21" ht="15" customHeight="1" x14ac:dyDescent="0.25">
      <c r="B21" s="1" t="s">
        <v>57</v>
      </c>
      <c r="D21" s="1" t="s">
        <v>58</v>
      </c>
    </row>
    <row r="22" spans="2:21" ht="15" customHeight="1" x14ac:dyDescent="0.25">
      <c r="B22" s="1" t="s">
        <v>59</v>
      </c>
      <c r="D22" s="1" t="s">
        <v>60</v>
      </c>
    </row>
    <row r="23" spans="2:21" ht="15" customHeight="1" x14ac:dyDescent="0.25">
      <c r="B23" s="1" t="s">
        <v>61</v>
      </c>
      <c r="D23" s="1" t="s">
        <v>62</v>
      </c>
    </row>
    <row r="24" spans="2:21" ht="26.25" customHeight="1" x14ac:dyDescent="0.25">
      <c r="B24" s="61"/>
      <c r="C24" s="61"/>
      <c r="D24" s="61"/>
      <c r="E24" s="61"/>
      <c r="F24" s="61"/>
      <c r="G24" s="61"/>
      <c r="H24" s="61"/>
      <c r="I24" s="61"/>
      <c r="N24" s="20"/>
      <c r="O24" s="20"/>
      <c r="P24" s="20"/>
      <c r="Q24" s="20"/>
      <c r="R24" s="20"/>
      <c r="S24" s="29"/>
      <c r="T24" s="29"/>
      <c r="U24" s="30"/>
    </row>
    <row r="25" spans="2:21" ht="15" customHeight="1" x14ac:dyDescent="0.25">
      <c r="B25" s="45" t="s">
        <v>63</v>
      </c>
      <c r="K25" s="1" t="s">
        <v>64</v>
      </c>
      <c r="L25" s="1" t="s">
        <v>65</v>
      </c>
      <c r="N25" s="20"/>
      <c r="O25" s="20" t="b">
        <f>ISBLANK(N12)</f>
        <v>0</v>
      </c>
      <c r="P25" s="20"/>
      <c r="Q25" s="20"/>
      <c r="R25" s="20"/>
    </row>
    <row r="26" spans="2:21" ht="15" customHeight="1" x14ac:dyDescent="0.25">
      <c r="B26" s="46" t="s">
        <v>66</v>
      </c>
      <c r="F26" s="46" t="s">
        <v>67</v>
      </c>
      <c r="G26" s="46"/>
      <c r="H26" s="46"/>
      <c r="I26" s="46"/>
      <c r="J26" s="46"/>
      <c r="K26" s="47" t="s">
        <v>62</v>
      </c>
      <c r="L26" s="47" t="s">
        <v>68</v>
      </c>
      <c r="M26" s="47"/>
      <c r="R26" s="48"/>
    </row>
    <row r="27" spans="2:21" ht="15" customHeight="1" x14ac:dyDescent="0.25">
      <c r="B27" s="49" t="s">
        <v>69</v>
      </c>
      <c r="C27" s="49"/>
      <c r="D27" s="49"/>
      <c r="E27" s="49"/>
      <c r="F27" s="49" t="str">
        <f>B66</f>
        <v>per 1000 youth</v>
      </c>
      <c r="G27" s="49"/>
      <c r="H27" s="49"/>
      <c r="I27" s="49"/>
      <c r="J27" s="49">
        <f>F66</f>
        <v>0</v>
      </c>
      <c r="K27" s="49" t="s">
        <v>60</v>
      </c>
      <c r="L27" s="50" t="s">
        <v>70</v>
      </c>
      <c r="R27" s="48"/>
    </row>
    <row r="28" spans="2:21" ht="15" customHeight="1" x14ac:dyDescent="0.25">
      <c r="B28" s="49" t="s">
        <v>71</v>
      </c>
      <c r="C28" s="49"/>
      <c r="D28" s="49"/>
      <c r="E28" s="49"/>
      <c r="F28" s="51" t="str">
        <f>B67</f>
        <v>per 100 arrests</v>
      </c>
      <c r="G28" s="51"/>
      <c r="H28" s="51"/>
      <c r="I28" s="51"/>
      <c r="J28" s="51"/>
      <c r="K28" s="51" t="s">
        <v>58</v>
      </c>
      <c r="L28" s="52" t="s">
        <v>72</v>
      </c>
      <c r="R28" s="48"/>
    </row>
    <row r="29" spans="2:21" ht="15" customHeight="1" x14ac:dyDescent="0.25">
      <c r="B29" s="51" t="s">
        <v>73</v>
      </c>
      <c r="C29" s="51"/>
      <c r="D29" s="51"/>
      <c r="E29" s="51"/>
      <c r="F29" s="51" t="str">
        <f>B68</f>
        <v>per 100 referrals</v>
      </c>
      <c r="G29" s="51"/>
      <c r="H29" s="51"/>
      <c r="I29" s="51"/>
      <c r="J29" s="51"/>
      <c r="K29" s="51"/>
      <c r="L29" s="52"/>
      <c r="R29" s="48"/>
    </row>
    <row r="30" spans="2:21" ht="15" customHeight="1" x14ac:dyDescent="0.25">
      <c r="B30" s="51" t="s">
        <v>74</v>
      </c>
      <c r="C30" s="51"/>
      <c r="D30" s="51"/>
      <c r="E30" s="51"/>
      <c r="F30" s="51" t="str">
        <f>B68</f>
        <v>per 100 referrals</v>
      </c>
      <c r="G30" s="51"/>
      <c r="H30" s="51"/>
      <c r="I30" s="51"/>
      <c r="J30" s="51"/>
      <c r="K30" s="51"/>
      <c r="L30" s="52"/>
      <c r="N30" s="1" t="b">
        <f>ISNUMBER(J14)</f>
        <v>0</v>
      </c>
      <c r="R30" s="48"/>
    </row>
    <row r="31" spans="2:21" ht="15" customHeight="1" x14ac:dyDescent="0.25">
      <c r="B31" s="51" t="s">
        <v>75</v>
      </c>
      <c r="C31" s="51"/>
      <c r="D31" s="51"/>
      <c r="E31" s="51"/>
      <c r="F31" s="51" t="str">
        <f>B68</f>
        <v>per 100 referrals</v>
      </c>
      <c r="G31" s="51"/>
      <c r="H31" s="51"/>
      <c r="I31" s="51"/>
      <c r="J31" s="51"/>
      <c r="K31" s="51"/>
      <c r="L31" s="52"/>
      <c r="R31" s="48"/>
    </row>
    <row r="32" spans="2:21" ht="15" customHeight="1" x14ac:dyDescent="0.25">
      <c r="B32" s="51" t="s">
        <v>76</v>
      </c>
      <c r="C32" s="51"/>
      <c r="D32" s="51"/>
      <c r="E32" s="51"/>
      <c r="F32" s="51" t="str">
        <f>B69</f>
        <v>per 100 youth petitioned</v>
      </c>
      <c r="G32" s="51"/>
      <c r="H32" s="51"/>
      <c r="I32" s="51"/>
      <c r="J32" s="51"/>
      <c r="K32" s="51"/>
      <c r="L32" s="52"/>
      <c r="R32" s="48"/>
    </row>
    <row r="33" spans="2:18" ht="15" customHeight="1" x14ac:dyDescent="0.25">
      <c r="B33" s="51" t="s">
        <v>77</v>
      </c>
      <c r="C33" s="51"/>
      <c r="D33" s="51"/>
      <c r="E33" s="51"/>
      <c r="F33" s="51" t="str">
        <f>B70</f>
        <v>per 100 youth found delinquent</v>
      </c>
      <c r="G33" s="51"/>
      <c r="H33" s="51"/>
      <c r="I33" s="51"/>
      <c r="J33" s="51"/>
      <c r="K33" s="51"/>
      <c r="L33" s="52"/>
      <c r="R33" s="48"/>
    </row>
    <row r="34" spans="2:18" ht="15" customHeight="1" x14ac:dyDescent="0.25">
      <c r="B34" s="51" t="s">
        <v>78</v>
      </c>
      <c r="C34" s="51"/>
      <c r="D34" s="51"/>
      <c r="E34" s="51"/>
      <c r="F34" s="51" t="str">
        <f>B70</f>
        <v>per 100 youth found delinquent</v>
      </c>
      <c r="G34" s="51"/>
      <c r="H34" s="51"/>
      <c r="I34" s="51"/>
      <c r="J34" s="51"/>
      <c r="K34" s="51"/>
      <c r="L34" s="52"/>
      <c r="R34" s="48"/>
    </row>
    <row r="35" spans="2:18" ht="15" customHeight="1" x14ac:dyDescent="0.25">
      <c r="B35" s="51" t="s">
        <v>79</v>
      </c>
      <c r="C35" s="51"/>
      <c r="D35" s="51"/>
      <c r="E35" s="51"/>
      <c r="F35" s="51" t="str">
        <f>B69</f>
        <v>per 100 youth petitioned</v>
      </c>
      <c r="G35" s="51"/>
      <c r="H35" s="51"/>
      <c r="I35" s="51"/>
      <c r="J35" s="51"/>
      <c r="K35" s="51"/>
      <c r="L35" s="52"/>
      <c r="R35" s="48"/>
    </row>
    <row r="36" spans="2:18" ht="15" customHeight="1" x14ac:dyDescent="0.25">
      <c r="R36" s="48"/>
    </row>
    <row r="37" spans="2:18" ht="15" hidden="1" customHeight="1" x14ac:dyDescent="0.25">
      <c r="R37" s="48"/>
    </row>
    <row r="38" spans="2:18" ht="15" hidden="1" customHeight="1" x14ac:dyDescent="0.25">
      <c r="R38" s="48"/>
    </row>
    <row r="39" spans="2:18" ht="15" hidden="1" customHeight="1" x14ac:dyDescent="0.25">
      <c r="R39" s="48"/>
    </row>
    <row r="40" spans="2:18" ht="30.75" hidden="1" customHeight="1" x14ac:dyDescent="0.25">
      <c r="B40" s="209" t="s">
        <v>80</v>
      </c>
      <c r="C40" s="209"/>
      <c r="D40" s="209"/>
      <c r="E40" s="209"/>
      <c r="F40" s="209"/>
      <c r="G40" s="209"/>
      <c r="H40" s="209"/>
      <c r="I40" s="209"/>
      <c r="J40" s="209"/>
      <c r="K40" s="8"/>
      <c r="R40" s="48"/>
    </row>
    <row r="41" spans="2:18" ht="15" hidden="1" customHeight="1" x14ac:dyDescent="0.25">
      <c r="B41" s="53" t="s">
        <v>81</v>
      </c>
      <c r="C41" s="53" t="s">
        <v>82</v>
      </c>
      <c r="D41" s="54" t="s">
        <v>83</v>
      </c>
      <c r="E41" s="53" t="s">
        <v>84</v>
      </c>
      <c r="G41" s="53" t="s">
        <v>85</v>
      </c>
      <c r="H41" s="53"/>
      <c r="I41" s="53"/>
      <c r="L41" s="1" t="s">
        <v>86</v>
      </c>
      <c r="R41" s="48"/>
    </row>
    <row r="42" spans="2:18" ht="15" hidden="1" customHeight="1" x14ac:dyDescent="0.25">
      <c r="B42" s="48" t="s">
        <v>87</v>
      </c>
      <c r="C42" s="55">
        <f>C6/1000</f>
        <v>1.482</v>
      </c>
      <c r="D42" s="55">
        <f>E6/1000</f>
        <v>1.7999999999999999E-2</v>
      </c>
      <c r="E42" s="55">
        <f>MAX(C42:D42)</f>
        <v>1.482</v>
      </c>
      <c r="G42" s="1" t="str">
        <f>B42</f>
        <v>per 1000 youth</v>
      </c>
      <c r="L42" s="56">
        <v>1000</v>
      </c>
      <c r="M42" s="56"/>
      <c r="R42" s="48"/>
    </row>
    <row r="43" spans="2:18" ht="15" hidden="1" customHeight="1" x14ac:dyDescent="0.25">
      <c r="B43" s="48" t="s">
        <v>88</v>
      </c>
      <c r="C43" s="55">
        <f>C7/100</f>
        <v>1</v>
      </c>
      <c r="D43" s="55">
        <f>E7/100</f>
        <v>0</v>
      </c>
      <c r="E43" s="55">
        <f>MAX(C43:D43,0)</f>
        <v>1</v>
      </c>
      <c r="G43" s="1" t="str">
        <f>B43</f>
        <v>per 100 arrests</v>
      </c>
      <c r="L43" s="56">
        <v>100</v>
      </c>
      <c r="M43" s="56"/>
      <c r="R43" s="48"/>
    </row>
    <row r="44" spans="2:18" ht="15" hidden="1" customHeight="1" x14ac:dyDescent="0.25">
      <c r="B44" s="48" t="s">
        <v>89</v>
      </c>
      <c r="C44" s="55">
        <f>C8/100</f>
        <v>1.27</v>
      </c>
      <c r="D44" s="55">
        <f>E8/100</f>
        <v>0</v>
      </c>
      <c r="E44" s="55">
        <f>MAX(C44:D44,0)</f>
        <v>1.27</v>
      </c>
      <c r="G44" s="1" t="str">
        <f>B44</f>
        <v>per 100 referrals</v>
      </c>
      <c r="L44" s="56">
        <v>100</v>
      </c>
      <c r="M44" s="56"/>
      <c r="R44" s="48"/>
    </row>
    <row r="45" spans="2:18" ht="15" hidden="1" customHeight="1" x14ac:dyDescent="0.25">
      <c r="B45" s="48" t="s">
        <v>90</v>
      </c>
      <c r="C45" s="48">
        <f>C11/100</f>
        <v>0.4</v>
      </c>
      <c r="D45" s="48">
        <f>E11/100</f>
        <v>0</v>
      </c>
      <c r="E45" s="55">
        <f>MAX(C45:D45,0)</f>
        <v>0.4</v>
      </c>
      <c r="G45" s="1" t="str">
        <f>B45</f>
        <v>per 100 youth petitioned</v>
      </c>
      <c r="L45" s="56">
        <v>100</v>
      </c>
      <c r="M45" s="56"/>
      <c r="R45" s="48"/>
    </row>
    <row r="46" spans="2:18" ht="15" hidden="1" customHeight="1" x14ac:dyDescent="0.25">
      <c r="B46" s="48" t="s">
        <v>91</v>
      </c>
      <c r="C46" s="48">
        <f>C12/100</f>
        <v>0.42</v>
      </c>
      <c r="D46" s="48">
        <f>E12/100</f>
        <v>0</v>
      </c>
      <c r="E46" s="55">
        <f>MAX(C46:D46)</f>
        <v>0.42</v>
      </c>
      <c r="G46" s="1" t="str">
        <f>B46</f>
        <v>per 100 youth found delinquent</v>
      </c>
      <c r="L46" s="56">
        <v>100</v>
      </c>
      <c r="M46" s="56"/>
      <c r="R46" s="48"/>
    </row>
    <row r="47" spans="2:18" ht="15" hidden="1" customHeight="1" x14ac:dyDescent="0.25">
      <c r="B47" s="8"/>
      <c r="C47" s="8"/>
      <c r="D47" s="8"/>
      <c r="E47" s="8"/>
      <c r="L47" s="56"/>
      <c r="M47" s="56"/>
      <c r="R47" s="48"/>
    </row>
    <row r="48" spans="2:18" ht="15" hidden="1" customHeight="1" x14ac:dyDescent="0.25">
      <c r="B48" s="48" t="str">
        <f>B42</f>
        <v>per 1000 youth</v>
      </c>
      <c r="C48" s="55">
        <f>C42</f>
        <v>1.482</v>
      </c>
      <c r="D48" s="55">
        <f>D42</f>
        <v>1.7999999999999999E-2</v>
      </c>
      <c r="E48" s="55">
        <f>MAX(C48:D48)</f>
        <v>1.482</v>
      </c>
      <c r="G48" s="1" t="str">
        <f>G42</f>
        <v>per 1000 youth</v>
      </c>
      <c r="L48" s="57">
        <f>L42</f>
        <v>1000</v>
      </c>
      <c r="M48" s="57"/>
      <c r="N48" s="20"/>
      <c r="O48" s="20"/>
      <c r="P48" s="20"/>
      <c r="Q48" s="20"/>
      <c r="R48" s="20"/>
    </row>
    <row r="49" spans="2:18" ht="15" hidden="1" customHeight="1" x14ac:dyDescent="0.25">
      <c r="B49" s="48" t="str">
        <f t="shared" ref="B49:D50" si="9">IF(($E43&gt;0),B43,B42)</f>
        <v>per 100 arrests</v>
      </c>
      <c r="C49" s="48">
        <f t="shared" si="9"/>
        <v>1</v>
      </c>
      <c r="D49" s="48">
        <f t="shared" si="9"/>
        <v>0</v>
      </c>
      <c r="E49" s="48">
        <f>MAX(C49:D49)</f>
        <v>1</v>
      </c>
      <c r="G49" s="1" t="str">
        <f>G43</f>
        <v>per 100 arrests</v>
      </c>
      <c r="L49" s="57">
        <f>IF(($E43&gt;0),L43,L42)</f>
        <v>100</v>
      </c>
      <c r="M49" s="57"/>
      <c r="N49" s="20"/>
      <c r="O49" s="20"/>
      <c r="P49" s="20"/>
      <c r="Q49" s="20"/>
      <c r="R49" s="20"/>
    </row>
    <row r="50" spans="2:18" ht="15" hidden="1" customHeight="1" x14ac:dyDescent="0.25">
      <c r="B50" s="48" t="str">
        <f t="shared" si="9"/>
        <v>per 100 referrals</v>
      </c>
      <c r="C50" s="48">
        <f t="shared" si="9"/>
        <v>1.27</v>
      </c>
      <c r="D50" s="48">
        <f t="shared" si="9"/>
        <v>0</v>
      </c>
      <c r="E50" s="48">
        <f>MAX(C50:D50)</f>
        <v>1.27</v>
      </c>
      <c r="G50" s="1" t="str">
        <f>G44</f>
        <v>per 100 referrals</v>
      </c>
      <c r="L50" s="57">
        <f>IF(($E44&gt;0),L44,L43)</f>
        <v>100</v>
      </c>
      <c r="M50" s="57"/>
      <c r="N50" s="20"/>
      <c r="O50" s="20"/>
      <c r="P50" s="20"/>
      <c r="Q50" s="20"/>
      <c r="R50" s="20"/>
    </row>
    <row r="51" spans="2:18" ht="15" hidden="1" customHeight="1" x14ac:dyDescent="0.25">
      <c r="B51" s="48" t="str">
        <f>IF(($E45&gt;0),B45,B43)</f>
        <v>per 100 youth petitioned</v>
      </c>
      <c r="C51" s="48">
        <f>IF(($E45&gt;0),C45,C44)</f>
        <v>0.4</v>
      </c>
      <c r="D51" s="48">
        <f>IF(($E45&gt;0),D45,D44)</f>
        <v>0</v>
      </c>
      <c r="E51" s="48">
        <f>MAX(C51:D51)</f>
        <v>0.4</v>
      </c>
      <c r="G51" s="1" t="str">
        <f>G45</f>
        <v>per 100 youth petitioned</v>
      </c>
      <c r="L51" s="57">
        <f>IF(($E45&gt;0),L45,L44)</f>
        <v>100</v>
      </c>
      <c r="M51" s="57"/>
    </row>
    <row r="52" spans="2:18" ht="15" hidden="1" customHeight="1" x14ac:dyDescent="0.25">
      <c r="B52" s="48" t="str">
        <f>IF(($E46&gt;0),B46,B45)</f>
        <v>per 100 youth found delinquent</v>
      </c>
      <c r="C52" s="48">
        <f>IF(($E46&gt;0),C46,C45)</f>
        <v>0.42</v>
      </c>
      <c r="D52" s="48">
        <f>IF(($E46&gt;0),D46,D45)</f>
        <v>0</v>
      </c>
      <c r="E52" s="55">
        <f>MAX(C52:D52)</f>
        <v>0.42</v>
      </c>
      <c r="G52" s="1" t="str">
        <f>G46</f>
        <v>per 100 youth found delinquent</v>
      </c>
      <c r="L52" s="57">
        <f>IF(($E46&gt;0),L46,L45)</f>
        <v>100</v>
      </c>
      <c r="M52" s="57"/>
    </row>
    <row r="53" spans="2:18" ht="15" hidden="1" customHeight="1" x14ac:dyDescent="0.25">
      <c r="B53" s="48"/>
      <c r="C53" s="48"/>
      <c r="D53" s="48"/>
      <c r="E53" s="48"/>
      <c r="L53" s="56"/>
      <c r="M53" s="56"/>
    </row>
    <row r="54" spans="2:18" ht="15" hidden="1" customHeight="1" x14ac:dyDescent="0.25">
      <c r="B54" s="48" t="str">
        <f>B48</f>
        <v>per 1000 youth</v>
      </c>
      <c r="C54" s="55">
        <f>C48</f>
        <v>1.482</v>
      </c>
      <c r="D54" s="55">
        <f>D48</f>
        <v>1.7999999999999999E-2</v>
      </c>
      <c r="E54" s="55">
        <f>MAX(C54:D54)</f>
        <v>1.482</v>
      </c>
      <c r="G54" s="1" t="str">
        <f>G48</f>
        <v>per 1000 youth</v>
      </c>
      <c r="L54" s="57">
        <f>L48</f>
        <v>1000</v>
      </c>
      <c r="M54" s="57"/>
    </row>
    <row r="55" spans="2:18" ht="15" hidden="1" customHeight="1" x14ac:dyDescent="0.25">
      <c r="B55" s="48" t="str">
        <f t="shared" ref="B55:D56" si="10">IF(($E49&gt;0),B49,B48)</f>
        <v>per 100 arrests</v>
      </c>
      <c r="C55" s="48">
        <f t="shared" si="10"/>
        <v>1</v>
      </c>
      <c r="D55" s="48">
        <f t="shared" si="10"/>
        <v>0</v>
      </c>
      <c r="E55" s="48">
        <f>MAX(C55:D55)</f>
        <v>1</v>
      </c>
      <c r="G55" s="1" t="str">
        <f>G49</f>
        <v>per 100 arrests</v>
      </c>
      <c r="L55" s="57">
        <f>IF(($E49&gt;0),L49,L48)</f>
        <v>100</v>
      </c>
      <c r="M55" s="57"/>
    </row>
    <row r="56" spans="2:18" ht="15" hidden="1" customHeight="1" x14ac:dyDescent="0.25">
      <c r="B56" s="48" t="str">
        <f t="shared" si="10"/>
        <v>per 100 referrals</v>
      </c>
      <c r="C56" s="48">
        <f t="shared" si="10"/>
        <v>1.27</v>
      </c>
      <c r="D56" s="48">
        <f t="shared" si="10"/>
        <v>0</v>
      </c>
      <c r="E56" s="48">
        <f>MAX(C56:D56)</f>
        <v>1.27</v>
      </c>
      <c r="G56" s="1" t="str">
        <f>G50</f>
        <v>per 100 referrals</v>
      </c>
      <c r="L56" s="57">
        <f>IF(($E50&gt;0),L50,L49)</f>
        <v>100</v>
      </c>
      <c r="M56" s="57"/>
    </row>
    <row r="57" spans="2:18" ht="15" hidden="1" customHeight="1" x14ac:dyDescent="0.25">
      <c r="B57" s="48" t="str">
        <f>IF(($E51&gt;0),B51,B49)</f>
        <v>per 100 youth petitioned</v>
      </c>
      <c r="C57" s="48">
        <f>IF(($E51&gt;0),C51,C50)</f>
        <v>0.4</v>
      </c>
      <c r="D57" s="48">
        <f>IF(($E51&gt;0),D51,D50)</f>
        <v>0</v>
      </c>
      <c r="E57" s="48">
        <f>MAX(C57:D57)</f>
        <v>0.4</v>
      </c>
      <c r="G57" s="1" t="str">
        <f>G51</f>
        <v>per 100 youth petitioned</v>
      </c>
      <c r="L57" s="57">
        <f>IF(($E51&gt;0),L51,L50)</f>
        <v>100</v>
      </c>
      <c r="M57" s="57"/>
    </row>
    <row r="58" spans="2:18" ht="15" hidden="1" customHeight="1" x14ac:dyDescent="0.25">
      <c r="B58" s="48" t="str">
        <f>IF(($E52&gt;0),B52,B51)</f>
        <v>per 100 youth found delinquent</v>
      </c>
      <c r="C58" s="48">
        <f>IF(($E52&gt;0),C52,C51)</f>
        <v>0.42</v>
      </c>
      <c r="D58" s="48">
        <f>IF(($E52&gt;0),D52,D51)</f>
        <v>0</v>
      </c>
      <c r="E58" s="55">
        <f>MAX(C58:D58)</f>
        <v>0.42</v>
      </c>
      <c r="G58" s="1" t="str">
        <f>G52</f>
        <v>per 100 youth found delinquent</v>
      </c>
      <c r="L58" s="57">
        <f>IF(($E52&gt;0),L52,L51)</f>
        <v>100</v>
      </c>
      <c r="M58" s="57"/>
    </row>
    <row r="59" spans="2:18" ht="15" hidden="1" customHeight="1" x14ac:dyDescent="0.25">
      <c r="B59" s="48"/>
      <c r="C59" s="48"/>
      <c r="D59" s="48"/>
      <c r="E59" s="48"/>
      <c r="L59" s="56"/>
      <c r="M59" s="56"/>
    </row>
    <row r="60" spans="2:18" ht="15" hidden="1" customHeight="1" x14ac:dyDescent="0.25">
      <c r="B60" s="48" t="str">
        <f>B54</f>
        <v>per 1000 youth</v>
      </c>
      <c r="C60" s="55">
        <f>C54</f>
        <v>1.482</v>
      </c>
      <c r="D60" s="55">
        <f>D54</f>
        <v>1.7999999999999999E-2</v>
      </c>
      <c r="E60" s="55">
        <f>MAX(C60:D60)</f>
        <v>1.482</v>
      </c>
      <c r="G60" s="1" t="str">
        <f>G54</f>
        <v>per 1000 youth</v>
      </c>
      <c r="L60" s="57">
        <f>L54</f>
        <v>1000</v>
      </c>
      <c r="M60" s="57"/>
    </row>
    <row r="61" spans="2:18" ht="15" hidden="1" customHeight="1" x14ac:dyDescent="0.25">
      <c r="B61" s="48" t="str">
        <f t="shared" ref="B61:D62" si="11">IF(($E55&gt;0),B55,B54)</f>
        <v>per 100 arrests</v>
      </c>
      <c r="C61" s="48">
        <f t="shared" si="11"/>
        <v>1</v>
      </c>
      <c r="D61" s="48">
        <f t="shared" si="11"/>
        <v>0</v>
      </c>
      <c r="E61" s="48">
        <f>MAX(C61:D61)</f>
        <v>1</v>
      </c>
      <c r="G61" s="1" t="str">
        <f>G55</f>
        <v>per 100 arrests</v>
      </c>
      <c r="L61" s="57">
        <f>IF(($E55&gt;0),L55,L54)</f>
        <v>100</v>
      </c>
      <c r="M61" s="57"/>
    </row>
    <row r="62" spans="2:18" ht="15" hidden="1" customHeight="1" x14ac:dyDescent="0.25">
      <c r="B62" s="48" t="str">
        <f t="shared" si="11"/>
        <v>per 100 referrals</v>
      </c>
      <c r="C62" s="48">
        <f t="shared" si="11"/>
        <v>1.27</v>
      </c>
      <c r="D62" s="48">
        <f t="shared" si="11"/>
        <v>0</v>
      </c>
      <c r="E62" s="48">
        <f>MAX(C62:D62)</f>
        <v>1.27</v>
      </c>
      <c r="G62" s="1" t="str">
        <f>G56</f>
        <v>per 100 referrals</v>
      </c>
      <c r="L62" s="57">
        <f>IF(($E56&gt;0),L56,L55)</f>
        <v>100</v>
      </c>
      <c r="M62" s="57"/>
    </row>
    <row r="63" spans="2:18" ht="15" hidden="1" customHeight="1" x14ac:dyDescent="0.25">
      <c r="B63" s="48" t="str">
        <f>IF(($E57&gt;0),B57,B55)</f>
        <v>per 100 youth petitioned</v>
      </c>
      <c r="C63" s="48">
        <f>IF(($E57&gt;0),C57,C56)</f>
        <v>0.4</v>
      </c>
      <c r="D63" s="48">
        <f>IF(($E57&gt;0),D57,D56)</f>
        <v>0</v>
      </c>
      <c r="E63" s="48">
        <f>MAX(C63:D63)</f>
        <v>0.4</v>
      </c>
      <c r="G63" s="1" t="str">
        <f>G57</f>
        <v>per 100 youth petitioned</v>
      </c>
      <c r="L63" s="57">
        <f>IF(($E57&gt;0),L57,L56)</f>
        <v>100</v>
      </c>
      <c r="M63" s="57"/>
    </row>
    <row r="64" spans="2:18" ht="15" hidden="1" customHeight="1" x14ac:dyDescent="0.25">
      <c r="B64" s="48" t="str">
        <f>IF(($E58&gt;0),B58,B57)</f>
        <v>per 100 youth found delinquent</v>
      </c>
      <c r="C64" s="48">
        <f>IF(($E58&gt;0),C58,C57)</f>
        <v>0.42</v>
      </c>
      <c r="D64" s="48">
        <f>IF(($E58&gt;0),D58,D57)</f>
        <v>0</v>
      </c>
      <c r="E64" s="55">
        <f>MAX(C64:D64)</f>
        <v>0.42</v>
      </c>
      <c r="G64" s="1" t="str">
        <f>G58</f>
        <v>per 100 youth found delinquent</v>
      </c>
      <c r="L64" s="57">
        <f>IF(($E58&gt;0),L58,L57)</f>
        <v>100</v>
      </c>
      <c r="M64" s="57"/>
    </row>
    <row r="65" spans="2:13" ht="15" hidden="1" customHeight="1" x14ac:dyDescent="0.25">
      <c r="B65" s="58" t="s">
        <v>92</v>
      </c>
      <c r="L65" s="56"/>
      <c r="M65" s="56"/>
    </row>
    <row r="66" spans="2:13" ht="15" hidden="1" customHeight="1" x14ac:dyDescent="0.25">
      <c r="B66" s="48" t="str">
        <f>B60</f>
        <v>per 1000 youth</v>
      </c>
      <c r="C66" s="55">
        <f>C60</f>
        <v>1.482</v>
      </c>
      <c r="D66" s="55">
        <f>D60</f>
        <v>1.7999999999999999E-2</v>
      </c>
      <c r="E66" s="55">
        <f>MAX(C66:D66)</f>
        <v>1.482</v>
      </c>
      <c r="G66" s="1" t="str">
        <f>G60</f>
        <v>per 1000 youth</v>
      </c>
      <c r="L66" s="57">
        <f>L60</f>
        <v>1000</v>
      </c>
      <c r="M66" s="57">
        <f>IF((B66=G66),1,2)</f>
        <v>1</v>
      </c>
    </row>
    <row r="67" spans="2:13" ht="15" hidden="1" customHeight="1" x14ac:dyDescent="0.25">
      <c r="B67" s="48" t="str">
        <f t="shared" ref="B67:D68" si="12">IF(($E61&gt;0),B61,B60)</f>
        <v>per 100 arrests</v>
      </c>
      <c r="C67" s="48">
        <f t="shared" si="12"/>
        <v>1</v>
      </c>
      <c r="D67" s="48">
        <f t="shared" si="12"/>
        <v>0</v>
      </c>
      <c r="E67" s="48">
        <f>MAX(C67:D67)</f>
        <v>1</v>
      </c>
      <c r="G67" s="1" t="str">
        <f>G61</f>
        <v>per 100 arrests</v>
      </c>
      <c r="L67" s="57">
        <f>IF(($E61&gt;0),L61,L60)</f>
        <v>100</v>
      </c>
      <c r="M67" s="57">
        <f>IF((B67=G67),1,2)</f>
        <v>1</v>
      </c>
    </row>
    <row r="68" spans="2:13" ht="15" hidden="1" customHeight="1" x14ac:dyDescent="0.25">
      <c r="B68" s="48" t="str">
        <f t="shared" si="12"/>
        <v>per 100 referrals</v>
      </c>
      <c r="C68" s="48">
        <f t="shared" si="12"/>
        <v>1.27</v>
      </c>
      <c r="D68" s="48">
        <f t="shared" si="12"/>
        <v>0</v>
      </c>
      <c r="E68" s="48">
        <f>MAX(C68:D68)</f>
        <v>1.27</v>
      </c>
      <c r="G68" s="1" t="str">
        <f>G62</f>
        <v>per 100 referrals</v>
      </c>
      <c r="L68" s="57">
        <f>IF(($E62&gt;0),L62,L61)</f>
        <v>100</v>
      </c>
      <c r="M68" s="57">
        <f>IF((B68=G68),1,2)</f>
        <v>1</v>
      </c>
    </row>
    <row r="69" spans="2:13" ht="15" hidden="1" customHeight="1" x14ac:dyDescent="0.25">
      <c r="B69" s="48" t="str">
        <f>IF(($E63&gt;0),B63,B61)</f>
        <v>per 100 youth petitioned</v>
      </c>
      <c r="C69" s="48">
        <f>IF(($E63&gt;0),C63,C62)</f>
        <v>0.4</v>
      </c>
      <c r="D69" s="48">
        <f>IF(($E63&gt;0),D63,D62)</f>
        <v>0</v>
      </c>
      <c r="E69" s="48">
        <f>MAX(C69:D69)</f>
        <v>0.4</v>
      </c>
      <c r="G69" s="1" t="str">
        <f>G63</f>
        <v>per 100 youth petitioned</v>
      </c>
      <c r="L69" s="57">
        <f>IF(($E63&gt;0),L63,L62)</f>
        <v>100</v>
      </c>
      <c r="M69" s="57">
        <f>IF((B69=G69),1,2)</f>
        <v>1</v>
      </c>
    </row>
    <row r="70" spans="2:13" ht="15" hidden="1" customHeight="1" x14ac:dyDescent="0.25">
      <c r="B70" s="48" t="str">
        <f>IF(($E64&gt;0),B64,B63)</f>
        <v>per 100 youth found delinquent</v>
      </c>
      <c r="C70" s="48">
        <f>IF(($E64&gt;0),C64,C63)</f>
        <v>0.42</v>
      </c>
      <c r="D70" s="48">
        <f>IF(($E64&gt;0),D64,D63)</f>
        <v>0</v>
      </c>
      <c r="E70" s="55">
        <f>MAX(C70:D70)</f>
        <v>0.42</v>
      </c>
      <c r="G70" s="1" t="str">
        <f>G64</f>
        <v>per 100 youth found delinquent</v>
      </c>
      <c r="L70" s="57">
        <f>IF(($E64&gt;0),L64,L63)</f>
        <v>100</v>
      </c>
      <c r="M70" s="57">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59"/>
    </row>
    <row r="83" spans="2:2" ht="15" hidden="1" customHeight="1" x14ac:dyDescent="0.25">
      <c r="B83" s="60"/>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U83"/>
  <sheetViews>
    <sheetView showGridLines="0" showRowColHeaders="0" zoomScale="95" zoomScaleNormal="95" workbookViewId="0">
      <selection activeCell="I5" sqref="I5"/>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7" hidden="1" customWidth="1"/>
    <col min="21" max="21" width="12" style="18" hidden="1" customWidth="1"/>
  </cols>
  <sheetData>
    <row r="1" spans="2:21" ht="27.75" customHeight="1" x14ac:dyDescent="0.25">
      <c r="B1" s="15" t="s">
        <v>29</v>
      </c>
      <c r="D1" s="19" t="s">
        <v>30</v>
      </c>
      <c r="E1" s="13"/>
      <c r="F1" s="211" t="str">
        <f>'Data Entry'!E5</f>
        <v>Hispanic or Latino</v>
      </c>
      <c r="G1" s="211"/>
      <c r="H1" s="211"/>
      <c r="I1" s="211"/>
      <c r="J1" s="211"/>
      <c r="K1" s="8"/>
      <c r="N1" s="20"/>
      <c r="O1" s="20"/>
      <c r="P1" s="20"/>
      <c r="Q1" s="20"/>
      <c r="R1" s="20"/>
    </row>
    <row r="2" spans="2:21" ht="15" customHeight="1" x14ac:dyDescent="0.25">
      <c r="B2" s="4" t="str">
        <f>'Data Entry'!A2</f>
        <v>State: Michigan</v>
      </c>
      <c r="C2" s="4"/>
      <c r="D2" s="4"/>
      <c r="E2" s="4"/>
      <c r="F2" s="4"/>
      <c r="N2" s="20"/>
      <c r="O2" s="20"/>
      <c r="P2" s="20"/>
      <c r="Q2" s="20"/>
      <c r="R2" s="20"/>
    </row>
    <row r="3" spans="2:21" ht="15" customHeight="1" x14ac:dyDescent="0.25">
      <c r="B3" s="4" t="str">
        <f>'Data Entry'!A3</f>
        <v>County: Roscommon</v>
      </c>
      <c r="C3" s="21"/>
      <c r="D3" s="21"/>
      <c r="E3" s="21"/>
      <c r="F3" s="21"/>
      <c r="G3" s="7"/>
      <c r="H3" s="7"/>
      <c r="I3" s="7"/>
      <c r="J3" s="7"/>
      <c r="K3" s="7"/>
      <c r="N3" s="210" t="s">
        <v>31</v>
      </c>
      <c r="O3" s="210"/>
      <c r="P3" s="210"/>
      <c r="Q3" s="210"/>
      <c r="R3" s="210"/>
      <c r="S3" s="210"/>
      <c r="T3" s="210"/>
      <c r="U3" s="210"/>
    </row>
    <row r="4" spans="2:21" ht="24.75" customHeight="1" x14ac:dyDescent="0.25">
      <c r="B4" s="4"/>
      <c r="C4" s="22"/>
      <c r="D4" s="22"/>
      <c r="E4" s="22"/>
      <c r="F4" s="22"/>
      <c r="G4" s="8"/>
      <c r="H4" s="8"/>
      <c r="I4" s="8"/>
      <c r="N4" s="210"/>
      <c r="O4" s="210"/>
      <c r="P4" s="210"/>
      <c r="Q4" s="210"/>
      <c r="R4" s="210"/>
      <c r="S4" s="210"/>
      <c r="T4" s="210"/>
      <c r="U4" s="210"/>
    </row>
    <row r="5" spans="2:21" ht="66.75" customHeight="1" x14ac:dyDescent="0.25">
      <c r="B5" s="23" t="s">
        <v>32</v>
      </c>
      <c r="C5" s="24" t="s">
        <v>33</v>
      </c>
      <c r="D5" s="25" t="s">
        <v>34</v>
      </c>
      <c r="E5" s="24" t="s">
        <v>35</v>
      </c>
      <c r="F5" s="24" t="s">
        <v>36</v>
      </c>
      <c r="G5" s="26" t="s">
        <v>37</v>
      </c>
      <c r="H5" s="24"/>
      <c r="I5" s="24"/>
      <c r="J5" s="24" t="s">
        <v>38</v>
      </c>
      <c r="K5" s="27" t="s">
        <v>39</v>
      </c>
      <c r="L5" s="8" t="s">
        <v>40</v>
      </c>
      <c r="M5" s="8" t="s">
        <v>41</v>
      </c>
      <c r="N5" s="28" t="s">
        <v>42</v>
      </c>
      <c r="O5" s="20" t="s">
        <v>43</v>
      </c>
      <c r="P5" s="20" t="s">
        <v>44</v>
      </c>
      <c r="Q5" s="20" t="s">
        <v>45</v>
      </c>
      <c r="R5" s="20" t="s">
        <v>46</v>
      </c>
      <c r="S5" s="29" t="s">
        <v>47</v>
      </c>
      <c r="T5" s="29" t="s">
        <v>48</v>
      </c>
      <c r="U5" s="30" t="s">
        <v>49</v>
      </c>
    </row>
    <row r="6" spans="2:21" ht="20.25" customHeight="1" x14ac:dyDescent="0.25">
      <c r="B6" s="31" t="str">
        <f>'Data Entry'!A6</f>
        <v xml:space="preserve">1. Population at risk (age 10 through 16) </v>
      </c>
      <c r="C6" s="32">
        <f>'Data Entry'!C6</f>
        <v>1482</v>
      </c>
      <c r="D6" s="33"/>
      <c r="E6" s="32">
        <f>'Data Entry'!E6</f>
        <v>39</v>
      </c>
      <c r="F6" s="33"/>
      <c r="G6" s="34"/>
      <c r="H6" s="35"/>
      <c r="I6" s="36"/>
      <c r="J6" s="37"/>
      <c r="K6" s="36"/>
      <c r="L6" s="1">
        <f>IF( ('Data Entry'!E6&gt;('Data Entry'!B6/100)),1,100)</f>
        <v>1</v>
      </c>
      <c r="M6" s="1" t="s">
        <v>50</v>
      </c>
      <c r="N6" s="20"/>
      <c r="O6" s="20"/>
      <c r="P6" s="20"/>
      <c r="Q6" s="20"/>
      <c r="R6" s="20"/>
      <c r="S6" s="29"/>
      <c r="T6" s="29"/>
      <c r="U6" s="30"/>
    </row>
    <row r="7" spans="2:21" ht="18" customHeight="1" x14ac:dyDescent="0.25">
      <c r="B7" s="31" t="str">
        <f>'Data Entry'!A7</f>
        <v xml:space="preserve">2. Juvenile Arrests </v>
      </c>
      <c r="C7" s="32">
        <f>'Data Entry'!C7</f>
        <v>100</v>
      </c>
      <c r="D7" s="33">
        <f>IF((AND(C66&gt;0,C7&gt;0)),(C7/C66),0)</f>
        <v>67.476383265856953</v>
      </c>
      <c r="E7" s="32">
        <f>'Data Entry'!E7</f>
        <v>0</v>
      </c>
      <c r="F7" s="33">
        <f>IF((AND($E$7&gt;0,$D$66&gt;0)),($E$7/$D$66),0)</f>
        <v>0</v>
      </c>
      <c r="G7" s="38" t="str">
        <f t="shared" ref="G7:G15" si="0">IF(L$6=100,"*",IF(M7=FALSE,"--",IF(K7=20,"**",($F7/$D7))))</f>
        <v>**</v>
      </c>
      <c r="H7" s="39"/>
      <c r="I7" s="40"/>
      <c r="J7" s="39">
        <f>IF((ABS($U7)&gt;Defaults!D$7),1,2)</f>
        <v>2</v>
      </c>
      <c r="K7" s="38">
        <f>IF((AND(N7&gt;Defaults!B$12,(N7+O7)&gt;Defaults!B$13, P7 &gt; Defaults!B$12, (P7+Q7) &gt; Defaults!B$13)),1,20)</f>
        <v>20</v>
      </c>
      <c r="L7" s="1">
        <f t="shared" ref="L7:L15" si="1">(J7*K7+L$6)-1</f>
        <v>40</v>
      </c>
      <c r="M7" s="1" t="b">
        <f t="shared" ref="M7:M15" si="2">(ISNUMBER(J7))</f>
        <v>1</v>
      </c>
      <c r="N7" s="41">
        <f t="shared" ref="N7:N15" si="3">E7</f>
        <v>0</v>
      </c>
      <c r="O7" s="41">
        <f>E6-E7</f>
        <v>39</v>
      </c>
      <c r="P7" s="41">
        <f t="shared" ref="P7:P15" si="4">C7</f>
        <v>100</v>
      </c>
      <c r="Q7" s="41">
        <f>C6-C7</f>
        <v>1382</v>
      </c>
      <c r="R7" s="41">
        <f t="shared" ref="R7:R15" si="5">SUM(N7:Q7)</f>
        <v>1521</v>
      </c>
      <c r="S7" s="29">
        <f t="shared" ref="S7:S15" si="6">R7*((((N7*Q7)-(O7*P7))^2))</f>
        <v>23134410000</v>
      </c>
      <c r="T7" s="29">
        <f t="shared" ref="T7:T15" si="7">(N7+O7)*(P7+Q7)*(N7+P7)*(O7+Q7)</f>
        <v>8213095800</v>
      </c>
      <c r="U7" s="30">
        <f t="shared" ref="U7:U15" si="8">IF((S7&gt;0),S7/T7,"- -")</f>
        <v>2.8167709915182044</v>
      </c>
    </row>
    <row r="8" spans="2:21" ht="18" customHeight="1" x14ac:dyDescent="0.25">
      <c r="B8" s="31" t="str">
        <f>'Data Entry'!A8</f>
        <v>3. Refer to Juvenile Court</v>
      </c>
      <c r="C8" s="32">
        <f>'Data Entry'!C8</f>
        <v>127</v>
      </c>
      <c r="D8" s="33">
        <f>IF((AND(C67&gt;0,C8&gt;0)),(C8/C67),0)</f>
        <v>127</v>
      </c>
      <c r="E8" s="32">
        <f>'Data Entry'!E8</f>
        <v>0</v>
      </c>
      <c r="F8" s="33">
        <f>IF((AND($E$8&gt;0,$D$67&gt;0)),($E8/$D67),0)</f>
        <v>0</v>
      </c>
      <c r="G8" s="38" t="str">
        <f t="shared" si="0"/>
        <v>**</v>
      </c>
      <c r="H8" s="39"/>
      <c r="I8" s="40"/>
      <c r="J8" s="39">
        <f>IF((ABS($U8)&gt;Defaults!D$7),1,2)</f>
        <v>2</v>
      </c>
      <c r="K8" s="38">
        <f>IF((AND(N8&gt;Defaults!B$12,(N8+O8)&gt;Defaults!B$13, P8 &gt; Defaults!B$12, (P8+Q8) &gt; Defaults!B$13)),1,20)</f>
        <v>20</v>
      </c>
      <c r="L8" s="1">
        <f t="shared" si="1"/>
        <v>40</v>
      </c>
      <c r="M8" s="1" t="b">
        <f t="shared" si="2"/>
        <v>1</v>
      </c>
      <c r="N8" s="41">
        <f t="shared" si="3"/>
        <v>0</v>
      </c>
      <c r="O8" s="41">
        <f>((D67*L67)-E8)+0.05</f>
        <v>0.05</v>
      </c>
      <c r="P8" s="41">
        <f t="shared" si="4"/>
        <v>127</v>
      </c>
      <c r="Q8" s="41">
        <f>(C$67*L67)-C8</f>
        <v>-27</v>
      </c>
      <c r="R8" s="41">
        <f t="shared" si="5"/>
        <v>100.05</v>
      </c>
      <c r="S8" s="29">
        <f t="shared" si="6"/>
        <v>4034.2661250000006</v>
      </c>
      <c r="T8" s="29">
        <f t="shared" si="7"/>
        <v>-17113.25</v>
      </c>
      <c r="U8" s="30">
        <f t="shared" si="8"/>
        <v>-0.23573933209647499</v>
      </c>
    </row>
    <row r="9" spans="2:21" ht="18" customHeight="1" x14ac:dyDescent="0.25">
      <c r="B9" s="31" t="str">
        <f>'Data Entry'!A9</f>
        <v xml:space="preserve">4. Cases Diverted </v>
      </c>
      <c r="C9" s="32">
        <f>'Data Entry'!C9</f>
        <v>0</v>
      </c>
      <c r="D9" s="33">
        <f>IF((AND(C68&gt;0,C9&gt;0)),((C9/C68)),0)</f>
        <v>0</v>
      </c>
      <c r="E9" s="32">
        <f>'Data Entry'!E9</f>
        <v>0</v>
      </c>
      <c r="F9" s="33">
        <f>IF((AND($E$9&gt;0,$D$68&gt;0)),(($E$9/$D$68)),0)</f>
        <v>0</v>
      </c>
      <c r="G9" s="38" t="str">
        <f t="shared" si="0"/>
        <v>--</v>
      </c>
      <c r="H9" s="39"/>
      <c r="I9" s="40"/>
      <c r="J9" s="39" t="e">
        <f>IF((ABS($U9)&gt;Defaults!D$7),1,2)</f>
        <v>#VALUE!</v>
      </c>
      <c r="K9" s="38">
        <f>IF((AND(N9&gt;Defaults!B$12,(N9+O9)&gt;Defaults!B$13, P9 &gt; Defaults!B$12, (P9+Q9) &gt; Defaults!B$13)),1,20)</f>
        <v>20</v>
      </c>
      <c r="L9" s="1" t="e">
        <f t="shared" si="1"/>
        <v>#VALUE!</v>
      </c>
      <c r="M9" s="1" t="b">
        <f t="shared" si="2"/>
        <v>0</v>
      </c>
      <c r="N9" s="41">
        <f t="shared" si="3"/>
        <v>0</v>
      </c>
      <c r="O9" s="41">
        <f>(D$68*L68)-E9</f>
        <v>0</v>
      </c>
      <c r="P9" s="41">
        <f t="shared" si="4"/>
        <v>0</v>
      </c>
      <c r="Q9" s="41">
        <f>(C$68*L68)-C9</f>
        <v>127</v>
      </c>
      <c r="R9" s="41">
        <f t="shared" si="5"/>
        <v>127</v>
      </c>
      <c r="S9" s="29">
        <f t="shared" si="6"/>
        <v>0</v>
      </c>
      <c r="T9" s="29">
        <f t="shared" si="7"/>
        <v>0</v>
      </c>
      <c r="U9" s="30" t="str">
        <f t="shared" si="8"/>
        <v>- -</v>
      </c>
    </row>
    <row r="10" spans="2:21" ht="18" customHeight="1" x14ac:dyDescent="0.25">
      <c r="B10" s="31" t="str">
        <f>'Data Entry'!A10</f>
        <v>5. Cases Involving Secure Detention</v>
      </c>
      <c r="C10" s="32">
        <f>'Data Entry'!C10</f>
        <v>9</v>
      </c>
      <c r="D10" s="33">
        <f>IF(((AND(C68&gt;0,C10&gt;0))),(C10/(C68)),0)</f>
        <v>7.0866141732283463</v>
      </c>
      <c r="E10" s="32">
        <f>'Data Entry'!E10</f>
        <v>0</v>
      </c>
      <c r="F10" s="33">
        <f>IF(((AND($E$10&gt;0,$D$68&gt;0))),($E$10/($D$68)),0)</f>
        <v>0</v>
      </c>
      <c r="G10" s="38" t="str">
        <f t="shared" si="0"/>
        <v>--</v>
      </c>
      <c r="H10" s="39"/>
      <c r="I10" s="40"/>
      <c r="J10" s="39" t="e">
        <f>IF((ABS($U10)&gt;Defaults!D$7),1,2)</f>
        <v>#VALUE!</v>
      </c>
      <c r="K10" s="38">
        <f>IF((AND(N10&gt;Defaults!B$12,(N10+O10)&gt;Defaults!B$13, P10 &gt; Defaults!B$12, (P10+Q10) &gt; Defaults!B$13)),1,20)</f>
        <v>20</v>
      </c>
      <c r="L10" s="1" t="e">
        <f t="shared" si="1"/>
        <v>#VALUE!</v>
      </c>
      <c r="M10" s="1" t="b">
        <f t="shared" si="2"/>
        <v>0</v>
      </c>
      <c r="N10" s="41">
        <f t="shared" si="3"/>
        <v>0</v>
      </c>
      <c r="O10" s="41">
        <f>(D$68*L68)-E10</f>
        <v>0</v>
      </c>
      <c r="P10" s="41">
        <f t="shared" si="4"/>
        <v>9</v>
      </c>
      <c r="Q10" s="41">
        <f>(C$68*L68)-C10</f>
        <v>118</v>
      </c>
      <c r="R10" s="41">
        <f t="shared" si="5"/>
        <v>127</v>
      </c>
      <c r="S10" s="29">
        <f t="shared" si="6"/>
        <v>0</v>
      </c>
      <c r="T10" s="29">
        <f t="shared" si="7"/>
        <v>0</v>
      </c>
      <c r="U10" s="30" t="str">
        <f t="shared" si="8"/>
        <v>- -</v>
      </c>
    </row>
    <row r="11" spans="2:21" ht="18" customHeight="1" x14ac:dyDescent="0.25">
      <c r="B11" s="31" t="str">
        <f>'Data Entry'!A11</f>
        <v>6. Cases Petitioned (Charge Filed)</v>
      </c>
      <c r="C11" s="32">
        <f>'Data Entry'!C11</f>
        <v>40</v>
      </c>
      <c r="D11" s="33">
        <f>IF(((AND(C68&gt;0,C11&gt;0))),(C11/(C68)),0)</f>
        <v>31.496062992125985</v>
      </c>
      <c r="E11" s="32">
        <f>'Data Entry'!E11</f>
        <v>0</v>
      </c>
      <c r="F11" s="33">
        <f>IF(((AND($E$11&gt;0,$D$68&gt;0))),($E$11/($D$68)),0)</f>
        <v>0</v>
      </c>
      <c r="G11" s="38" t="str">
        <f t="shared" si="0"/>
        <v>--</v>
      </c>
      <c r="H11" s="39"/>
      <c r="I11" s="40"/>
      <c r="J11" s="39" t="e">
        <f>IF((ABS($U11)&gt;Defaults!D$7),1,2)</f>
        <v>#VALUE!</v>
      </c>
      <c r="K11" s="38">
        <f>IF((AND(N11&gt;Defaults!B$12,(N11+O11)&gt;Defaults!B$13, P11 &gt; Defaults!B$12, (P11+Q11) &gt; Defaults!B$13)),1,20)</f>
        <v>20</v>
      </c>
      <c r="L11" s="1" t="e">
        <f t="shared" si="1"/>
        <v>#VALUE!</v>
      </c>
      <c r="M11" s="1" t="b">
        <f t="shared" si="2"/>
        <v>0</v>
      </c>
      <c r="N11" s="41">
        <f t="shared" si="3"/>
        <v>0</v>
      </c>
      <c r="O11" s="41">
        <f>(D$68*L68)-E11</f>
        <v>0</v>
      </c>
      <c r="P11" s="41">
        <f t="shared" si="4"/>
        <v>40</v>
      </c>
      <c r="Q11" s="41">
        <f>(C$68*L68)-C11</f>
        <v>87</v>
      </c>
      <c r="R11" s="41">
        <f t="shared" si="5"/>
        <v>127</v>
      </c>
      <c r="S11" s="29">
        <f t="shared" si="6"/>
        <v>0</v>
      </c>
      <c r="T11" s="29">
        <f t="shared" si="7"/>
        <v>0</v>
      </c>
      <c r="U11" s="30" t="str">
        <f t="shared" si="8"/>
        <v>- -</v>
      </c>
    </row>
    <row r="12" spans="2:21" ht="18" customHeight="1" x14ac:dyDescent="0.25">
      <c r="B12" s="31" t="str">
        <f>'Data Entry'!A12</f>
        <v>7. Cases Resulting in Delinquent Findings</v>
      </c>
      <c r="C12" s="32">
        <f>'Data Entry'!C12</f>
        <v>42</v>
      </c>
      <c r="D12" s="33">
        <f>IF(((AND(C69&gt;0,C12&gt;0))),(C12/(C69)),0)</f>
        <v>105</v>
      </c>
      <c r="E12" s="32">
        <f>'Data Entry'!E12</f>
        <v>0</v>
      </c>
      <c r="F12" s="33">
        <f>IF(((AND($D$69&gt;0,$E$12&gt;0))),(E12/(D69)),0)</f>
        <v>0</v>
      </c>
      <c r="G12" s="38" t="str">
        <f t="shared" si="0"/>
        <v>--</v>
      </c>
      <c r="H12" s="39"/>
      <c r="I12" s="40"/>
      <c r="J12" s="39" t="e">
        <f>IF((ABS($U12)&gt;Defaults!D$7),1,2)</f>
        <v>#VALUE!</v>
      </c>
      <c r="K12" s="38">
        <f>IF((AND(N12&gt;Defaults!B$12,(N12+O12)&gt;Defaults!B$13, P12 &gt; Defaults!B$12, (P12+Q12) &gt; Defaults!B$13)),1,20)</f>
        <v>20</v>
      </c>
      <c r="L12" s="1" t="e">
        <f t="shared" si="1"/>
        <v>#VALUE!</v>
      </c>
      <c r="M12" s="1" t="b">
        <f t="shared" si="2"/>
        <v>0</v>
      </c>
      <c r="N12" s="41">
        <f t="shared" si="3"/>
        <v>0</v>
      </c>
      <c r="O12" s="41">
        <f>(D69*L69)-E12</f>
        <v>0</v>
      </c>
      <c r="P12" s="41">
        <f t="shared" si="4"/>
        <v>42</v>
      </c>
      <c r="Q12" s="41">
        <f>(C69*L69)-C12</f>
        <v>-2</v>
      </c>
      <c r="R12" s="41">
        <f t="shared" si="5"/>
        <v>40</v>
      </c>
      <c r="S12" s="29">
        <f t="shared" si="6"/>
        <v>0</v>
      </c>
      <c r="T12" s="29">
        <f t="shared" si="7"/>
        <v>0</v>
      </c>
      <c r="U12" s="30" t="str">
        <f t="shared" si="8"/>
        <v>- -</v>
      </c>
    </row>
    <row r="13" spans="2:21" ht="18" customHeight="1" x14ac:dyDescent="0.25">
      <c r="B13" s="31" t="str">
        <f>'Data Entry'!A13</f>
        <v>8. Cases Resulting in Probation Placement</v>
      </c>
      <c r="C13" s="32">
        <f>'Data Entry'!C13</f>
        <v>91</v>
      </c>
      <c r="D13" s="33">
        <f>IF(((AND(C70&gt;0,C13&gt;0))),(C13/(C70)),0)</f>
        <v>216.66666666666669</v>
      </c>
      <c r="E13" s="32">
        <f>'Data Entry'!E13</f>
        <v>0</v>
      </c>
      <c r="F13" s="33">
        <f>IF(((AND($D$70&gt;0,$E$13&gt;0))),($E$13/($D$70)),0)</f>
        <v>0</v>
      </c>
      <c r="G13" s="38" t="str">
        <f t="shared" si="0"/>
        <v>--</v>
      </c>
      <c r="H13" s="39"/>
      <c r="I13" s="40"/>
      <c r="J13" s="39" t="e">
        <f>IF((ABS($U13)&gt;Defaults!D$7),1,2)</f>
        <v>#VALUE!</v>
      </c>
      <c r="K13" s="38">
        <f>IF((AND(N13&gt;Defaults!B$12,(N13+O13)&gt;Defaults!B$13, P13 &gt; Defaults!B$12, (P13+Q13) &gt; Defaults!B$13)),1,20)</f>
        <v>20</v>
      </c>
      <c r="L13" s="1" t="e">
        <f t="shared" si="1"/>
        <v>#VALUE!</v>
      </c>
      <c r="M13" s="1" t="b">
        <f t="shared" si="2"/>
        <v>0</v>
      </c>
      <c r="N13" s="41">
        <f t="shared" si="3"/>
        <v>0</v>
      </c>
      <c r="O13" s="41">
        <f>(D70*L70)-E13</f>
        <v>0</v>
      </c>
      <c r="P13" s="41">
        <f t="shared" si="4"/>
        <v>91</v>
      </c>
      <c r="Q13" s="41">
        <f>(C70*L70)-C13</f>
        <v>-49</v>
      </c>
      <c r="R13" s="41">
        <f t="shared" si="5"/>
        <v>42</v>
      </c>
      <c r="S13" s="29">
        <f t="shared" si="6"/>
        <v>0</v>
      </c>
      <c r="T13" s="29">
        <f t="shared" si="7"/>
        <v>0</v>
      </c>
      <c r="U13" s="30" t="str">
        <f t="shared" si="8"/>
        <v>- -</v>
      </c>
    </row>
    <row r="14" spans="2:21" ht="30.75" customHeight="1" x14ac:dyDescent="0.25">
      <c r="B14" s="31" t="str">
        <f>'Data Entry'!A14</f>
        <v xml:space="preserve">9. Cases Resulting in Confinement in Secure Juvenile Correctional Facilities </v>
      </c>
      <c r="C14" s="32">
        <f>'Data Entry'!C14</f>
        <v>36</v>
      </c>
      <c r="D14" s="33">
        <f>IF(((AND(C70&gt;0,C14&gt;0))), ((C14/(C70))),0)</f>
        <v>85.714285714285722</v>
      </c>
      <c r="E14" s="32">
        <f>'Data Entry'!E14</f>
        <v>0</v>
      </c>
      <c r="F14" s="33">
        <f>IF(((AND($D$70&gt;0,$E$14&gt;0))), (($E$14/($D$70))),0)</f>
        <v>0</v>
      </c>
      <c r="G14" s="38" t="str">
        <f t="shared" si="0"/>
        <v>--</v>
      </c>
      <c r="H14" s="39"/>
      <c r="I14" s="40"/>
      <c r="J14" s="39" t="e">
        <f>IF((ABS($U14)&gt;Defaults!D$7),1,2)</f>
        <v>#VALUE!</v>
      </c>
      <c r="K14" s="38">
        <f>IF((AND(N14&gt;Defaults!B$12,(N14+O14)&gt;Defaults!B$13, P14 &gt; Defaults!B$12, (P14+Q14) &gt; Defaults!B$13)),1,20)</f>
        <v>20</v>
      </c>
      <c r="L14" s="1" t="e">
        <f t="shared" si="1"/>
        <v>#VALUE!</v>
      </c>
      <c r="M14" s="1" t="b">
        <f t="shared" si="2"/>
        <v>0</v>
      </c>
      <c r="N14" s="41">
        <f t="shared" si="3"/>
        <v>0</v>
      </c>
      <c r="O14" s="41">
        <f>(D70*L70)-E14</f>
        <v>0</v>
      </c>
      <c r="P14" s="41">
        <f t="shared" si="4"/>
        <v>36</v>
      </c>
      <c r="Q14" s="41">
        <f>(C70*L70)-C14</f>
        <v>6</v>
      </c>
      <c r="R14" s="41">
        <f t="shared" si="5"/>
        <v>42</v>
      </c>
      <c r="S14" s="29">
        <f t="shared" si="6"/>
        <v>0</v>
      </c>
      <c r="T14" s="29">
        <f t="shared" si="7"/>
        <v>0</v>
      </c>
      <c r="U14" s="30" t="str">
        <f t="shared" si="8"/>
        <v>- -</v>
      </c>
    </row>
    <row r="15" spans="2:21" ht="15.75" customHeight="1" x14ac:dyDescent="0.25">
      <c r="B15" s="31" t="str">
        <f>'Data Entry'!A15</f>
        <v xml:space="preserve">10. Cases Transferred to Adult Court </v>
      </c>
      <c r="C15" s="32">
        <f>'Data Entry'!C15</f>
        <v>0</v>
      </c>
      <c r="D15" s="33">
        <f>IF(((AND(C69&gt;0,C15&gt;0))),((C15/(C69))),0)</f>
        <v>0</v>
      </c>
      <c r="E15" s="32">
        <f>'Data Entry'!E15</f>
        <v>0</v>
      </c>
      <c r="F15" s="33">
        <f>IF(((AND($D$69&gt;0,$E$15&gt;0))),(($E$15/($D$69))),0)</f>
        <v>0</v>
      </c>
      <c r="G15" s="38" t="str">
        <f t="shared" si="0"/>
        <v>--</v>
      </c>
      <c r="H15" s="39"/>
      <c r="I15" s="40"/>
      <c r="J15" s="39" t="e">
        <f>IF((ABS($U15)&gt;Defaults!D$7),1,2)</f>
        <v>#VALUE!</v>
      </c>
      <c r="K15" s="38">
        <f>IF((AND(N15&gt;Defaults!B$12,(N15+O15)&gt;Defaults!B$13, P15 &gt; Defaults!B$12, (P15+Q15) &gt; Defaults!B$13)),1,20)</f>
        <v>20</v>
      </c>
      <c r="L15" s="1" t="e">
        <f t="shared" si="1"/>
        <v>#VALUE!</v>
      </c>
      <c r="M15" s="1" t="b">
        <f t="shared" si="2"/>
        <v>0</v>
      </c>
      <c r="N15" s="41">
        <f t="shared" si="3"/>
        <v>0</v>
      </c>
      <c r="O15" s="41">
        <f>(D69*L69)-E15</f>
        <v>0</v>
      </c>
      <c r="P15" s="41">
        <f t="shared" si="4"/>
        <v>0</v>
      </c>
      <c r="Q15" s="41">
        <f>(C69*L69)-C15</f>
        <v>40</v>
      </c>
      <c r="R15" s="41">
        <f t="shared" si="5"/>
        <v>40</v>
      </c>
      <c r="S15" s="29">
        <f t="shared" si="6"/>
        <v>0</v>
      </c>
      <c r="T15" s="29">
        <f t="shared" si="7"/>
        <v>0</v>
      </c>
      <c r="U15" s="30" t="str">
        <f t="shared" si="8"/>
        <v>- -</v>
      </c>
    </row>
    <row r="16" spans="2:21" ht="12" customHeight="1" x14ac:dyDescent="0.25">
      <c r="B16" s="42" t="s">
        <v>93</v>
      </c>
      <c r="C16" s="43"/>
      <c r="D16" s="43"/>
      <c r="E16" s="43"/>
      <c r="F16" s="43"/>
      <c r="G16" s="43"/>
      <c r="H16" s="43"/>
      <c r="I16" s="43"/>
      <c r="N16" s="20"/>
      <c r="O16" s="20"/>
      <c r="P16" s="20"/>
      <c r="Q16" s="20"/>
      <c r="R16" s="20"/>
      <c r="S16" s="29"/>
      <c r="T16" s="29"/>
      <c r="U16" s="30"/>
    </row>
    <row r="17" spans="2:21" ht="12" customHeight="1" x14ac:dyDescent="0.25">
      <c r="B17" s="42"/>
      <c r="C17" s="43"/>
      <c r="D17" s="43"/>
      <c r="E17" s="43"/>
      <c r="F17" s="43"/>
      <c r="G17" s="43"/>
      <c r="H17" s="43"/>
      <c r="I17" s="43"/>
      <c r="N17" s="20"/>
      <c r="O17" s="20"/>
      <c r="P17" s="20"/>
      <c r="Q17" s="20"/>
      <c r="R17" s="20"/>
      <c r="S17" s="29"/>
      <c r="T17" s="29"/>
      <c r="U17" s="30"/>
    </row>
    <row r="18" spans="2:21" ht="15" customHeight="1" x14ac:dyDescent="0.25">
      <c r="B18" s="1" t="s">
        <v>52</v>
      </c>
    </row>
    <row r="19" spans="2:21" ht="15" customHeight="1" x14ac:dyDescent="0.25">
      <c r="B19" s="1" t="s">
        <v>53</v>
      </c>
      <c r="D19" s="44" t="s">
        <v>54</v>
      </c>
    </row>
    <row r="20" spans="2:21" ht="15" customHeight="1" x14ac:dyDescent="0.25">
      <c r="B20" s="1" t="s">
        <v>55</v>
      </c>
      <c r="D20" s="1" t="s">
        <v>56</v>
      </c>
    </row>
    <row r="21" spans="2:21" ht="15" customHeight="1" x14ac:dyDescent="0.25">
      <c r="B21" s="1" t="s">
        <v>57</v>
      </c>
      <c r="D21" s="1" t="s">
        <v>58</v>
      </c>
    </row>
    <row r="22" spans="2:21" ht="15" customHeight="1" x14ac:dyDescent="0.25">
      <c r="B22" s="1" t="s">
        <v>59</v>
      </c>
      <c r="D22" s="1" t="s">
        <v>60</v>
      </c>
    </row>
    <row r="23" spans="2:21" ht="15" customHeight="1" x14ac:dyDescent="0.25">
      <c r="B23" s="1" t="s">
        <v>61</v>
      </c>
      <c r="D23" s="1" t="s">
        <v>62</v>
      </c>
    </row>
    <row r="24" spans="2:21" ht="11.25" customHeight="1" x14ac:dyDescent="0.25">
      <c r="B24" s="61"/>
      <c r="C24" s="61"/>
      <c r="D24" s="61"/>
      <c r="E24" s="61"/>
      <c r="F24" s="61"/>
      <c r="G24" s="61"/>
      <c r="H24" s="61"/>
      <c r="I24" s="61"/>
      <c r="K24" s="1" t="s">
        <v>94</v>
      </c>
      <c r="L24" s="1" t="s">
        <v>95</v>
      </c>
      <c r="N24" s="20"/>
      <c r="O24" s="20"/>
      <c r="P24" s="20"/>
      <c r="Q24" s="20"/>
      <c r="R24" s="20"/>
      <c r="S24" s="29"/>
      <c r="T24" s="29"/>
      <c r="U24" s="30"/>
    </row>
    <row r="25" spans="2:21" ht="15" customHeight="1" x14ac:dyDescent="0.25">
      <c r="B25" s="45" t="s">
        <v>63</v>
      </c>
      <c r="K25" s="1" t="s">
        <v>64</v>
      </c>
      <c r="L25" s="1" t="s">
        <v>65</v>
      </c>
      <c r="N25" s="20"/>
      <c r="O25" s="20" t="b">
        <f>ISBLANK(N12)</f>
        <v>0</v>
      </c>
      <c r="P25" s="20"/>
      <c r="Q25" s="20"/>
      <c r="R25" s="20"/>
    </row>
    <row r="26" spans="2:21" ht="15" customHeight="1" x14ac:dyDescent="0.25">
      <c r="B26" s="46" t="s">
        <v>66</v>
      </c>
      <c r="F26" s="46" t="s">
        <v>67</v>
      </c>
      <c r="G26" s="46"/>
      <c r="H26" s="46"/>
      <c r="I26" s="46"/>
      <c r="J26" s="46"/>
      <c r="K26" s="47" t="s">
        <v>62</v>
      </c>
      <c r="L26" s="47" t="s">
        <v>68</v>
      </c>
      <c r="M26" s="47"/>
      <c r="R26" s="48"/>
    </row>
    <row r="27" spans="2:21" ht="15" customHeight="1" x14ac:dyDescent="0.25">
      <c r="B27" s="49" t="s">
        <v>69</v>
      </c>
      <c r="C27" s="49"/>
      <c r="D27" s="49"/>
      <c r="E27" s="49"/>
      <c r="F27" s="49" t="str">
        <f>B66</f>
        <v>per 1000 youth</v>
      </c>
      <c r="G27" s="49"/>
      <c r="H27" s="49"/>
      <c r="I27" s="49"/>
      <c r="J27" s="49">
        <f>F66</f>
        <v>0</v>
      </c>
      <c r="K27" s="49" t="s">
        <v>60</v>
      </c>
      <c r="L27" s="50" t="s">
        <v>70</v>
      </c>
      <c r="R27" s="48"/>
    </row>
    <row r="28" spans="2:21" ht="15" customHeight="1" x14ac:dyDescent="0.25">
      <c r="B28" s="49" t="s">
        <v>71</v>
      </c>
      <c r="C28" s="49"/>
      <c r="D28" s="49"/>
      <c r="E28" s="49"/>
      <c r="F28" s="51" t="str">
        <f>B67</f>
        <v>per 100 arrests</v>
      </c>
      <c r="G28" s="51"/>
      <c r="H28" s="51"/>
      <c r="I28" s="51"/>
      <c r="J28" s="51"/>
      <c r="K28" s="51" t="s">
        <v>58</v>
      </c>
      <c r="L28" s="52" t="s">
        <v>72</v>
      </c>
      <c r="R28" s="48"/>
    </row>
    <row r="29" spans="2:21" ht="15" customHeight="1" x14ac:dyDescent="0.25">
      <c r="B29" s="51" t="s">
        <v>73</v>
      </c>
      <c r="C29" s="51"/>
      <c r="D29" s="51"/>
      <c r="E29" s="51"/>
      <c r="F29" s="51" t="str">
        <f>B68</f>
        <v>per 100 referrals</v>
      </c>
      <c r="G29" s="51"/>
      <c r="H29" s="51"/>
      <c r="I29" s="51"/>
      <c r="J29" s="51"/>
      <c r="K29" s="51"/>
      <c r="L29" s="52"/>
      <c r="R29" s="48"/>
    </row>
    <row r="30" spans="2:21" ht="15" customHeight="1" x14ac:dyDescent="0.25">
      <c r="B30" s="51" t="s">
        <v>74</v>
      </c>
      <c r="C30" s="51"/>
      <c r="D30" s="51"/>
      <c r="E30" s="51"/>
      <c r="F30" s="51" t="str">
        <f>B68</f>
        <v>per 100 referrals</v>
      </c>
      <c r="G30" s="51"/>
      <c r="H30" s="51"/>
      <c r="I30" s="51"/>
      <c r="J30" s="51"/>
      <c r="K30" s="51"/>
      <c r="L30" s="52"/>
      <c r="N30" s="1" t="b">
        <f>ISNUMBER(J14)</f>
        <v>0</v>
      </c>
      <c r="R30" s="48"/>
    </row>
    <row r="31" spans="2:21" ht="15" customHeight="1" x14ac:dyDescent="0.25">
      <c r="B31" s="51" t="s">
        <v>75</v>
      </c>
      <c r="C31" s="51"/>
      <c r="D31" s="51"/>
      <c r="E31" s="51"/>
      <c r="F31" s="51" t="str">
        <f>B68</f>
        <v>per 100 referrals</v>
      </c>
      <c r="G31" s="51"/>
      <c r="H31" s="51"/>
      <c r="I31" s="51"/>
      <c r="J31" s="51"/>
      <c r="K31" s="51"/>
      <c r="L31" s="52"/>
      <c r="R31" s="48"/>
    </row>
    <row r="32" spans="2:21" ht="15" customHeight="1" x14ac:dyDescent="0.25">
      <c r="B32" s="51" t="s">
        <v>76</v>
      </c>
      <c r="C32" s="51"/>
      <c r="D32" s="51"/>
      <c r="E32" s="51"/>
      <c r="F32" s="51" t="str">
        <f>B69</f>
        <v>per 100 youth petitioned</v>
      </c>
      <c r="G32" s="51"/>
      <c r="H32" s="51"/>
      <c r="I32" s="51"/>
      <c r="J32" s="51"/>
      <c r="K32" s="51"/>
      <c r="L32" s="52"/>
      <c r="R32" s="48"/>
    </row>
    <row r="33" spans="2:18" ht="15" customHeight="1" x14ac:dyDescent="0.25">
      <c r="B33" s="51" t="s">
        <v>77</v>
      </c>
      <c r="C33" s="51"/>
      <c r="D33" s="51"/>
      <c r="E33" s="51"/>
      <c r="F33" s="51" t="str">
        <f>B70</f>
        <v>per 100 youth found delinquent</v>
      </c>
      <c r="G33" s="51"/>
      <c r="H33" s="51"/>
      <c r="I33" s="51"/>
      <c r="J33" s="51"/>
      <c r="K33" s="51"/>
      <c r="L33" s="52"/>
      <c r="R33" s="48"/>
    </row>
    <row r="34" spans="2:18" ht="15" customHeight="1" x14ac:dyDescent="0.25">
      <c r="B34" s="51" t="s">
        <v>78</v>
      </c>
      <c r="C34" s="51"/>
      <c r="D34" s="51"/>
      <c r="E34" s="51"/>
      <c r="F34" s="51" t="str">
        <f>B70</f>
        <v>per 100 youth found delinquent</v>
      </c>
      <c r="G34" s="51"/>
      <c r="H34" s="51"/>
      <c r="I34" s="51"/>
      <c r="J34" s="51"/>
      <c r="K34" s="51"/>
      <c r="L34" s="52"/>
      <c r="R34" s="48"/>
    </row>
    <row r="35" spans="2:18" ht="15" customHeight="1" x14ac:dyDescent="0.25">
      <c r="B35" s="51" t="s">
        <v>79</v>
      </c>
      <c r="C35" s="51"/>
      <c r="D35" s="51"/>
      <c r="E35" s="51"/>
      <c r="F35" s="51" t="str">
        <f>B69</f>
        <v>per 100 youth petitioned</v>
      </c>
      <c r="G35" s="51"/>
      <c r="H35" s="51"/>
      <c r="I35" s="51"/>
      <c r="J35" s="51"/>
      <c r="K35" s="51"/>
      <c r="L35" s="52"/>
      <c r="R35" s="48"/>
    </row>
    <row r="36" spans="2:18" ht="15" customHeight="1" x14ac:dyDescent="0.25">
      <c r="R36" s="48"/>
    </row>
    <row r="37" spans="2:18" ht="15" customHeight="1" x14ac:dyDescent="0.25">
      <c r="R37" s="48"/>
    </row>
    <row r="38" spans="2:18" ht="15" customHeight="1" x14ac:dyDescent="0.25">
      <c r="R38" s="48"/>
    </row>
    <row r="39" spans="2:18" ht="15" customHeight="1" x14ac:dyDescent="0.25">
      <c r="R39" s="48"/>
    </row>
    <row r="40" spans="2:18" ht="30.75" hidden="1" customHeight="1" x14ac:dyDescent="0.25">
      <c r="B40" s="209" t="s">
        <v>80</v>
      </c>
      <c r="C40" s="209"/>
      <c r="D40" s="209"/>
      <c r="E40" s="209"/>
      <c r="F40" s="209"/>
      <c r="G40" s="209"/>
      <c r="H40" s="209"/>
      <c r="I40" s="209"/>
      <c r="J40" s="209"/>
      <c r="K40" s="8"/>
      <c r="R40" s="48"/>
    </row>
    <row r="41" spans="2:18" ht="15" hidden="1" customHeight="1" x14ac:dyDescent="0.25">
      <c r="B41" s="53" t="s">
        <v>81</v>
      </c>
      <c r="C41" s="53" t="s">
        <v>82</v>
      </c>
      <c r="D41" s="54" t="s">
        <v>83</v>
      </c>
      <c r="E41" s="53" t="s">
        <v>84</v>
      </c>
      <c r="G41" s="53" t="s">
        <v>85</v>
      </c>
      <c r="H41" s="53"/>
      <c r="I41" s="53"/>
      <c r="L41" s="1" t="s">
        <v>86</v>
      </c>
      <c r="R41" s="48"/>
    </row>
    <row r="42" spans="2:18" ht="15" hidden="1" customHeight="1" x14ac:dyDescent="0.25">
      <c r="B42" s="48" t="s">
        <v>87</v>
      </c>
      <c r="C42" s="55">
        <f>C6/1000</f>
        <v>1.482</v>
      </c>
      <c r="D42" s="55">
        <f>E6/1000</f>
        <v>3.9E-2</v>
      </c>
      <c r="E42" s="55">
        <f>MAX(C42:D42)</f>
        <v>1.482</v>
      </c>
      <c r="G42" s="1" t="str">
        <f>B42</f>
        <v>per 1000 youth</v>
      </c>
      <c r="L42" s="56">
        <v>1000</v>
      </c>
      <c r="M42" s="56"/>
      <c r="R42" s="48"/>
    </row>
    <row r="43" spans="2:18" ht="15" hidden="1" customHeight="1" x14ac:dyDescent="0.25">
      <c r="B43" s="48" t="s">
        <v>88</v>
      </c>
      <c r="C43" s="55">
        <f>C7/100</f>
        <v>1</v>
      </c>
      <c r="D43" s="55">
        <f>E7/100</f>
        <v>0</v>
      </c>
      <c r="E43" s="55">
        <f>MAX(C43:D43,0)</f>
        <v>1</v>
      </c>
      <c r="G43" s="1" t="str">
        <f>B43</f>
        <v>per 100 arrests</v>
      </c>
      <c r="L43" s="56">
        <v>100</v>
      </c>
      <c r="M43" s="56"/>
      <c r="R43" s="48"/>
    </row>
    <row r="44" spans="2:18" ht="15" hidden="1" customHeight="1" x14ac:dyDescent="0.25">
      <c r="B44" s="48" t="s">
        <v>89</v>
      </c>
      <c r="C44" s="55">
        <f>C8/100</f>
        <v>1.27</v>
      </c>
      <c r="D44" s="55">
        <f>E8/100</f>
        <v>0</v>
      </c>
      <c r="E44" s="55">
        <f>MAX(C44:D44,0)</f>
        <v>1.27</v>
      </c>
      <c r="G44" s="1" t="str">
        <f>B44</f>
        <v>per 100 referrals</v>
      </c>
      <c r="L44" s="56">
        <v>100</v>
      </c>
      <c r="M44" s="56"/>
      <c r="R44" s="48"/>
    </row>
    <row r="45" spans="2:18" ht="15" hidden="1" customHeight="1" x14ac:dyDescent="0.25">
      <c r="B45" s="48" t="s">
        <v>90</v>
      </c>
      <c r="C45" s="48">
        <f>C11/100</f>
        <v>0.4</v>
      </c>
      <c r="D45" s="48">
        <f>E11/100</f>
        <v>0</v>
      </c>
      <c r="E45" s="55">
        <f>MAX(C45:D45,0)</f>
        <v>0.4</v>
      </c>
      <c r="G45" s="1" t="str">
        <f>B45</f>
        <v>per 100 youth petitioned</v>
      </c>
      <c r="L45" s="56">
        <v>100</v>
      </c>
      <c r="M45" s="56"/>
      <c r="R45" s="48"/>
    </row>
    <row r="46" spans="2:18" ht="15" hidden="1" customHeight="1" x14ac:dyDescent="0.25">
      <c r="B46" s="48" t="s">
        <v>91</v>
      </c>
      <c r="C46" s="48">
        <f>C12/100</f>
        <v>0.42</v>
      </c>
      <c r="D46" s="48">
        <f>E12/100</f>
        <v>0</v>
      </c>
      <c r="E46" s="55">
        <f>MAX(C46:D46)</f>
        <v>0.42</v>
      </c>
      <c r="G46" s="1" t="str">
        <f>B46</f>
        <v>per 100 youth found delinquent</v>
      </c>
      <c r="L46" s="56">
        <v>100</v>
      </c>
      <c r="M46" s="56"/>
      <c r="R46" s="48"/>
    </row>
    <row r="47" spans="2:18" ht="15" hidden="1" customHeight="1" x14ac:dyDescent="0.25">
      <c r="B47" s="8"/>
      <c r="C47" s="8"/>
      <c r="D47" s="8"/>
      <c r="E47" s="8"/>
      <c r="L47" s="56"/>
      <c r="M47" s="56"/>
      <c r="R47" s="48"/>
    </row>
    <row r="48" spans="2:18" ht="15" hidden="1" customHeight="1" x14ac:dyDescent="0.25">
      <c r="B48" s="48" t="str">
        <f>B42</f>
        <v>per 1000 youth</v>
      </c>
      <c r="C48" s="55">
        <f>C42</f>
        <v>1.482</v>
      </c>
      <c r="D48" s="55">
        <f>D42</f>
        <v>3.9E-2</v>
      </c>
      <c r="E48" s="55">
        <f>MAX(C48:D48)</f>
        <v>1.482</v>
      </c>
      <c r="G48" s="1" t="str">
        <f>G42</f>
        <v>per 1000 youth</v>
      </c>
      <c r="L48" s="57">
        <f>L42</f>
        <v>1000</v>
      </c>
      <c r="M48" s="57"/>
      <c r="N48" s="20"/>
      <c r="O48" s="20"/>
      <c r="P48" s="20"/>
      <c r="Q48" s="20"/>
      <c r="R48" s="20"/>
    </row>
    <row r="49" spans="2:18" ht="15" hidden="1" customHeight="1" x14ac:dyDescent="0.25">
      <c r="B49" s="48" t="str">
        <f t="shared" ref="B49:D50" si="9">IF(($E43&gt;0),B43,B42)</f>
        <v>per 100 arrests</v>
      </c>
      <c r="C49" s="48">
        <f t="shared" si="9"/>
        <v>1</v>
      </c>
      <c r="D49" s="48">
        <f t="shared" si="9"/>
        <v>0</v>
      </c>
      <c r="E49" s="48">
        <f>MAX(C49:D49)</f>
        <v>1</v>
      </c>
      <c r="G49" s="1" t="str">
        <f>G43</f>
        <v>per 100 arrests</v>
      </c>
      <c r="L49" s="57">
        <f>IF(($E43&gt;0),L43,L42)</f>
        <v>100</v>
      </c>
      <c r="M49" s="57"/>
      <c r="N49" s="20"/>
      <c r="O49" s="20"/>
      <c r="P49" s="20"/>
      <c r="Q49" s="20"/>
      <c r="R49" s="20"/>
    </row>
    <row r="50" spans="2:18" ht="15" hidden="1" customHeight="1" x14ac:dyDescent="0.25">
      <c r="B50" s="48" t="str">
        <f t="shared" si="9"/>
        <v>per 100 referrals</v>
      </c>
      <c r="C50" s="48">
        <f t="shared" si="9"/>
        <v>1.27</v>
      </c>
      <c r="D50" s="48">
        <f t="shared" si="9"/>
        <v>0</v>
      </c>
      <c r="E50" s="48">
        <f>MAX(C50:D50)</f>
        <v>1.27</v>
      </c>
      <c r="G50" s="1" t="str">
        <f>G44</f>
        <v>per 100 referrals</v>
      </c>
      <c r="L50" s="57">
        <f>IF(($E44&gt;0),L44,L43)</f>
        <v>100</v>
      </c>
      <c r="M50" s="57"/>
      <c r="N50" s="20"/>
      <c r="O50" s="20"/>
      <c r="P50" s="20"/>
      <c r="Q50" s="20"/>
      <c r="R50" s="20"/>
    </row>
    <row r="51" spans="2:18" ht="15" hidden="1" customHeight="1" x14ac:dyDescent="0.25">
      <c r="B51" s="48" t="str">
        <f>IF(($E45&gt;0),B45,B43)</f>
        <v>per 100 youth petitioned</v>
      </c>
      <c r="C51" s="48">
        <f>IF(($E45&gt;0),C45,C44)</f>
        <v>0.4</v>
      </c>
      <c r="D51" s="48">
        <f>IF(($E45&gt;0),D45,D44)</f>
        <v>0</v>
      </c>
      <c r="E51" s="48">
        <f>MAX(C51:D51)</f>
        <v>0.4</v>
      </c>
      <c r="G51" s="1" t="str">
        <f>G45</f>
        <v>per 100 youth petitioned</v>
      </c>
      <c r="L51" s="57">
        <f>IF(($E45&gt;0),L45,L44)</f>
        <v>100</v>
      </c>
      <c r="M51" s="57"/>
    </row>
    <row r="52" spans="2:18" ht="15" hidden="1" customHeight="1" x14ac:dyDescent="0.25">
      <c r="B52" s="48" t="str">
        <f>IF(($E46&gt;0),B46,B45)</f>
        <v>per 100 youth found delinquent</v>
      </c>
      <c r="C52" s="48">
        <f>IF(($E46&gt;0),C46,C45)</f>
        <v>0.42</v>
      </c>
      <c r="D52" s="48">
        <f>IF(($E46&gt;0),D46,D45)</f>
        <v>0</v>
      </c>
      <c r="E52" s="55">
        <f>MAX(C52:D52)</f>
        <v>0.42</v>
      </c>
      <c r="G52" s="1" t="str">
        <f>G46</f>
        <v>per 100 youth found delinquent</v>
      </c>
      <c r="L52" s="57">
        <f>IF(($E46&gt;0),L46,L45)</f>
        <v>100</v>
      </c>
      <c r="M52" s="57"/>
    </row>
    <row r="53" spans="2:18" ht="15" hidden="1" customHeight="1" x14ac:dyDescent="0.25">
      <c r="B53" s="48"/>
      <c r="C53" s="48"/>
      <c r="D53" s="48"/>
      <c r="E53" s="48"/>
      <c r="L53" s="56"/>
      <c r="M53" s="56"/>
    </row>
    <row r="54" spans="2:18" ht="15" hidden="1" customHeight="1" x14ac:dyDescent="0.25">
      <c r="B54" s="48" t="str">
        <f>B48</f>
        <v>per 1000 youth</v>
      </c>
      <c r="C54" s="55">
        <f>C48</f>
        <v>1.482</v>
      </c>
      <c r="D54" s="55">
        <f>D48</f>
        <v>3.9E-2</v>
      </c>
      <c r="E54" s="55">
        <f>MAX(C54:D54)</f>
        <v>1.482</v>
      </c>
      <c r="G54" s="1" t="str">
        <f>G48</f>
        <v>per 1000 youth</v>
      </c>
      <c r="L54" s="57">
        <f>L48</f>
        <v>1000</v>
      </c>
      <c r="M54" s="57"/>
    </row>
    <row r="55" spans="2:18" ht="15" hidden="1" customHeight="1" x14ac:dyDescent="0.25">
      <c r="B55" s="48" t="str">
        <f t="shared" ref="B55:D56" si="10">IF(($E49&gt;0),B49,B48)</f>
        <v>per 100 arrests</v>
      </c>
      <c r="C55" s="48">
        <f t="shared" si="10"/>
        <v>1</v>
      </c>
      <c r="D55" s="48">
        <f t="shared" si="10"/>
        <v>0</v>
      </c>
      <c r="E55" s="48">
        <f>MAX(C55:D55)</f>
        <v>1</v>
      </c>
      <c r="G55" s="1" t="str">
        <f>G49</f>
        <v>per 100 arrests</v>
      </c>
      <c r="L55" s="57">
        <f>IF(($E49&gt;0),L49,L48)</f>
        <v>100</v>
      </c>
      <c r="M55" s="57"/>
    </row>
    <row r="56" spans="2:18" ht="15" hidden="1" customHeight="1" x14ac:dyDescent="0.25">
      <c r="B56" s="48" t="str">
        <f t="shared" si="10"/>
        <v>per 100 referrals</v>
      </c>
      <c r="C56" s="48">
        <f t="shared" si="10"/>
        <v>1.27</v>
      </c>
      <c r="D56" s="48">
        <f t="shared" si="10"/>
        <v>0</v>
      </c>
      <c r="E56" s="48">
        <f>MAX(C56:D56)</f>
        <v>1.27</v>
      </c>
      <c r="G56" s="1" t="str">
        <f>G50</f>
        <v>per 100 referrals</v>
      </c>
      <c r="L56" s="57">
        <f>IF(($E50&gt;0),L50,L49)</f>
        <v>100</v>
      </c>
      <c r="M56" s="57"/>
    </row>
    <row r="57" spans="2:18" ht="15" hidden="1" customHeight="1" x14ac:dyDescent="0.25">
      <c r="B57" s="48" t="str">
        <f>IF(($E51&gt;0),B51,B49)</f>
        <v>per 100 youth petitioned</v>
      </c>
      <c r="C57" s="48">
        <f>IF(($E51&gt;0),C51,C50)</f>
        <v>0.4</v>
      </c>
      <c r="D57" s="48">
        <f>IF(($E51&gt;0),D51,D50)</f>
        <v>0</v>
      </c>
      <c r="E57" s="48">
        <f>MAX(C57:D57)</f>
        <v>0.4</v>
      </c>
      <c r="G57" s="1" t="str">
        <f>G51</f>
        <v>per 100 youth petitioned</v>
      </c>
      <c r="L57" s="57">
        <f>IF(($E51&gt;0),L51,L50)</f>
        <v>100</v>
      </c>
      <c r="M57" s="57"/>
    </row>
    <row r="58" spans="2:18" ht="15" hidden="1" customHeight="1" x14ac:dyDescent="0.25">
      <c r="B58" s="48" t="str">
        <f>IF(($E52&gt;0),B52,B51)</f>
        <v>per 100 youth found delinquent</v>
      </c>
      <c r="C58" s="48">
        <f>IF(($E52&gt;0),C52,C51)</f>
        <v>0.42</v>
      </c>
      <c r="D58" s="48">
        <f>IF(($E52&gt;0),D52,D51)</f>
        <v>0</v>
      </c>
      <c r="E58" s="55">
        <f>MAX(C58:D58)</f>
        <v>0.42</v>
      </c>
      <c r="G58" s="1" t="str">
        <f>G52</f>
        <v>per 100 youth found delinquent</v>
      </c>
      <c r="L58" s="57">
        <f>IF(($E52&gt;0),L52,L51)</f>
        <v>100</v>
      </c>
      <c r="M58" s="57"/>
    </row>
    <row r="59" spans="2:18" ht="15" hidden="1" customHeight="1" x14ac:dyDescent="0.25">
      <c r="B59" s="48"/>
      <c r="C59" s="48"/>
      <c r="D59" s="48"/>
      <c r="E59" s="48"/>
      <c r="L59" s="56"/>
      <c r="M59" s="56"/>
    </row>
    <row r="60" spans="2:18" ht="15" hidden="1" customHeight="1" x14ac:dyDescent="0.25">
      <c r="B60" s="48" t="str">
        <f>B54</f>
        <v>per 1000 youth</v>
      </c>
      <c r="C60" s="55">
        <f>C54</f>
        <v>1.482</v>
      </c>
      <c r="D60" s="55">
        <f>D54</f>
        <v>3.9E-2</v>
      </c>
      <c r="E60" s="55">
        <f>MAX(C60:D60)</f>
        <v>1.482</v>
      </c>
      <c r="G60" s="1" t="str">
        <f>G54</f>
        <v>per 1000 youth</v>
      </c>
      <c r="L60" s="57">
        <f>L54</f>
        <v>1000</v>
      </c>
      <c r="M60" s="57"/>
    </row>
    <row r="61" spans="2:18" ht="15" hidden="1" customHeight="1" x14ac:dyDescent="0.25">
      <c r="B61" s="48" t="str">
        <f t="shared" ref="B61:D62" si="11">IF(($E55&gt;0),B55,B54)</f>
        <v>per 100 arrests</v>
      </c>
      <c r="C61" s="48">
        <f t="shared" si="11"/>
        <v>1</v>
      </c>
      <c r="D61" s="48">
        <f t="shared" si="11"/>
        <v>0</v>
      </c>
      <c r="E61" s="48">
        <f>MAX(C61:D61)</f>
        <v>1</v>
      </c>
      <c r="G61" s="1" t="str">
        <f>G55</f>
        <v>per 100 arrests</v>
      </c>
      <c r="L61" s="57">
        <f>IF(($E55&gt;0),L55,L54)</f>
        <v>100</v>
      </c>
      <c r="M61" s="57"/>
    </row>
    <row r="62" spans="2:18" ht="15" hidden="1" customHeight="1" x14ac:dyDescent="0.25">
      <c r="B62" s="48" t="str">
        <f t="shared" si="11"/>
        <v>per 100 referrals</v>
      </c>
      <c r="C62" s="48">
        <f t="shared" si="11"/>
        <v>1.27</v>
      </c>
      <c r="D62" s="48">
        <f t="shared" si="11"/>
        <v>0</v>
      </c>
      <c r="E62" s="48">
        <f>MAX(C62:D62)</f>
        <v>1.27</v>
      </c>
      <c r="G62" s="1" t="str">
        <f>G56</f>
        <v>per 100 referrals</v>
      </c>
      <c r="L62" s="57">
        <f>IF(($E56&gt;0),L56,L55)</f>
        <v>100</v>
      </c>
      <c r="M62" s="57"/>
    </row>
    <row r="63" spans="2:18" ht="15" hidden="1" customHeight="1" x14ac:dyDescent="0.25">
      <c r="B63" s="48" t="str">
        <f>IF(($E57&gt;0),B57,B55)</f>
        <v>per 100 youth petitioned</v>
      </c>
      <c r="C63" s="48">
        <f>IF(($E57&gt;0),C57,C56)</f>
        <v>0.4</v>
      </c>
      <c r="D63" s="48">
        <f>IF(($E57&gt;0),D57,D56)</f>
        <v>0</v>
      </c>
      <c r="E63" s="48">
        <f>MAX(C63:D63)</f>
        <v>0.4</v>
      </c>
      <c r="G63" s="1" t="str">
        <f>G57</f>
        <v>per 100 youth petitioned</v>
      </c>
      <c r="L63" s="57">
        <f>IF(($E57&gt;0),L57,L56)</f>
        <v>100</v>
      </c>
      <c r="M63" s="57"/>
    </row>
    <row r="64" spans="2:18" ht="15" hidden="1" customHeight="1" x14ac:dyDescent="0.25">
      <c r="B64" s="48" t="str">
        <f>IF(($E58&gt;0),B58,B57)</f>
        <v>per 100 youth found delinquent</v>
      </c>
      <c r="C64" s="48">
        <f>IF(($E58&gt;0),C58,C57)</f>
        <v>0.42</v>
      </c>
      <c r="D64" s="48">
        <f>IF(($E58&gt;0),D58,D57)</f>
        <v>0</v>
      </c>
      <c r="E64" s="55">
        <f>MAX(C64:D64)</f>
        <v>0.42</v>
      </c>
      <c r="G64" s="1" t="str">
        <f>G58</f>
        <v>per 100 youth found delinquent</v>
      </c>
      <c r="L64" s="57">
        <f>IF(($E58&gt;0),L58,L57)</f>
        <v>100</v>
      </c>
      <c r="M64" s="57"/>
    </row>
    <row r="65" spans="2:13" ht="15" hidden="1" customHeight="1" x14ac:dyDescent="0.25">
      <c r="B65" s="58" t="s">
        <v>92</v>
      </c>
      <c r="L65" s="56"/>
      <c r="M65" s="56"/>
    </row>
    <row r="66" spans="2:13" ht="15" hidden="1" customHeight="1" x14ac:dyDescent="0.25">
      <c r="B66" s="48" t="str">
        <f>B60</f>
        <v>per 1000 youth</v>
      </c>
      <c r="C66" s="55">
        <f>C60</f>
        <v>1.482</v>
      </c>
      <c r="D66" s="55">
        <f>D60</f>
        <v>3.9E-2</v>
      </c>
      <c r="E66" s="55">
        <f>MAX(C66:D66)</f>
        <v>1.482</v>
      </c>
      <c r="G66" s="1" t="str">
        <f>G60</f>
        <v>per 1000 youth</v>
      </c>
      <c r="L66" s="57">
        <f>L60</f>
        <v>1000</v>
      </c>
      <c r="M66" s="57">
        <f>IF((B66=G66),1,2)</f>
        <v>1</v>
      </c>
    </row>
    <row r="67" spans="2:13" ht="15" hidden="1" customHeight="1" x14ac:dyDescent="0.25">
      <c r="B67" s="48" t="str">
        <f t="shared" ref="B67:D68" si="12">IF(($E61&gt;0),B61,B60)</f>
        <v>per 100 arrests</v>
      </c>
      <c r="C67" s="48">
        <f t="shared" si="12"/>
        <v>1</v>
      </c>
      <c r="D67" s="48">
        <f t="shared" si="12"/>
        <v>0</v>
      </c>
      <c r="E67" s="48">
        <f>MAX(C67:D67)</f>
        <v>1</v>
      </c>
      <c r="G67" s="1" t="str">
        <f>G61</f>
        <v>per 100 arrests</v>
      </c>
      <c r="L67" s="57">
        <f>IF(($E61&gt;0),L61,L60)</f>
        <v>100</v>
      </c>
      <c r="M67" s="57">
        <f>IF((B67=G67),1,2)</f>
        <v>1</v>
      </c>
    </row>
    <row r="68" spans="2:13" ht="15" hidden="1" customHeight="1" x14ac:dyDescent="0.25">
      <c r="B68" s="48" t="str">
        <f t="shared" si="12"/>
        <v>per 100 referrals</v>
      </c>
      <c r="C68" s="48">
        <f t="shared" si="12"/>
        <v>1.27</v>
      </c>
      <c r="D68" s="48">
        <f t="shared" si="12"/>
        <v>0</v>
      </c>
      <c r="E68" s="48">
        <f>MAX(C68:D68)</f>
        <v>1.27</v>
      </c>
      <c r="G68" s="1" t="str">
        <f>G62</f>
        <v>per 100 referrals</v>
      </c>
      <c r="L68" s="57">
        <f>IF(($E62&gt;0),L62,L61)</f>
        <v>100</v>
      </c>
      <c r="M68" s="57">
        <f>IF((B68=G68),1,2)</f>
        <v>1</v>
      </c>
    </row>
    <row r="69" spans="2:13" ht="15" hidden="1" customHeight="1" x14ac:dyDescent="0.25">
      <c r="B69" s="48" t="str">
        <f>IF(($E63&gt;0),B63,B61)</f>
        <v>per 100 youth petitioned</v>
      </c>
      <c r="C69" s="48">
        <f>IF(($E63&gt;0),C63,C62)</f>
        <v>0.4</v>
      </c>
      <c r="D69" s="48">
        <f>IF(($E63&gt;0),D63,D62)</f>
        <v>0</v>
      </c>
      <c r="E69" s="48">
        <f>MAX(C69:D69)</f>
        <v>0.4</v>
      </c>
      <c r="G69" s="1" t="str">
        <f>G63</f>
        <v>per 100 youth petitioned</v>
      </c>
      <c r="L69" s="57">
        <f>IF(($E63&gt;0),L63,L62)</f>
        <v>100</v>
      </c>
      <c r="M69" s="57">
        <f>IF((B69=G69),1,2)</f>
        <v>1</v>
      </c>
    </row>
    <row r="70" spans="2:13" ht="15" hidden="1" customHeight="1" x14ac:dyDescent="0.25">
      <c r="B70" s="48" t="str">
        <f>IF(($E64&gt;0),B64,B63)</f>
        <v>per 100 youth found delinquent</v>
      </c>
      <c r="C70" s="48">
        <f>IF(($E64&gt;0),C64,C63)</f>
        <v>0.42</v>
      </c>
      <c r="D70" s="48">
        <f>IF(($E64&gt;0),D64,D63)</f>
        <v>0</v>
      </c>
      <c r="E70" s="55">
        <f>MAX(C70:D70)</f>
        <v>0.42</v>
      </c>
      <c r="G70" s="1" t="str">
        <f>G64</f>
        <v>per 100 youth found delinquent</v>
      </c>
      <c r="L70" s="57">
        <f>IF(($E64&gt;0),L64,L63)</f>
        <v>100</v>
      </c>
      <c r="M70" s="57">
        <f>IF((B70=G70),1,2)</f>
        <v>1</v>
      </c>
    </row>
    <row r="82" spans="2:2" ht="15" customHeight="1" x14ac:dyDescent="0.25">
      <c r="B82" s="59"/>
    </row>
    <row r="83" spans="2:2" ht="15" customHeight="1" x14ac:dyDescent="0.25">
      <c r="B83" s="60"/>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0"/>
  <sheetViews>
    <sheetView showGridLines="0" showRowColHeaders="0" zoomScale="95" zoomScaleNormal="95" workbookViewId="0">
      <selection activeCell="I5" sqref="I5"/>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7" hidden="1" customWidth="1"/>
    <col min="21" max="21" width="12" style="18" hidden="1" customWidth="1"/>
    <col min="22" max="27" width="0" style="1" hidden="1" customWidth="1"/>
  </cols>
  <sheetData>
    <row r="1" spans="2:21" ht="27.75" customHeight="1" x14ac:dyDescent="0.25">
      <c r="B1" s="15" t="s">
        <v>29</v>
      </c>
      <c r="D1" s="19" t="s">
        <v>30</v>
      </c>
      <c r="E1" s="13"/>
      <c r="F1" s="211" t="str">
        <f>'Data Entry'!G5</f>
        <v>Native Hawaiian or Other Pacific Islanders</v>
      </c>
      <c r="G1" s="211"/>
      <c r="H1" s="211"/>
      <c r="I1" s="211"/>
      <c r="J1" s="211"/>
      <c r="K1" s="8"/>
      <c r="N1" s="20"/>
      <c r="O1" s="20"/>
      <c r="P1" s="20"/>
      <c r="Q1" s="20"/>
      <c r="R1" s="20"/>
    </row>
    <row r="2" spans="2:21" ht="15" customHeight="1" x14ac:dyDescent="0.25">
      <c r="B2" s="4" t="str">
        <f>'Data Entry'!A2</f>
        <v>State: Michigan</v>
      </c>
      <c r="C2" s="4"/>
      <c r="D2" s="4"/>
      <c r="E2" s="4"/>
      <c r="F2" s="4"/>
      <c r="N2" s="20"/>
      <c r="O2" s="20"/>
      <c r="P2" s="20"/>
      <c r="Q2" s="20"/>
      <c r="R2" s="20"/>
    </row>
    <row r="3" spans="2:21" ht="15" customHeight="1" x14ac:dyDescent="0.25">
      <c r="B3" s="4" t="str">
        <f>'Data Entry'!A3</f>
        <v>County: Roscommon</v>
      </c>
      <c r="C3" s="21"/>
      <c r="D3" s="21"/>
      <c r="E3" s="21"/>
      <c r="F3" s="21"/>
      <c r="G3" s="7"/>
      <c r="H3" s="7"/>
      <c r="I3" s="7"/>
      <c r="J3" s="7"/>
      <c r="K3" s="7"/>
      <c r="N3" s="210" t="s">
        <v>31</v>
      </c>
      <c r="O3" s="210"/>
      <c r="P3" s="210"/>
      <c r="Q3" s="210"/>
      <c r="R3" s="210"/>
      <c r="S3" s="210"/>
      <c r="T3" s="210"/>
      <c r="U3" s="210"/>
    </row>
    <row r="4" spans="2:21" ht="8.25" customHeight="1" x14ac:dyDescent="0.25">
      <c r="B4" s="4"/>
      <c r="C4" s="22"/>
      <c r="D4" s="22"/>
      <c r="E4" s="22"/>
      <c r="F4" s="22"/>
      <c r="G4" s="8"/>
      <c r="H4" s="8"/>
      <c r="I4" s="8"/>
      <c r="N4" s="210"/>
      <c r="O4" s="210"/>
      <c r="P4" s="210"/>
      <c r="Q4" s="210"/>
      <c r="R4" s="210"/>
      <c r="S4" s="210"/>
      <c r="T4" s="210"/>
      <c r="U4" s="210"/>
    </row>
    <row r="5" spans="2:21" ht="66.75" customHeight="1" x14ac:dyDescent="0.25">
      <c r="B5" s="23" t="s">
        <v>32</v>
      </c>
      <c r="C5" s="24" t="s">
        <v>33</v>
      </c>
      <c r="D5" s="25" t="s">
        <v>34</v>
      </c>
      <c r="E5" s="24" t="s">
        <v>35</v>
      </c>
      <c r="F5" s="24" t="s">
        <v>36</v>
      </c>
      <c r="G5" s="26" t="s">
        <v>37</v>
      </c>
      <c r="H5" s="24"/>
      <c r="I5" s="24"/>
      <c r="J5" s="24" t="s">
        <v>38</v>
      </c>
      <c r="K5" s="27" t="s">
        <v>39</v>
      </c>
      <c r="L5" s="8" t="s">
        <v>40</v>
      </c>
      <c r="M5" s="8" t="s">
        <v>41</v>
      </c>
      <c r="N5" s="28" t="s">
        <v>42</v>
      </c>
      <c r="O5" s="20" t="s">
        <v>43</v>
      </c>
      <c r="P5" s="20" t="s">
        <v>44</v>
      </c>
      <c r="Q5" s="20" t="s">
        <v>45</v>
      </c>
      <c r="R5" s="20" t="s">
        <v>46</v>
      </c>
      <c r="S5" s="29" t="s">
        <v>47</v>
      </c>
      <c r="T5" s="29" t="s">
        <v>48</v>
      </c>
      <c r="U5" s="30" t="s">
        <v>49</v>
      </c>
    </row>
    <row r="6" spans="2:21" ht="20.25" customHeight="1" x14ac:dyDescent="0.25">
      <c r="B6" s="31" t="str">
        <f>'Data Entry'!A6</f>
        <v xml:space="preserve">1. Population at risk (age 10 through 16) </v>
      </c>
      <c r="C6" s="32">
        <f>'Data Entry'!C6</f>
        <v>1482</v>
      </c>
      <c r="D6" s="33"/>
      <c r="E6" s="32">
        <f>'Data Entry'!G6</f>
        <v>0</v>
      </c>
      <c r="F6" s="33"/>
      <c r="G6" s="34"/>
      <c r="H6" s="35"/>
      <c r="I6" s="36"/>
      <c r="J6" s="37"/>
      <c r="K6" s="36"/>
      <c r="L6" s="1">
        <f>IF( ('Data Entry'!G6&gt;('Data Entry'!B6/100)),1,100)</f>
        <v>100</v>
      </c>
      <c r="M6" s="1" t="s">
        <v>50</v>
      </c>
      <c r="N6" s="20"/>
      <c r="O6" s="20"/>
      <c r="P6" s="20"/>
      <c r="Q6" s="20"/>
      <c r="R6" s="20"/>
      <c r="S6" s="29"/>
      <c r="T6" s="29"/>
      <c r="U6" s="30"/>
    </row>
    <row r="7" spans="2:21" ht="18" customHeight="1" x14ac:dyDescent="0.25">
      <c r="B7" s="31" t="str">
        <f>'Data Entry'!A7</f>
        <v xml:space="preserve">2. Juvenile Arrests </v>
      </c>
      <c r="C7" s="32">
        <f>'Data Entry'!C7</f>
        <v>100</v>
      </c>
      <c r="D7" s="33">
        <f>IF((AND(C66&gt;0,C7&gt;0)),(C7/C66),0)</f>
        <v>67.476383265856953</v>
      </c>
      <c r="E7" s="32">
        <f>'Data Entry'!G7</f>
        <v>0</v>
      </c>
      <c r="F7" s="33">
        <f>IF((AND($E$7&gt;0,$D$66&gt;0)),($E$7/$D$66),0)</f>
        <v>0</v>
      </c>
      <c r="G7" s="38" t="str">
        <f t="shared" ref="G7:G15" si="0">IF(L$6=100,"*",IF(M7=FALSE,"--",IF(K7=20,"**",($F7/$D7))))</f>
        <v>*</v>
      </c>
      <c r="H7" s="39"/>
      <c r="I7" s="40"/>
      <c r="J7" s="39" t="e">
        <f>IF((ABS($U7)&gt;Defaults!D$7),1,2)</f>
        <v>#VALUE!</v>
      </c>
      <c r="K7" s="38">
        <f>IF((AND(N7&gt;Defaults!B$12,(N7+O7)&gt;Defaults!B$13, P7 &gt; Defaults!B$12, (P7+Q7) &gt; Defaults!B$13)),1,20)</f>
        <v>20</v>
      </c>
      <c r="L7" s="1" t="e">
        <f t="shared" ref="L7:L15" si="1">(J7*K7+L$6)-1</f>
        <v>#VALUE!</v>
      </c>
      <c r="M7" s="1" t="b">
        <f t="shared" ref="M7:M15" si="2">(ISNUMBER(J7))</f>
        <v>0</v>
      </c>
      <c r="N7" s="41">
        <f t="shared" ref="N7:N15" si="3">E7</f>
        <v>0</v>
      </c>
      <c r="O7" s="41">
        <f>E6-E7</f>
        <v>0</v>
      </c>
      <c r="P7" s="41">
        <f t="shared" ref="P7:P15" si="4">C7</f>
        <v>100</v>
      </c>
      <c r="Q7" s="41">
        <f>C6-C7</f>
        <v>1382</v>
      </c>
      <c r="R7" s="41">
        <f t="shared" ref="R7:R15" si="5">SUM(N7:Q7)</f>
        <v>1482</v>
      </c>
      <c r="S7" s="29">
        <f t="shared" ref="S7:S15" si="6">R7*((((N7*Q7)-(O7*P7))^2))</f>
        <v>0</v>
      </c>
      <c r="T7" s="29">
        <f t="shared" ref="T7:T15" si="7">(N7+O7)*(P7+Q7)*(N7+P7)*(O7+Q7)</f>
        <v>0</v>
      </c>
      <c r="U7" s="30" t="str">
        <f t="shared" ref="U7:U15" si="8">IF((S7&gt;0),S7/T7,"- -")</f>
        <v>- -</v>
      </c>
    </row>
    <row r="8" spans="2:21" ht="18" customHeight="1" x14ac:dyDescent="0.25">
      <c r="B8" s="31" t="str">
        <f>'Data Entry'!A8</f>
        <v>3. Refer to Juvenile Court</v>
      </c>
      <c r="C8" s="32">
        <f>'Data Entry'!C8</f>
        <v>127</v>
      </c>
      <c r="D8" s="33">
        <f>IF((AND(C67&gt;0,C8&gt;0)),(C8/C67),0)</f>
        <v>127</v>
      </c>
      <c r="E8" s="32">
        <f>'Data Entry'!G8</f>
        <v>0</v>
      </c>
      <c r="F8" s="33">
        <f>IF((AND($E$8&gt;0,$D$67&gt;0)),($E8/$D67),0)</f>
        <v>0</v>
      </c>
      <c r="G8" s="38" t="str">
        <f t="shared" si="0"/>
        <v>*</v>
      </c>
      <c r="H8" s="39"/>
      <c r="I8" s="40"/>
      <c r="J8" s="39">
        <f>IF((ABS($U8)&gt;Defaults!D$7),1,2)</f>
        <v>2</v>
      </c>
      <c r="K8" s="38">
        <f>IF((AND(N8&gt;Defaults!B$12,(N8+O8)&gt;Defaults!B$13, P8 &gt; Defaults!B$12, (P8+Q8) &gt; Defaults!B$13)),1,20)</f>
        <v>20</v>
      </c>
      <c r="L8" s="1">
        <f t="shared" si="1"/>
        <v>139</v>
      </c>
      <c r="M8" s="1" t="b">
        <f t="shared" si="2"/>
        <v>1</v>
      </c>
      <c r="N8" s="41">
        <f t="shared" si="3"/>
        <v>0</v>
      </c>
      <c r="O8" s="41">
        <f>((D67*L67)-E8)+0.05</f>
        <v>0.05</v>
      </c>
      <c r="P8" s="41">
        <f t="shared" si="4"/>
        <v>127</v>
      </c>
      <c r="Q8" s="41">
        <f>(C$67*L67)-C8</f>
        <v>-27</v>
      </c>
      <c r="R8" s="41">
        <f t="shared" si="5"/>
        <v>100.05</v>
      </c>
      <c r="S8" s="29">
        <f t="shared" si="6"/>
        <v>4034.2661250000006</v>
      </c>
      <c r="T8" s="29">
        <f t="shared" si="7"/>
        <v>-17113.25</v>
      </c>
      <c r="U8" s="30">
        <f t="shared" si="8"/>
        <v>-0.23573933209647499</v>
      </c>
    </row>
    <row r="9" spans="2:21" ht="18" customHeight="1" x14ac:dyDescent="0.25">
      <c r="B9" s="31" t="str">
        <f>'Data Entry'!A9</f>
        <v xml:space="preserve">4. Cases Diverted </v>
      </c>
      <c r="C9" s="32">
        <f>'Data Entry'!C9</f>
        <v>0</v>
      </c>
      <c r="D9" s="33">
        <f>IF((AND(C68&gt;0,C9&gt;0)),((C9/C68)),0)</f>
        <v>0</v>
      </c>
      <c r="E9" s="32">
        <f>'Data Entry'!G9</f>
        <v>0</v>
      </c>
      <c r="F9" s="33">
        <f>IF((AND($E$9&gt;0,$D$68&gt;0)),(($E$9/$D$68)),0)</f>
        <v>0</v>
      </c>
      <c r="G9" s="38" t="str">
        <f t="shared" si="0"/>
        <v>*</v>
      </c>
      <c r="H9" s="39"/>
      <c r="I9" s="40"/>
      <c r="J9" s="39" t="e">
        <f>IF((ABS($U9)&gt;Defaults!D$7),1,2)</f>
        <v>#VALUE!</v>
      </c>
      <c r="K9" s="38">
        <f>IF((AND(N9&gt;Defaults!B$12,(N9+O9)&gt;Defaults!B$13, P9 &gt; Defaults!B$12, (P9+Q9) &gt; Defaults!B$13)),1,20)</f>
        <v>20</v>
      </c>
      <c r="L9" s="1" t="e">
        <f t="shared" si="1"/>
        <v>#VALUE!</v>
      </c>
      <c r="M9" s="1" t="b">
        <f t="shared" si="2"/>
        <v>0</v>
      </c>
      <c r="N9" s="41">
        <f t="shared" si="3"/>
        <v>0</v>
      </c>
      <c r="O9" s="41">
        <f>(D$68*L68)-E9</f>
        <v>0</v>
      </c>
      <c r="P9" s="41">
        <f t="shared" si="4"/>
        <v>0</v>
      </c>
      <c r="Q9" s="41">
        <f>(C$68*L68)-C9</f>
        <v>127</v>
      </c>
      <c r="R9" s="41">
        <f t="shared" si="5"/>
        <v>127</v>
      </c>
      <c r="S9" s="29">
        <f t="shared" si="6"/>
        <v>0</v>
      </c>
      <c r="T9" s="29">
        <f t="shared" si="7"/>
        <v>0</v>
      </c>
      <c r="U9" s="30" t="str">
        <f t="shared" si="8"/>
        <v>- -</v>
      </c>
    </row>
    <row r="10" spans="2:21" ht="18" customHeight="1" x14ac:dyDescent="0.25">
      <c r="B10" s="31" t="str">
        <f>'Data Entry'!A10</f>
        <v>5. Cases Involving Secure Detention</v>
      </c>
      <c r="C10" s="32">
        <f>'Data Entry'!C10</f>
        <v>9</v>
      </c>
      <c r="D10" s="33">
        <f>IF(((AND(C68&gt;0,C10&gt;0))),(C10/(C68)),0)</f>
        <v>7.0866141732283463</v>
      </c>
      <c r="E10" s="32">
        <f>'Data Entry'!G10</f>
        <v>0</v>
      </c>
      <c r="F10" s="33">
        <f>IF(((AND($E$10&gt;0,$D$68&gt;0))),($E$10/($D$68)),0)</f>
        <v>0</v>
      </c>
      <c r="G10" s="38" t="str">
        <f t="shared" si="0"/>
        <v>*</v>
      </c>
      <c r="H10" s="39"/>
      <c r="I10" s="40"/>
      <c r="J10" s="39" t="e">
        <f>IF((ABS($U10)&gt;Defaults!D$7),1,2)</f>
        <v>#VALUE!</v>
      </c>
      <c r="K10" s="38">
        <f>IF((AND(N10&gt;Defaults!B$12,(N10+O10)&gt;Defaults!B$13, P10 &gt; Defaults!B$12, (P10+Q10) &gt; Defaults!B$13)),1,20)</f>
        <v>20</v>
      </c>
      <c r="L10" s="1" t="e">
        <f t="shared" si="1"/>
        <v>#VALUE!</v>
      </c>
      <c r="M10" s="1" t="b">
        <f t="shared" si="2"/>
        <v>0</v>
      </c>
      <c r="N10" s="41">
        <f t="shared" si="3"/>
        <v>0</v>
      </c>
      <c r="O10" s="41">
        <f>(D$68*L68)-E10</f>
        <v>0</v>
      </c>
      <c r="P10" s="41">
        <f t="shared" si="4"/>
        <v>9</v>
      </c>
      <c r="Q10" s="41">
        <f>(C$68*L68)-C10</f>
        <v>118</v>
      </c>
      <c r="R10" s="41">
        <f t="shared" si="5"/>
        <v>127</v>
      </c>
      <c r="S10" s="29">
        <f t="shared" si="6"/>
        <v>0</v>
      </c>
      <c r="T10" s="29">
        <f t="shared" si="7"/>
        <v>0</v>
      </c>
      <c r="U10" s="30" t="str">
        <f t="shared" si="8"/>
        <v>- -</v>
      </c>
    </row>
    <row r="11" spans="2:21" ht="18" customHeight="1" x14ac:dyDescent="0.25">
      <c r="B11" s="31" t="str">
        <f>'Data Entry'!A11</f>
        <v>6. Cases Petitioned (Charge Filed)</v>
      </c>
      <c r="C11" s="32">
        <f>'Data Entry'!C11</f>
        <v>40</v>
      </c>
      <c r="D11" s="33">
        <f>IF(((AND(C68&gt;0,C11&gt;0))),(C11/(C68)),0)</f>
        <v>31.496062992125985</v>
      </c>
      <c r="E11" s="32">
        <f>'Data Entry'!G11</f>
        <v>0</v>
      </c>
      <c r="F11" s="33">
        <f>IF(((AND($E$11&gt;0,$D$68&gt;0))),($E$11/($D$68)),0)</f>
        <v>0</v>
      </c>
      <c r="G11" s="38" t="str">
        <f t="shared" si="0"/>
        <v>*</v>
      </c>
      <c r="H11" s="39"/>
      <c r="I11" s="40"/>
      <c r="J11" s="39" t="e">
        <f>IF((ABS($U11)&gt;Defaults!D$7),1,2)</f>
        <v>#VALUE!</v>
      </c>
      <c r="K11" s="38">
        <f>IF((AND(N11&gt;Defaults!B$12,(N11+O11)&gt;Defaults!B$13, P11 &gt; Defaults!B$12, (P11+Q11) &gt; Defaults!B$13)),1,20)</f>
        <v>20</v>
      </c>
      <c r="L11" s="1" t="e">
        <f t="shared" si="1"/>
        <v>#VALUE!</v>
      </c>
      <c r="M11" s="1" t="b">
        <f t="shared" si="2"/>
        <v>0</v>
      </c>
      <c r="N11" s="41">
        <f t="shared" si="3"/>
        <v>0</v>
      </c>
      <c r="O11" s="41">
        <f>(D$68*L68)-E11</f>
        <v>0</v>
      </c>
      <c r="P11" s="41">
        <f t="shared" si="4"/>
        <v>40</v>
      </c>
      <c r="Q11" s="41">
        <f>(C$68*L68)-C11</f>
        <v>87</v>
      </c>
      <c r="R11" s="41">
        <f t="shared" si="5"/>
        <v>127</v>
      </c>
      <c r="S11" s="29">
        <f t="shared" si="6"/>
        <v>0</v>
      </c>
      <c r="T11" s="29">
        <f t="shared" si="7"/>
        <v>0</v>
      </c>
      <c r="U11" s="30" t="str">
        <f t="shared" si="8"/>
        <v>- -</v>
      </c>
    </row>
    <row r="12" spans="2:21" ht="18" customHeight="1" x14ac:dyDescent="0.25">
      <c r="B12" s="31" t="str">
        <f>'Data Entry'!A12</f>
        <v>7. Cases Resulting in Delinquent Findings</v>
      </c>
      <c r="C12" s="32">
        <f>'Data Entry'!C12</f>
        <v>42</v>
      </c>
      <c r="D12" s="33">
        <f>IF(((AND(C69&gt;0,C12&gt;0))),(C12/(C69)),0)</f>
        <v>105</v>
      </c>
      <c r="E12" s="32">
        <f>'Data Entry'!G12</f>
        <v>0</v>
      </c>
      <c r="F12" s="33">
        <f>IF(((AND($D$69&gt;0,$E$12&gt;0))),(E12/(D69)),0)</f>
        <v>0</v>
      </c>
      <c r="G12" s="38" t="str">
        <f t="shared" si="0"/>
        <v>*</v>
      </c>
      <c r="H12" s="39"/>
      <c r="I12" s="40"/>
      <c r="J12" s="39" t="e">
        <f>IF((ABS($U12)&gt;Defaults!D$7),1,2)</f>
        <v>#VALUE!</v>
      </c>
      <c r="K12" s="38">
        <f>IF((AND(N12&gt;Defaults!B$12,(N12+O12)&gt;Defaults!B$13, P12 &gt; Defaults!B$12, (P12+Q12) &gt; Defaults!B$13)),1,20)</f>
        <v>20</v>
      </c>
      <c r="L12" s="1" t="e">
        <f t="shared" si="1"/>
        <v>#VALUE!</v>
      </c>
      <c r="M12" s="1" t="b">
        <f t="shared" si="2"/>
        <v>0</v>
      </c>
      <c r="N12" s="41">
        <f t="shared" si="3"/>
        <v>0</v>
      </c>
      <c r="O12" s="41">
        <f>(D69*L69)-E12</f>
        <v>0</v>
      </c>
      <c r="P12" s="41">
        <f t="shared" si="4"/>
        <v>42</v>
      </c>
      <c r="Q12" s="41">
        <f>(C69*L69)-C12</f>
        <v>-2</v>
      </c>
      <c r="R12" s="41">
        <f t="shared" si="5"/>
        <v>40</v>
      </c>
      <c r="S12" s="29">
        <f t="shared" si="6"/>
        <v>0</v>
      </c>
      <c r="T12" s="29">
        <f t="shared" si="7"/>
        <v>0</v>
      </c>
      <c r="U12" s="30" t="str">
        <f t="shared" si="8"/>
        <v>- -</v>
      </c>
    </row>
    <row r="13" spans="2:21" ht="18" customHeight="1" x14ac:dyDescent="0.25">
      <c r="B13" s="31" t="str">
        <f>'Data Entry'!A13</f>
        <v>8. Cases Resulting in Probation Placement</v>
      </c>
      <c r="C13" s="32">
        <f>'Data Entry'!C13</f>
        <v>91</v>
      </c>
      <c r="D13" s="33">
        <f>IF(((AND(C70&gt;0,C13&gt;0))),(C13/(C70)),0)</f>
        <v>216.66666666666669</v>
      </c>
      <c r="E13" s="32">
        <f>'Data Entry'!G13</f>
        <v>0</v>
      </c>
      <c r="F13" s="33">
        <f>IF(((AND($D$70&gt;0,$E$13&gt;0))),($E$13/($D$70)),0)</f>
        <v>0</v>
      </c>
      <c r="G13" s="38" t="str">
        <f t="shared" si="0"/>
        <v>*</v>
      </c>
      <c r="H13" s="39"/>
      <c r="I13" s="40"/>
      <c r="J13" s="39" t="e">
        <f>IF((ABS($U13)&gt;Defaults!D$7),1,2)</f>
        <v>#VALUE!</v>
      </c>
      <c r="K13" s="38">
        <f>IF((AND(N13&gt;Defaults!B$12,(N13+O13)&gt;Defaults!B$13, P13 &gt; Defaults!B$12, (P13+Q13) &gt; Defaults!B$13)),1,20)</f>
        <v>20</v>
      </c>
      <c r="L13" s="1" t="e">
        <f t="shared" si="1"/>
        <v>#VALUE!</v>
      </c>
      <c r="M13" s="1" t="b">
        <f t="shared" si="2"/>
        <v>0</v>
      </c>
      <c r="N13" s="41">
        <f t="shared" si="3"/>
        <v>0</v>
      </c>
      <c r="O13" s="41">
        <f>(D70*L70)-E13</f>
        <v>0</v>
      </c>
      <c r="P13" s="41">
        <f t="shared" si="4"/>
        <v>91</v>
      </c>
      <c r="Q13" s="41">
        <f>(C70*L70)-C13</f>
        <v>-49</v>
      </c>
      <c r="R13" s="41">
        <f t="shared" si="5"/>
        <v>42</v>
      </c>
      <c r="S13" s="29">
        <f t="shared" si="6"/>
        <v>0</v>
      </c>
      <c r="T13" s="29">
        <f t="shared" si="7"/>
        <v>0</v>
      </c>
      <c r="U13" s="30" t="str">
        <f t="shared" si="8"/>
        <v>- -</v>
      </c>
    </row>
    <row r="14" spans="2:21" ht="30.75" customHeight="1" x14ac:dyDescent="0.25">
      <c r="B14" s="31" t="str">
        <f>'Data Entry'!A14</f>
        <v xml:space="preserve">9. Cases Resulting in Confinement in Secure Juvenile Correctional Facilities </v>
      </c>
      <c r="C14" s="32">
        <f>'Data Entry'!C14</f>
        <v>36</v>
      </c>
      <c r="D14" s="33">
        <f>IF(((AND(C70&gt;0,C14&gt;0))), ((C14/(C70))),0)</f>
        <v>85.714285714285722</v>
      </c>
      <c r="E14" s="32">
        <f>'Data Entry'!G14</f>
        <v>0</v>
      </c>
      <c r="F14" s="33">
        <f>IF(((AND($D$70&gt;0,$E$14&gt;0))), (($E$14/($D$70))),0)</f>
        <v>0</v>
      </c>
      <c r="G14" s="38" t="str">
        <f t="shared" si="0"/>
        <v>*</v>
      </c>
      <c r="H14" s="39"/>
      <c r="I14" s="40"/>
      <c r="J14" s="39" t="e">
        <f>IF((ABS($U14)&gt;Defaults!D$7),1,2)</f>
        <v>#VALUE!</v>
      </c>
      <c r="K14" s="38">
        <f>IF((AND(N14&gt;Defaults!B$12,(N14+O14)&gt;Defaults!B$13, P14 &gt; Defaults!B$12, (P14+Q14) &gt; Defaults!B$13)),1,20)</f>
        <v>20</v>
      </c>
      <c r="L14" s="1" t="e">
        <f t="shared" si="1"/>
        <v>#VALUE!</v>
      </c>
      <c r="M14" s="1" t="b">
        <f t="shared" si="2"/>
        <v>0</v>
      </c>
      <c r="N14" s="41">
        <f t="shared" si="3"/>
        <v>0</v>
      </c>
      <c r="O14" s="41">
        <f>(D70*L70)-E14</f>
        <v>0</v>
      </c>
      <c r="P14" s="41">
        <f t="shared" si="4"/>
        <v>36</v>
      </c>
      <c r="Q14" s="41">
        <f>(C70*L70)-C14</f>
        <v>6</v>
      </c>
      <c r="R14" s="41">
        <f t="shared" si="5"/>
        <v>42</v>
      </c>
      <c r="S14" s="29">
        <f t="shared" si="6"/>
        <v>0</v>
      </c>
      <c r="T14" s="29">
        <f t="shared" si="7"/>
        <v>0</v>
      </c>
      <c r="U14" s="30" t="str">
        <f t="shared" si="8"/>
        <v>- -</v>
      </c>
    </row>
    <row r="15" spans="2:21" ht="15.75" customHeight="1" x14ac:dyDescent="0.25">
      <c r="B15" s="31" t="str">
        <f>'Data Entry'!A15</f>
        <v xml:space="preserve">10. Cases Transferred to Adult Court </v>
      </c>
      <c r="C15" s="32">
        <f>'Data Entry'!C15</f>
        <v>0</v>
      </c>
      <c r="D15" s="33">
        <f>IF(((AND(C69&gt;0,C15&gt;0))),((C15/(C69))),0)</f>
        <v>0</v>
      </c>
      <c r="E15" s="32">
        <f>'Data Entry'!G15</f>
        <v>0</v>
      </c>
      <c r="F15" s="33">
        <f>IF(((AND($D$69&gt;0,$E$15&gt;0))),(($E$15/($D$69))),0)</f>
        <v>0</v>
      </c>
      <c r="G15" s="38" t="str">
        <f t="shared" si="0"/>
        <v>*</v>
      </c>
      <c r="H15" s="39"/>
      <c r="I15" s="40"/>
      <c r="J15" s="39" t="e">
        <f>IF((ABS($U15)&gt;Defaults!D$7),1,2)</f>
        <v>#VALUE!</v>
      </c>
      <c r="K15" s="38">
        <f>IF((AND(N15&gt;Defaults!B$12,(N15+O15)&gt;Defaults!B$13, P15 &gt; Defaults!B$12, (P15+Q15) &gt; Defaults!B$13)),1,20)</f>
        <v>20</v>
      </c>
      <c r="L15" s="1" t="e">
        <f t="shared" si="1"/>
        <v>#VALUE!</v>
      </c>
      <c r="M15" s="1" t="b">
        <f t="shared" si="2"/>
        <v>0</v>
      </c>
      <c r="N15" s="41">
        <f t="shared" si="3"/>
        <v>0</v>
      </c>
      <c r="O15" s="41">
        <f>(D69*L69)-E15</f>
        <v>0</v>
      </c>
      <c r="P15" s="41">
        <f t="shared" si="4"/>
        <v>0</v>
      </c>
      <c r="Q15" s="41">
        <f>(C69*L69)-C15</f>
        <v>40</v>
      </c>
      <c r="R15" s="41">
        <f t="shared" si="5"/>
        <v>40</v>
      </c>
      <c r="S15" s="29">
        <f t="shared" si="6"/>
        <v>0</v>
      </c>
      <c r="T15" s="29">
        <f t="shared" si="7"/>
        <v>0</v>
      </c>
      <c r="U15" s="30" t="str">
        <f t="shared" si="8"/>
        <v>- -</v>
      </c>
    </row>
    <row r="16" spans="2:21" ht="12" customHeight="1" x14ac:dyDescent="0.25">
      <c r="B16" s="42" t="s">
        <v>93</v>
      </c>
      <c r="C16" s="43"/>
      <c r="D16" s="43"/>
      <c r="E16" s="43"/>
      <c r="F16" s="43"/>
      <c r="G16" s="43"/>
      <c r="H16" s="43"/>
      <c r="I16" s="43"/>
      <c r="N16" s="20"/>
      <c r="O16" s="20"/>
      <c r="P16" s="20"/>
      <c r="Q16" s="20"/>
      <c r="R16" s="20"/>
      <c r="S16" s="29"/>
      <c r="T16" s="29"/>
      <c r="U16" s="30"/>
    </row>
    <row r="17" spans="2:21" ht="26.25" customHeight="1" x14ac:dyDescent="0.25">
      <c r="B17" s="61"/>
      <c r="C17" s="61"/>
      <c r="D17" s="61"/>
      <c r="E17" s="61"/>
      <c r="F17" s="61"/>
      <c r="G17" s="61"/>
      <c r="H17" s="61"/>
      <c r="I17" s="61"/>
      <c r="K17" s="1" t="s">
        <v>94</v>
      </c>
      <c r="L17" s="1" t="s">
        <v>95</v>
      </c>
      <c r="N17" s="20"/>
      <c r="O17" s="20"/>
      <c r="P17" s="20"/>
      <c r="Q17" s="20"/>
      <c r="R17" s="20"/>
      <c r="S17" s="29"/>
      <c r="T17" s="29"/>
      <c r="U17" s="30"/>
    </row>
    <row r="18" spans="2:21" ht="15" customHeight="1" x14ac:dyDescent="0.25">
      <c r="B18" s="1" t="s">
        <v>52</v>
      </c>
    </row>
    <row r="19" spans="2:21" ht="15" customHeight="1" x14ac:dyDescent="0.25">
      <c r="B19" s="1" t="s">
        <v>53</v>
      </c>
      <c r="D19" s="44" t="s">
        <v>54</v>
      </c>
    </row>
    <row r="20" spans="2:21" ht="15" customHeight="1" x14ac:dyDescent="0.25">
      <c r="B20" s="1" t="s">
        <v>55</v>
      </c>
      <c r="D20" s="1" t="s">
        <v>56</v>
      </c>
    </row>
    <row r="21" spans="2:21" ht="15" customHeight="1" x14ac:dyDescent="0.25">
      <c r="B21" s="1" t="s">
        <v>57</v>
      </c>
      <c r="D21" s="1" t="s">
        <v>58</v>
      </c>
    </row>
    <row r="22" spans="2:21" ht="15" customHeight="1" x14ac:dyDescent="0.25">
      <c r="B22" s="1" t="s">
        <v>59</v>
      </c>
      <c r="D22" s="1" t="s">
        <v>60</v>
      </c>
    </row>
    <row r="23" spans="2:21" ht="15" customHeight="1" x14ac:dyDescent="0.25">
      <c r="B23" s="1" t="s">
        <v>61</v>
      </c>
      <c r="D23" s="1" t="s">
        <v>62</v>
      </c>
    </row>
    <row r="24" spans="2:21" ht="26.25" customHeight="1" x14ac:dyDescent="0.25">
      <c r="B24" s="61"/>
      <c r="C24" s="61"/>
      <c r="D24" s="61"/>
      <c r="E24" s="61"/>
      <c r="F24" s="61"/>
      <c r="G24" s="61"/>
      <c r="H24" s="61"/>
      <c r="I24" s="61"/>
      <c r="N24" s="20"/>
      <c r="O24" s="20"/>
      <c r="P24" s="20"/>
      <c r="Q24" s="20"/>
      <c r="R24" s="20"/>
      <c r="S24" s="29"/>
      <c r="T24" s="29"/>
      <c r="U24" s="30"/>
    </row>
    <row r="25" spans="2:21" ht="15" customHeight="1" x14ac:dyDescent="0.25">
      <c r="B25" s="45" t="s">
        <v>63</v>
      </c>
      <c r="K25" s="1" t="s">
        <v>64</v>
      </c>
      <c r="L25" s="1" t="s">
        <v>65</v>
      </c>
      <c r="N25" s="20"/>
      <c r="O25" s="20" t="b">
        <f>ISBLANK(N12)</f>
        <v>0</v>
      </c>
      <c r="P25" s="20"/>
      <c r="Q25" s="20"/>
      <c r="R25" s="20"/>
    </row>
    <row r="26" spans="2:21" ht="15" customHeight="1" x14ac:dyDescent="0.25">
      <c r="B26" s="46" t="s">
        <v>66</v>
      </c>
      <c r="F26" s="46" t="s">
        <v>67</v>
      </c>
      <c r="G26" s="46"/>
      <c r="H26" s="46"/>
      <c r="I26" s="46"/>
      <c r="J26" s="46"/>
      <c r="K26" s="47" t="s">
        <v>62</v>
      </c>
      <c r="L26" s="47" t="s">
        <v>68</v>
      </c>
      <c r="M26" s="47"/>
      <c r="R26" s="48"/>
    </row>
    <row r="27" spans="2:21" ht="15" customHeight="1" x14ac:dyDescent="0.25">
      <c r="B27" s="49" t="s">
        <v>69</v>
      </c>
      <c r="C27" s="49"/>
      <c r="D27" s="49"/>
      <c r="E27" s="49"/>
      <c r="F27" s="49" t="str">
        <f>B66</f>
        <v>per 1000 youth</v>
      </c>
      <c r="G27" s="49"/>
      <c r="H27" s="49"/>
      <c r="I27" s="49"/>
      <c r="J27" s="49">
        <f>F66</f>
        <v>0</v>
      </c>
      <c r="K27" s="49" t="s">
        <v>60</v>
      </c>
      <c r="L27" s="50" t="s">
        <v>70</v>
      </c>
      <c r="R27" s="48"/>
    </row>
    <row r="28" spans="2:21" ht="15" customHeight="1" x14ac:dyDescent="0.25">
      <c r="B28" s="49" t="s">
        <v>71</v>
      </c>
      <c r="C28" s="49"/>
      <c r="D28" s="49"/>
      <c r="E28" s="49"/>
      <c r="F28" s="51" t="str">
        <f>B67</f>
        <v>per 100 arrests</v>
      </c>
      <c r="G28" s="51"/>
      <c r="H28" s="51"/>
      <c r="I28" s="51"/>
      <c r="J28" s="51"/>
      <c r="K28" s="51" t="s">
        <v>58</v>
      </c>
      <c r="L28" s="52" t="s">
        <v>72</v>
      </c>
      <c r="R28" s="48"/>
    </row>
    <row r="29" spans="2:21" ht="15" customHeight="1" x14ac:dyDescent="0.25">
      <c r="B29" s="51" t="s">
        <v>73</v>
      </c>
      <c r="C29" s="51"/>
      <c r="D29" s="51"/>
      <c r="E29" s="51"/>
      <c r="F29" s="51" t="str">
        <f>B68</f>
        <v>per 100 referrals</v>
      </c>
      <c r="G29" s="51"/>
      <c r="H29" s="51"/>
      <c r="I29" s="51"/>
      <c r="J29" s="51"/>
      <c r="K29" s="51"/>
      <c r="L29" s="52"/>
      <c r="R29" s="48"/>
    </row>
    <row r="30" spans="2:21" ht="15" customHeight="1" x14ac:dyDescent="0.25">
      <c r="B30" s="51" t="s">
        <v>74</v>
      </c>
      <c r="C30" s="51"/>
      <c r="D30" s="51"/>
      <c r="E30" s="51"/>
      <c r="F30" s="51" t="str">
        <f>B68</f>
        <v>per 100 referrals</v>
      </c>
      <c r="G30" s="51"/>
      <c r="H30" s="51"/>
      <c r="I30" s="51"/>
      <c r="J30" s="51"/>
      <c r="K30" s="51"/>
      <c r="L30" s="52"/>
      <c r="N30" s="1" t="b">
        <f>ISNUMBER(J14)</f>
        <v>0</v>
      </c>
      <c r="R30" s="48"/>
    </row>
    <row r="31" spans="2:21" ht="15" customHeight="1" x14ac:dyDescent="0.25">
      <c r="B31" s="51" t="s">
        <v>75</v>
      </c>
      <c r="C31" s="51"/>
      <c r="D31" s="51"/>
      <c r="E31" s="51"/>
      <c r="F31" s="51" t="str">
        <f>B68</f>
        <v>per 100 referrals</v>
      </c>
      <c r="G31" s="51"/>
      <c r="H31" s="51"/>
      <c r="I31" s="51"/>
      <c r="J31" s="51"/>
      <c r="K31" s="51"/>
      <c r="L31" s="52"/>
      <c r="R31" s="48"/>
    </row>
    <row r="32" spans="2:21" ht="15" customHeight="1" x14ac:dyDescent="0.25">
      <c r="B32" s="51" t="s">
        <v>76</v>
      </c>
      <c r="C32" s="51"/>
      <c r="D32" s="51"/>
      <c r="E32" s="51"/>
      <c r="F32" s="51" t="str">
        <f>B69</f>
        <v>per 100 youth petitioned</v>
      </c>
      <c r="G32" s="51"/>
      <c r="H32" s="51"/>
      <c r="I32" s="51"/>
      <c r="J32" s="51"/>
      <c r="K32" s="51"/>
      <c r="L32" s="52"/>
      <c r="R32" s="48"/>
    </row>
    <row r="33" spans="2:18" ht="15" customHeight="1" x14ac:dyDescent="0.25">
      <c r="B33" s="51" t="s">
        <v>77</v>
      </c>
      <c r="C33" s="51"/>
      <c r="D33" s="51"/>
      <c r="E33" s="51"/>
      <c r="F33" s="51" t="str">
        <f>B70</f>
        <v>per 100 youth found delinquent</v>
      </c>
      <c r="G33" s="51"/>
      <c r="H33" s="51"/>
      <c r="I33" s="51"/>
      <c r="J33" s="51"/>
      <c r="K33" s="51"/>
      <c r="L33" s="52"/>
      <c r="R33" s="48"/>
    </row>
    <row r="34" spans="2:18" ht="15" customHeight="1" x14ac:dyDescent="0.25">
      <c r="B34" s="51" t="s">
        <v>78</v>
      </c>
      <c r="C34" s="51"/>
      <c r="D34" s="51"/>
      <c r="E34" s="51"/>
      <c r="F34" s="51" t="str">
        <f>B70</f>
        <v>per 100 youth found delinquent</v>
      </c>
      <c r="G34" s="51"/>
      <c r="H34" s="51"/>
      <c r="I34" s="51"/>
      <c r="J34" s="51"/>
      <c r="K34" s="51"/>
      <c r="L34" s="52"/>
      <c r="R34" s="48"/>
    </row>
    <row r="35" spans="2:18" ht="15" customHeight="1" x14ac:dyDescent="0.25">
      <c r="B35" s="51" t="s">
        <v>79</v>
      </c>
      <c r="C35" s="51"/>
      <c r="D35" s="51"/>
      <c r="E35" s="51"/>
      <c r="F35" s="51" t="str">
        <f>B69</f>
        <v>per 100 youth petitioned</v>
      </c>
      <c r="G35" s="51"/>
      <c r="H35" s="51"/>
      <c r="I35" s="51"/>
      <c r="J35" s="51"/>
      <c r="K35" s="51"/>
      <c r="L35" s="52"/>
      <c r="R35" s="48"/>
    </row>
    <row r="36" spans="2:18" ht="15" customHeight="1" x14ac:dyDescent="0.25">
      <c r="R36" s="48"/>
    </row>
    <row r="37" spans="2:18" ht="15" hidden="1" customHeight="1" x14ac:dyDescent="0.25">
      <c r="R37" s="48"/>
    </row>
    <row r="38" spans="2:18" ht="15" hidden="1" customHeight="1" x14ac:dyDescent="0.25">
      <c r="R38" s="48"/>
    </row>
    <row r="39" spans="2:18" ht="15" hidden="1" customHeight="1" x14ac:dyDescent="0.25">
      <c r="R39" s="48"/>
    </row>
    <row r="40" spans="2:18" ht="30.75" hidden="1" customHeight="1" x14ac:dyDescent="0.25">
      <c r="B40" s="209" t="s">
        <v>80</v>
      </c>
      <c r="C40" s="209"/>
      <c r="D40" s="209"/>
      <c r="E40" s="209"/>
      <c r="F40" s="209"/>
      <c r="G40" s="209"/>
      <c r="H40" s="209"/>
      <c r="I40" s="209"/>
      <c r="J40" s="209"/>
      <c r="K40" s="8"/>
      <c r="R40" s="48"/>
    </row>
    <row r="41" spans="2:18" ht="15" hidden="1" customHeight="1" x14ac:dyDescent="0.25">
      <c r="B41" s="53" t="s">
        <v>81</v>
      </c>
      <c r="C41" s="53" t="s">
        <v>82</v>
      </c>
      <c r="D41" s="54" t="s">
        <v>83</v>
      </c>
      <c r="E41" s="53" t="s">
        <v>84</v>
      </c>
      <c r="G41" s="53" t="s">
        <v>85</v>
      </c>
      <c r="H41" s="53"/>
      <c r="I41" s="53"/>
      <c r="L41" s="1" t="s">
        <v>86</v>
      </c>
      <c r="R41" s="48"/>
    </row>
    <row r="42" spans="2:18" ht="15" hidden="1" customHeight="1" x14ac:dyDescent="0.25">
      <c r="B42" s="48" t="s">
        <v>87</v>
      </c>
      <c r="C42" s="55">
        <f>C6/1000</f>
        <v>1.482</v>
      </c>
      <c r="D42" s="55">
        <f>E6/1000</f>
        <v>0</v>
      </c>
      <c r="E42" s="55">
        <f>MAX(C42:D42)</f>
        <v>1.482</v>
      </c>
      <c r="G42" s="1" t="str">
        <f>B42</f>
        <v>per 1000 youth</v>
      </c>
      <c r="L42" s="56">
        <v>1000</v>
      </c>
      <c r="M42" s="56"/>
      <c r="R42" s="48"/>
    </row>
    <row r="43" spans="2:18" ht="15" hidden="1" customHeight="1" x14ac:dyDescent="0.25">
      <c r="B43" s="48" t="s">
        <v>88</v>
      </c>
      <c r="C43" s="55">
        <f>C7/100</f>
        <v>1</v>
      </c>
      <c r="D43" s="55">
        <f>E7/100</f>
        <v>0</v>
      </c>
      <c r="E43" s="55">
        <f>MAX(C43:D43,0)</f>
        <v>1</v>
      </c>
      <c r="G43" s="1" t="str">
        <f>B43</f>
        <v>per 100 arrests</v>
      </c>
      <c r="L43" s="56">
        <v>100</v>
      </c>
      <c r="M43" s="56"/>
      <c r="R43" s="48"/>
    </row>
    <row r="44" spans="2:18" ht="15" hidden="1" customHeight="1" x14ac:dyDescent="0.25">
      <c r="B44" s="48" t="s">
        <v>89</v>
      </c>
      <c r="C44" s="55">
        <f>C8/100</f>
        <v>1.27</v>
      </c>
      <c r="D44" s="55">
        <f>E8/100</f>
        <v>0</v>
      </c>
      <c r="E44" s="55">
        <f>MAX(C44:D44,0)</f>
        <v>1.27</v>
      </c>
      <c r="G44" s="1" t="str">
        <f>B44</f>
        <v>per 100 referrals</v>
      </c>
      <c r="L44" s="56">
        <v>100</v>
      </c>
      <c r="M44" s="56"/>
      <c r="R44" s="48"/>
    </row>
    <row r="45" spans="2:18" ht="15" hidden="1" customHeight="1" x14ac:dyDescent="0.25">
      <c r="B45" s="48" t="s">
        <v>90</v>
      </c>
      <c r="C45" s="48">
        <f>C11/100</f>
        <v>0.4</v>
      </c>
      <c r="D45" s="48">
        <f>E11/100</f>
        <v>0</v>
      </c>
      <c r="E45" s="55">
        <f>MAX(C45:D45,0)</f>
        <v>0.4</v>
      </c>
      <c r="G45" s="1" t="str">
        <f>B45</f>
        <v>per 100 youth petitioned</v>
      </c>
      <c r="L45" s="56">
        <v>100</v>
      </c>
      <c r="M45" s="56"/>
      <c r="R45" s="48"/>
    </row>
    <row r="46" spans="2:18" ht="15" hidden="1" customHeight="1" x14ac:dyDescent="0.25">
      <c r="B46" s="48" t="s">
        <v>91</v>
      </c>
      <c r="C46" s="48">
        <f>C12/100</f>
        <v>0.42</v>
      </c>
      <c r="D46" s="48">
        <f>E12/100</f>
        <v>0</v>
      </c>
      <c r="E46" s="55">
        <f>MAX(C46:D46)</f>
        <v>0.42</v>
      </c>
      <c r="G46" s="1" t="str">
        <f>B46</f>
        <v>per 100 youth found delinquent</v>
      </c>
      <c r="L46" s="56">
        <v>100</v>
      </c>
      <c r="M46" s="56"/>
      <c r="R46" s="48"/>
    </row>
    <row r="47" spans="2:18" ht="15" hidden="1" customHeight="1" x14ac:dyDescent="0.25">
      <c r="B47" s="8"/>
      <c r="C47" s="8"/>
      <c r="D47" s="8"/>
      <c r="E47" s="8"/>
      <c r="L47" s="56"/>
      <c r="M47" s="56"/>
      <c r="R47" s="48"/>
    </row>
    <row r="48" spans="2:18" ht="15" hidden="1" customHeight="1" x14ac:dyDescent="0.25">
      <c r="B48" s="48" t="str">
        <f>B42</f>
        <v>per 1000 youth</v>
      </c>
      <c r="C48" s="55">
        <f>C42</f>
        <v>1.482</v>
      </c>
      <c r="D48" s="55">
        <f>D42</f>
        <v>0</v>
      </c>
      <c r="E48" s="55">
        <f>MAX(C48:D48)</f>
        <v>1.482</v>
      </c>
      <c r="G48" s="1" t="str">
        <f>G42</f>
        <v>per 1000 youth</v>
      </c>
      <c r="L48" s="57">
        <f>L42</f>
        <v>1000</v>
      </c>
      <c r="M48" s="57"/>
      <c r="N48" s="20"/>
      <c r="O48" s="20"/>
      <c r="P48" s="20"/>
      <c r="Q48" s="20"/>
      <c r="R48" s="20"/>
    </row>
    <row r="49" spans="2:18" ht="15" hidden="1" customHeight="1" x14ac:dyDescent="0.25">
      <c r="B49" s="48" t="str">
        <f t="shared" ref="B49:D50" si="9">IF(($E43&gt;0),B43,B42)</f>
        <v>per 100 arrests</v>
      </c>
      <c r="C49" s="48">
        <f t="shared" si="9"/>
        <v>1</v>
      </c>
      <c r="D49" s="48">
        <f t="shared" si="9"/>
        <v>0</v>
      </c>
      <c r="E49" s="48">
        <f>MAX(C49:D49)</f>
        <v>1</v>
      </c>
      <c r="G49" s="1" t="str">
        <f>G43</f>
        <v>per 100 arrests</v>
      </c>
      <c r="L49" s="57">
        <f>IF(($E43&gt;0),L43,L42)</f>
        <v>100</v>
      </c>
      <c r="M49" s="57"/>
      <c r="N49" s="20"/>
      <c r="O49" s="20"/>
      <c r="P49" s="20"/>
      <c r="Q49" s="20"/>
      <c r="R49" s="20"/>
    </row>
    <row r="50" spans="2:18" ht="15" hidden="1" customHeight="1" x14ac:dyDescent="0.25">
      <c r="B50" s="48" t="str">
        <f t="shared" si="9"/>
        <v>per 100 referrals</v>
      </c>
      <c r="C50" s="48">
        <f t="shared" si="9"/>
        <v>1.27</v>
      </c>
      <c r="D50" s="48">
        <f t="shared" si="9"/>
        <v>0</v>
      </c>
      <c r="E50" s="48">
        <f>MAX(C50:D50)</f>
        <v>1.27</v>
      </c>
      <c r="G50" s="1" t="str">
        <f>G44</f>
        <v>per 100 referrals</v>
      </c>
      <c r="L50" s="57">
        <f>IF(($E44&gt;0),L44,L43)</f>
        <v>100</v>
      </c>
      <c r="M50" s="57"/>
      <c r="N50" s="20"/>
      <c r="O50" s="20"/>
      <c r="P50" s="20"/>
      <c r="Q50" s="20"/>
      <c r="R50" s="20"/>
    </row>
    <row r="51" spans="2:18" ht="15" hidden="1" customHeight="1" x14ac:dyDescent="0.25">
      <c r="B51" s="48" t="str">
        <f>IF(($E45&gt;0),B45,B43)</f>
        <v>per 100 youth petitioned</v>
      </c>
      <c r="C51" s="48">
        <f>IF(($E45&gt;0),C45,C44)</f>
        <v>0.4</v>
      </c>
      <c r="D51" s="48">
        <f>IF(($E45&gt;0),D45,D44)</f>
        <v>0</v>
      </c>
      <c r="E51" s="48">
        <f>MAX(C51:D51)</f>
        <v>0.4</v>
      </c>
      <c r="G51" s="1" t="str">
        <f>G45</f>
        <v>per 100 youth petitioned</v>
      </c>
      <c r="L51" s="57">
        <f>IF(($E45&gt;0),L45,L44)</f>
        <v>100</v>
      </c>
      <c r="M51" s="57"/>
    </row>
    <row r="52" spans="2:18" ht="15" hidden="1" customHeight="1" x14ac:dyDescent="0.25">
      <c r="B52" s="48" t="str">
        <f>IF(($E46&gt;0),B46,B45)</f>
        <v>per 100 youth found delinquent</v>
      </c>
      <c r="C52" s="48">
        <f>IF(($E46&gt;0),C46,C45)</f>
        <v>0.42</v>
      </c>
      <c r="D52" s="48">
        <f>IF(($E46&gt;0),D46,D45)</f>
        <v>0</v>
      </c>
      <c r="E52" s="55">
        <f>MAX(C52:D52)</f>
        <v>0.42</v>
      </c>
      <c r="G52" s="1" t="str">
        <f>G46</f>
        <v>per 100 youth found delinquent</v>
      </c>
      <c r="L52" s="57">
        <f>IF(($E46&gt;0),L46,L45)</f>
        <v>100</v>
      </c>
      <c r="M52" s="57"/>
    </row>
    <row r="53" spans="2:18" ht="15" hidden="1" customHeight="1" x14ac:dyDescent="0.25">
      <c r="B53" s="48"/>
      <c r="C53" s="48"/>
      <c r="D53" s="48"/>
      <c r="E53" s="48"/>
      <c r="L53" s="56"/>
      <c r="M53" s="56"/>
    </row>
    <row r="54" spans="2:18" ht="15" hidden="1" customHeight="1" x14ac:dyDescent="0.25">
      <c r="B54" s="48" t="str">
        <f>B48</f>
        <v>per 1000 youth</v>
      </c>
      <c r="C54" s="55">
        <f>C48</f>
        <v>1.482</v>
      </c>
      <c r="D54" s="55">
        <f>D48</f>
        <v>0</v>
      </c>
      <c r="E54" s="55">
        <f>MAX(C54:D54)</f>
        <v>1.482</v>
      </c>
      <c r="G54" s="1" t="str">
        <f>G48</f>
        <v>per 1000 youth</v>
      </c>
      <c r="L54" s="57">
        <f>L48</f>
        <v>1000</v>
      </c>
      <c r="M54" s="57"/>
    </row>
    <row r="55" spans="2:18" ht="15" hidden="1" customHeight="1" x14ac:dyDescent="0.25">
      <c r="B55" s="48" t="str">
        <f t="shared" ref="B55:D56" si="10">IF(($E49&gt;0),B49,B48)</f>
        <v>per 100 arrests</v>
      </c>
      <c r="C55" s="48">
        <f t="shared" si="10"/>
        <v>1</v>
      </c>
      <c r="D55" s="48">
        <f t="shared" si="10"/>
        <v>0</v>
      </c>
      <c r="E55" s="48">
        <f>MAX(C55:D55)</f>
        <v>1</v>
      </c>
      <c r="G55" s="1" t="str">
        <f>G49</f>
        <v>per 100 arrests</v>
      </c>
      <c r="L55" s="57">
        <f>IF(($E49&gt;0),L49,L48)</f>
        <v>100</v>
      </c>
      <c r="M55" s="57"/>
    </row>
    <row r="56" spans="2:18" ht="15" hidden="1" customHeight="1" x14ac:dyDescent="0.25">
      <c r="B56" s="48" t="str">
        <f t="shared" si="10"/>
        <v>per 100 referrals</v>
      </c>
      <c r="C56" s="48">
        <f t="shared" si="10"/>
        <v>1.27</v>
      </c>
      <c r="D56" s="48">
        <f t="shared" si="10"/>
        <v>0</v>
      </c>
      <c r="E56" s="48">
        <f>MAX(C56:D56)</f>
        <v>1.27</v>
      </c>
      <c r="G56" s="1" t="str">
        <f>G50</f>
        <v>per 100 referrals</v>
      </c>
      <c r="L56" s="57">
        <f>IF(($E50&gt;0),L50,L49)</f>
        <v>100</v>
      </c>
      <c r="M56" s="57"/>
    </row>
    <row r="57" spans="2:18" ht="15" hidden="1" customHeight="1" x14ac:dyDescent="0.25">
      <c r="B57" s="48" t="str">
        <f>IF(($E51&gt;0),B51,B49)</f>
        <v>per 100 youth petitioned</v>
      </c>
      <c r="C57" s="48">
        <f>IF(($E51&gt;0),C51,C50)</f>
        <v>0.4</v>
      </c>
      <c r="D57" s="48">
        <f>IF(($E51&gt;0),D51,D50)</f>
        <v>0</v>
      </c>
      <c r="E57" s="48">
        <f>MAX(C57:D57)</f>
        <v>0.4</v>
      </c>
      <c r="G57" s="1" t="str">
        <f>G51</f>
        <v>per 100 youth petitioned</v>
      </c>
      <c r="L57" s="57">
        <f>IF(($E51&gt;0),L51,L50)</f>
        <v>100</v>
      </c>
      <c r="M57" s="57"/>
    </row>
    <row r="58" spans="2:18" ht="15" hidden="1" customHeight="1" x14ac:dyDescent="0.25">
      <c r="B58" s="48" t="str">
        <f>IF(($E52&gt;0),B52,B51)</f>
        <v>per 100 youth found delinquent</v>
      </c>
      <c r="C58" s="48">
        <f>IF(($E52&gt;0),C52,C51)</f>
        <v>0.42</v>
      </c>
      <c r="D58" s="48">
        <f>IF(($E52&gt;0),D52,D51)</f>
        <v>0</v>
      </c>
      <c r="E58" s="55">
        <f>MAX(C58:D58)</f>
        <v>0.42</v>
      </c>
      <c r="G58" s="1" t="str">
        <f>G52</f>
        <v>per 100 youth found delinquent</v>
      </c>
      <c r="L58" s="57">
        <f>IF(($E52&gt;0),L52,L51)</f>
        <v>100</v>
      </c>
      <c r="M58" s="57"/>
    </row>
    <row r="59" spans="2:18" ht="15" hidden="1" customHeight="1" x14ac:dyDescent="0.25">
      <c r="B59" s="48"/>
      <c r="C59" s="48"/>
      <c r="D59" s="48"/>
      <c r="E59" s="48"/>
      <c r="L59" s="56"/>
      <c r="M59" s="56"/>
    </row>
    <row r="60" spans="2:18" ht="15" hidden="1" customHeight="1" x14ac:dyDescent="0.25">
      <c r="B60" s="48" t="str">
        <f>B54</f>
        <v>per 1000 youth</v>
      </c>
      <c r="C60" s="55">
        <f>C54</f>
        <v>1.482</v>
      </c>
      <c r="D60" s="55">
        <f>D54</f>
        <v>0</v>
      </c>
      <c r="E60" s="55">
        <f>MAX(C60:D60)</f>
        <v>1.482</v>
      </c>
      <c r="G60" s="1" t="str">
        <f>G54</f>
        <v>per 1000 youth</v>
      </c>
      <c r="L60" s="57">
        <f>L54</f>
        <v>1000</v>
      </c>
      <c r="M60" s="57"/>
    </row>
    <row r="61" spans="2:18" ht="15" hidden="1" customHeight="1" x14ac:dyDescent="0.25">
      <c r="B61" s="48" t="str">
        <f t="shared" ref="B61:D62" si="11">IF(($E55&gt;0),B55,B54)</f>
        <v>per 100 arrests</v>
      </c>
      <c r="C61" s="48">
        <f t="shared" si="11"/>
        <v>1</v>
      </c>
      <c r="D61" s="48">
        <f t="shared" si="11"/>
        <v>0</v>
      </c>
      <c r="E61" s="48">
        <f>MAX(C61:D61)</f>
        <v>1</v>
      </c>
      <c r="G61" s="1" t="str">
        <f>G55</f>
        <v>per 100 arrests</v>
      </c>
      <c r="L61" s="57">
        <f>IF(($E55&gt;0),L55,L54)</f>
        <v>100</v>
      </c>
      <c r="M61" s="57"/>
    </row>
    <row r="62" spans="2:18" ht="15" hidden="1" customHeight="1" x14ac:dyDescent="0.25">
      <c r="B62" s="48" t="str">
        <f t="shared" si="11"/>
        <v>per 100 referrals</v>
      </c>
      <c r="C62" s="48">
        <f t="shared" si="11"/>
        <v>1.27</v>
      </c>
      <c r="D62" s="48">
        <f t="shared" si="11"/>
        <v>0</v>
      </c>
      <c r="E62" s="48">
        <f>MAX(C62:D62)</f>
        <v>1.27</v>
      </c>
      <c r="G62" s="1" t="str">
        <f>G56</f>
        <v>per 100 referrals</v>
      </c>
      <c r="L62" s="57">
        <f>IF(($E56&gt;0),L56,L55)</f>
        <v>100</v>
      </c>
      <c r="M62" s="57"/>
    </row>
    <row r="63" spans="2:18" ht="15" hidden="1" customHeight="1" x14ac:dyDescent="0.25">
      <c r="B63" s="48" t="str">
        <f>IF(($E57&gt;0),B57,B55)</f>
        <v>per 100 youth petitioned</v>
      </c>
      <c r="C63" s="48">
        <f>IF(($E57&gt;0),C57,C56)</f>
        <v>0.4</v>
      </c>
      <c r="D63" s="48">
        <f>IF(($E57&gt;0),D57,D56)</f>
        <v>0</v>
      </c>
      <c r="E63" s="48">
        <f>MAX(C63:D63)</f>
        <v>0.4</v>
      </c>
      <c r="G63" s="1" t="str">
        <f>G57</f>
        <v>per 100 youth petitioned</v>
      </c>
      <c r="L63" s="57">
        <f>IF(($E57&gt;0),L57,L56)</f>
        <v>100</v>
      </c>
      <c r="M63" s="57"/>
    </row>
    <row r="64" spans="2:18" ht="15" hidden="1" customHeight="1" x14ac:dyDescent="0.25">
      <c r="B64" s="48" t="str">
        <f>IF(($E58&gt;0),B58,B57)</f>
        <v>per 100 youth found delinquent</v>
      </c>
      <c r="C64" s="48">
        <f>IF(($E58&gt;0),C58,C57)</f>
        <v>0.42</v>
      </c>
      <c r="D64" s="48">
        <f>IF(($E58&gt;0),D58,D57)</f>
        <v>0</v>
      </c>
      <c r="E64" s="55">
        <f>MAX(C64:D64)</f>
        <v>0.42</v>
      </c>
      <c r="G64" s="1" t="str">
        <f>G58</f>
        <v>per 100 youth found delinquent</v>
      </c>
      <c r="L64" s="57">
        <f>IF(($E58&gt;0),L58,L57)</f>
        <v>100</v>
      </c>
      <c r="M64" s="57"/>
    </row>
    <row r="65" spans="2:13" ht="15" hidden="1" customHeight="1" x14ac:dyDescent="0.25">
      <c r="B65" s="58" t="s">
        <v>92</v>
      </c>
      <c r="L65" s="56"/>
      <c r="M65" s="56"/>
    </row>
    <row r="66" spans="2:13" ht="15" hidden="1" customHeight="1" x14ac:dyDescent="0.25">
      <c r="B66" s="48" t="str">
        <f>B60</f>
        <v>per 1000 youth</v>
      </c>
      <c r="C66" s="55">
        <f>C60</f>
        <v>1.482</v>
      </c>
      <c r="D66" s="55">
        <f>D60</f>
        <v>0</v>
      </c>
      <c r="E66" s="55">
        <f>MAX(C66:D66)</f>
        <v>1.482</v>
      </c>
      <c r="G66" s="1" t="str">
        <f>G60</f>
        <v>per 1000 youth</v>
      </c>
      <c r="L66" s="57">
        <f>L60</f>
        <v>1000</v>
      </c>
      <c r="M66" s="57">
        <f>IF((B66=G66),1,2)</f>
        <v>1</v>
      </c>
    </row>
    <row r="67" spans="2:13" ht="15" hidden="1" customHeight="1" x14ac:dyDescent="0.25">
      <c r="B67" s="48" t="str">
        <f t="shared" ref="B67:D68" si="12">IF(($E61&gt;0),B61,B60)</f>
        <v>per 100 arrests</v>
      </c>
      <c r="C67" s="48">
        <f t="shared" si="12"/>
        <v>1</v>
      </c>
      <c r="D67" s="48">
        <f t="shared" si="12"/>
        <v>0</v>
      </c>
      <c r="E67" s="48">
        <f>MAX(C67:D67)</f>
        <v>1</v>
      </c>
      <c r="G67" s="1" t="str">
        <f>G61</f>
        <v>per 100 arrests</v>
      </c>
      <c r="L67" s="57">
        <f>IF(($E61&gt;0),L61,L60)</f>
        <v>100</v>
      </c>
      <c r="M67" s="57">
        <f>IF((B67=G67),1,2)</f>
        <v>1</v>
      </c>
    </row>
    <row r="68" spans="2:13" ht="15" hidden="1" customHeight="1" x14ac:dyDescent="0.25">
      <c r="B68" s="48" t="str">
        <f t="shared" si="12"/>
        <v>per 100 referrals</v>
      </c>
      <c r="C68" s="48">
        <f t="shared" si="12"/>
        <v>1.27</v>
      </c>
      <c r="D68" s="48">
        <f t="shared" si="12"/>
        <v>0</v>
      </c>
      <c r="E68" s="48">
        <f>MAX(C68:D68)</f>
        <v>1.27</v>
      </c>
      <c r="G68" s="1" t="str">
        <f>G62</f>
        <v>per 100 referrals</v>
      </c>
      <c r="L68" s="57">
        <f>IF(($E62&gt;0),L62,L61)</f>
        <v>100</v>
      </c>
      <c r="M68" s="57">
        <f>IF((B68=G68),1,2)</f>
        <v>1</v>
      </c>
    </row>
    <row r="69" spans="2:13" ht="15" hidden="1" customHeight="1" x14ac:dyDescent="0.25">
      <c r="B69" s="48" t="str">
        <f>IF(($E63&gt;0),B63,B61)</f>
        <v>per 100 youth petitioned</v>
      </c>
      <c r="C69" s="48">
        <f>IF(($E63&gt;0),C63,C62)</f>
        <v>0.4</v>
      </c>
      <c r="D69" s="48">
        <f>IF(($E63&gt;0),D63,D62)</f>
        <v>0</v>
      </c>
      <c r="E69" s="48">
        <f>MAX(C69:D69)</f>
        <v>0.4</v>
      </c>
      <c r="G69" s="1" t="str">
        <f>G63</f>
        <v>per 100 youth petitioned</v>
      </c>
      <c r="L69" s="57">
        <f>IF(($E63&gt;0),L63,L62)</f>
        <v>100</v>
      </c>
      <c r="M69" s="57">
        <f>IF((B69=G69),1,2)</f>
        <v>1</v>
      </c>
    </row>
    <row r="70" spans="2:13" ht="15" hidden="1" customHeight="1" x14ac:dyDescent="0.25">
      <c r="B70" s="48" t="str">
        <f>IF(($E64&gt;0),B64,B63)</f>
        <v>per 100 youth found delinquent</v>
      </c>
      <c r="C70" s="48">
        <f>IF(($E64&gt;0),C64,C63)</f>
        <v>0.42</v>
      </c>
      <c r="D70" s="48">
        <f>IF(($E64&gt;0),D64,D63)</f>
        <v>0</v>
      </c>
      <c r="E70" s="55">
        <f>MAX(C70:D70)</f>
        <v>0.42</v>
      </c>
      <c r="G70" s="1" t="str">
        <f>G64</f>
        <v>per 100 youth found delinquent</v>
      </c>
      <c r="L70" s="57">
        <f>IF(($E64&gt;0),L64,L63)</f>
        <v>100</v>
      </c>
      <c r="M70" s="57">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59"/>
    </row>
    <row r="83" spans="2:2" ht="15" hidden="1" customHeight="1" x14ac:dyDescent="0.25">
      <c r="B83" s="60"/>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0"/>
  <sheetViews>
    <sheetView showGridLines="0" showRowColHeaders="0" zoomScale="95" zoomScaleNormal="95" workbookViewId="0">
      <selection activeCell="I5" sqref="I5"/>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7" hidden="1" customWidth="1"/>
    <col min="21" max="21" width="12" style="18" hidden="1" customWidth="1"/>
    <col min="22" max="26" width="0" style="1" hidden="1" customWidth="1"/>
  </cols>
  <sheetData>
    <row r="1" spans="2:21" ht="27.75" customHeight="1" x14ac:dyDescent="0.25">
      <c r="B1" s="15" t="s">
        <v>29</v>
      </c>
      <c r="D1" s="19" t="s">
        <v>30</v>
      </c>
      <c r="E1" s="13"/>
      <c r="F1" s="211" t="str">
        <f>'Data Entry'!H5</f>
        <v>American Indian or Alaska Native</v>
      </c>
      <c r="G1" s="211"/>
      <c r="H1" s="211"/>
      <c r="I1" s="211"/>
      <c r="J1" s="211"/>
      <c r="K1" s="8"/>
      <c r="N1" s="20"/>
      <c r="O1" s="20"/>
      <c r="P1" s="20"/>
      <c r="Q1" s="20"/>
      <c r="R1" s="20"/>
    </row>
    <row r="2" spans="2:21" ht="15" customHeight="1" x14ac:dyDescent="0.25">
      <c r="B2" s="4" t="str">
        <f>'Data Entry'!A2</f>
        <v>State: Michigan</v>
      </c>
      <c r="C2" s="4"/>
      <c r="D2" s="4"/>
      <c r="E2" s="4"/>
      <c r="F2" s="4"/>
      <c r="N2" s="20"/>
      <c r="O2" s="20"/>
      <c r="P2" s="20"/>
      <c r="Q2" s="20"/>
      <c r="R2" s="20"/>
    </row>
    <row r="3" spans="2:21" ht="15" customHeight="1" x14ac:dyDescent="0.25">
      <c r="B3" s="4" t="str">
        <f>'Data Entry'!A3</f>
        <v>County: Roscommon</v>
      </c>
      <c r="C3" s="21"/>
      <c r="D3" s="21"/>
      <c r="E3" s="21"/>
      <c r="F3" s="21"/>
      <c r="G3" s="7"/>
      <c r="H3" s="7"/>
      <c r="I3" s="7"/>
      <c r="J3" s="7"/>
      <c r="K3" s="7"/>
      <c r="N3" s="210" t="s">
        <v>31</v>
      </c>
      <c r="O3" s="210"/>
      <c r="P3" s="210"/>
      <c r="Q3" s="210"/>
      <c r="R3" s="210"/>
      <c r="S3" s="210"/>
      <c r="T3" s="210"/>
      <c r="U3" s="210"/>
    </row>
    <row r="4" spans="2:21" ht="8.25" customHeight="1" x14ac:dyDescent="0.25">
      <c r="B4" s="4"/>
      <c r="C4" s="22"/>
      <c r="D4" s="22"/>
      <c r="E4" s="22"/>
      <c r="F4" s="22"/>
      <c r="G4" s="8"/>
      <c r="H4" s="8"/>
      <c r="I4" s="8"/>
      <c r="N4" s="210"/>
      <c r="O4" s="210"/>
      <c r="P4" s="210"/>
      <c r="Q4" s="210"/>
      <c r="R4" s="210"/>
      <c r="S4" s="210"/>
      <c r="T4" s="210"/>
      <c r="U4" s="210"/>
    </row>
    <row r="5" spans="2:21" ht="66.75" customHeight="1" x14ac:dyDescent="0.25">
      <c r="B5" s="23" t="s">
        <v>32</v>
      </c>
      <c r="C5" s="24" t="s">
        <v>33</v>
      </c>
      <c r="D5" s="25" t="s">
        <v>34</v>
      </c>
      <c r="E5" s="24" t="s">
        <v>35</v>
      </c>
      <c r="F5" s="24" t="s">
        <v>36</v>
      </c>
      <c r="G5" s="26" t="s">
        <v>37</v>
      </c>
      <c r="H5" s="24"/>
      <c r="I5" s="24"/>
      <c r="J5" s="24" t="s">
        <v>38</v>
      </c>
      <c r="K5" s="27" t="s">
        <v>39</v>
      </c>
      <c r="L5" s="8" t="s">
        <v>40</v>
      </c>
      <c r="M5" s="8" t="s">
        <v>41</v>
      </c>
      <c r="N5" s="28" t="s">
        <v>42</v>
      </c>
      <c r="O5" s="20" t="s">
        <v>43</v>
      </c>
      <c r="P5" s="20" t="s">
        <v>44</v>
      </c>
      <c r="Q5" s="20" t="s">
        <v>45</v>
      </c>
      <c r="R5" s="20" t="s">
        <v>46</v>
      </c>
      <c r="S5" s="29" t="s">
        <v>47</v>
      </c>
      <c r="T5" s="29" t="s">
        <v>48</v>
      </c>
      <c r="U5" s="30" t="s">
        <v>49</v>
      </c>
    </row>
    <row r="6" spans="2:21" ht="20.25" customHeight="1" x14ac:dyDescent="0.25">
      <c r="B6" s="31" t="str">
        <f>'Data Entry'!A6</f>
        <v xml:space="preserve">1. Population at risk (age 10 through 16) </v>
      </c>
      <c r="C6" s="32">
        <f>'Data Entry'!C6</f>
        <v>1482</v>
      </c>
      <c r="D6" s="33"/>
      <c r="E6" s="32">
        <f>'Data Entry'!H6</f>
        <v>17</v>
      </c>
      <c r="F6" s="33"/>
      <c r="G6" s="34"/>
      <c r="H6" s="35"/>
      <c r="I6" s="36"/>
      <c r="J6" s="37"/>
      <c r="K6" s="36"/>
      <c r="L6" s="1">
        <f>IF( ('Data Entry'!H6&gt;('Data Entry'!B6/100)),1,100)</f>
        <v>1</v>
      </c>
      <c r="M6" s="1" t="s">
        <v>50</v>
      </c>
      <c r="N6" s="20"/>
      <c r="O6" s="20"/>
      <c r="P6" s="20"/>
      <c r="Q6" s="20"/>
      <c r="R6" s="20"/>
      <c r="S6" s="29"/>
      <c r="T6" s="29"/>
      <c r="U6" s="30"/>
    </row>
    <row r="7" spans="2:21" ht="18" customHeight="1" x14ac:dyDescent="0.25">
      <c r="B7" s="31" t="str">
        <f>'Data Entry'!A7</f>
        <v xml:space="preserve">2. Juvenile Arrests </v>
      </c>
      <c r="C7" s="32">
        <f>'Data Entry'!C7</f>
        <v>100</v>
      </c>
      <c r="D7" s="33">
        <f>IF((AND(C66&gt;0,C7&gt;0)),(C7/C66),0)</f>
        <v>67.476383265856953</v>
      </c>
      <c r="E7" s="32">
        <f>'Data Entry'!H7</f>
        <v>0</v>
      </c>
      <c r="F7" s="33">
        <f>IF((AND($E$7&gt;0,$D$66&gt;0)),($E$7/$D$66),0)</f>
        <v>0</v>
      </c>
      <c r="G7" s="38" t="str">
        <f t="shared" ref="G7:G15" si="0">IF(L$6=100,"*",IF(M7=FALSE,"--",IF(K7=20,"**",($F7/$D7))))</f>
        <v>**</v>
      </c>
      <c r="H7" s="39"/>
      <c r="I7" s="40"/>
      <c r="J7" s="39">
        <f>IF((ABS($U7)&gt;Defaults!D$7),1,2)</f>
        <v>2</v>
      </c>
      <c r="K7" s="38">
        <f>IF((AND(N7&gt;Defaults!B$12,(N7+O7)&gt;Defaults!B$13, P7 &gt; Defaults!B$12, (P7+Q7) &gt; Defaults!B$13)),1,20)</f>
        <v>20</v>
      </c>
      <c r="L7" s="1">
        <f t="shared" ref="L7:L15" si="1">(J7*K7+L$6)-1</f>
        <v>40</v>
      </c>
      <c r="M7" s="1" t="b">
        <f t="shared" ref="M7:M15" si="2">(ISNUMBER(J7))</f>
        <v>1</v>
      </c>
      <c r="N7" s="41">
        <f t="shared" ref="N7:N15" si="3">E7</f>
        <v>0</v>
      </c>
      <c r="O7" s="41">
        <f>E6-E7</f>
        <v>17</v>
      </c>
      <c r="P7" s="41">
        <f t="shared" ref="P7:P15" si="4">C7</f>
        <v>100</v>
      </c>
      <c r="Q7" s="41">
        <f>C6-C7</f>
        <v>1382</v>
      </c>
      <c r="R7" s="41">
        <f t="shared" ref="R7:R15" si="5">SUM(N7:Q7)</f>
        <v>1499</v>
      </c>
      <c r="S7" s="29">
        <f t="shared" ref="S7:S15" si="6">R7*((((N7*Q7)-(O7*P7))^2))</f>
        <v>4332110000</v>
      </c>
      <c r="T7" s="29">
        <f t="shared" ref="T7:T15" si="7">(N7+O7)*(P7+Q7)*(N7+P7)*(O7+Q7)</f>
        <v>3524640600</v>
      </c>
      <c r="U7" s="30">
        <f t="shared" ref="U7:U15" si="8">IF((S7&gt;0),S7/T7,"- -")</f>
        <v>1.2290926910391942</v>
      </c>
    </row>
    <row r="8" spans="2:21" ht="18" customHeight="1" x14ac:dyDescent="0.25">
      <c r="B8" s="31" t="str">
        <f>'Data Entry'!A8</f>
        <v>3. Refer to Juvenile Court</v>
      </c>
      <c r="C8" s="32">
        <f>'Data Entry'!C8</f>
        <v>127</v>
      </c>
      <c r="D8" s="33">
        <f>IF((AND(C67&gt;0,C8&gt;0)),(C8/C67),0)</f>
        <v>127</v>
      </c>
      <c r="E8" s="32">
        <f>'Data Entry'!H8</f>
        <v>0</v>
      </c>
      <c r="F8" s="33">
        <f>IF((AND($E$8&gt;0,$D$67&gt;0)),($E8/$D67),0)</f>
        <v>0</v>
      </c>
      <c r="G8" s="38" t="str">
        <f t="shared" si="0"/>
        <v>**</v>
      </c>
      <c r="H8" s="39"/>
      <c r="I8" s="40"/>
      <c r="J8" s="39">
        <f>IF((ABS($U8)&gt;Defaults!D$7),1,2)</f>
        <v>2</v>
      </c>
      <c r="K8" s="38">
        <f>IF((AND(N8&gt;Defaults!B$12,(N8+O8)&gt;Defaults!B$13, P8 &gt; Defaults!B$12, (P8+Q8) &gt; Defaults!B$13)),1,20)</f>
        <v>20</v>
      </c>
      <c r="L8" s="1">
        <f t="shared" si="1"/>
        <v>40</v>
      </c>
      <c r="M8" s="1" t="b">
        <f t="shared" si="2"/>
        <v>1</v>
      </c>
      <c r="N8" s="41">
        <f t="shared" si="3"/>
        <v>0</v>
      </c>
      <c r="O8" s="41">
        <f>((D67*L67)-E8)+0.05</f>
        <v>0.05</v>
      </c>
      <c r="P8" s="41">
        <f t="shared" si="4"/>
        <v>127</v>
      </c>
      <c r="Q8" s="41">
        <f>(C$67*L67)-C8</f>
        <v>-27</v>
      </c>
      <c r="R8" s="41">
        <f t="shared" si="5"/>
        <v>100.05</v>
      </c>
      <c r="S8" s="29">
        <f t="shared" si="6"/>
        <v>4034.2661250000006</v>
      </c>
      <c r="T8" s="29">
        <f t="shared" si="7"/>
        <v>-17113.25</v>
      </c>
      <c r="U8" s="30">
        <f t="shared" si="8"/>
        <v>-0.23573933209647499</v>
      </c>
    </row>
    <row r="9" spans="2:21" ht="18" customHeight="1" x14ac:dyDescent="0.25">
      <c r="B9" s="31" t="str">
        <f>'Data Entry'!A9</f>
        <v xml:space="preserve">4. Cases Diverted </v>
      </c>
      <c r="C9" s="32">
        <f>'Data Entry'!C9</f>
        <v>0</v>
      </c>
      <c r="D9" s="33">
        <f>IF((AND(C68&gt;0,C9&gt;0)),((C9/C68)),0)</f>
        <v>0</v>
      </c>
      <c r="E9" s="32">
        <f>'Data Entry'!H9</f>
        <v>0</v>
      </c>
      <c r="F9" s="33">
        <f>IF((AND($E$9&gt;0,$D$68&gt;0)),(($E$9/$D$68)),0)</f>
        <v>0</v>
      </c>
      <c r="G9" s="38" t="str">
        <f t="shared" si="0"/>
        <v>--</v>
      </c>
      <c r="H9" s="39"/>
      <c r="I9" s="40"/>
      <c r="J9" s="39" t="e">
        <f>IF((ABS($U9)&gt;Defaults!D$7),1,2)</f>
        <v>#VALUE!</v>
      </c>
      <c r="K9" s="38">
        <f>IF((AND(N9&gt;Defaults!B$12,(N9+O9)&gt;Defaults!B$13, P9 &gt; Defaults!B$12, (P9+Q9) &gt; Defaults!B$13)),1,20)</f>
        <v>20</v>
      </c>
      <c r="L9" s="1" t="e">
        <f t="shared" si="1"/>
        <v>#VALUE!</v>
      </c>
      <c r="M9" s="1" t="b">
        <f t="shared" si="2"/>
        <v>0</v>
      </c>
      <c r="N9" s="41">
        <f t="shared" si="3"/>
        <v>0</v>
      </c>
      <c r="O9" s="41">
        <f>(D$68*L68)-E9</f>
        <v>0</v>
      </c>
      <c r="P9" s="41">
        <f t="shared" si="4"/>
        <v>0</v>
      </c>
      <c r="Q9" s="41">
        <f>(C$68*L68)-C9</f>
        <v>127</v>
      </c>
      <c r="R9" s="41">
        <f t="shared" si="5"/>
        <v>127</v>
      </c>
      <c r="S9" s="29">
        <f t="shared" si="6"/>
        <v>0</v>
      </c>
      <c r="T9" s="29">
        <f t="shared" si="7"/>
        <v>0</v>
      </c>
      <c r="U9" s="30" t="str">
        <f t="shared" si="8"/>
        <v>- -</v>
      </c>
    </row>
    <row r="10" spans="2:21" ht="18" customHeight="1" x14ac:dyDescent="0.25">
      <c r="B10" s="31" t="str">
        <f>'Data Entry'!A10</f>
        <v>5. Cases Involving Secure Detention</v>
      </c>
      <c r="C10" s="32">
        <f>'Data Entry'!C10</f>
        <v>9</v>
      </c>
      <c r="D10" s="33">
        <f>IF(((AND(C68&gt;0,C10&gt;0))),(C10/(C68)),0)</f>
        <v>7.0866141732283463</v>
      </c>
      <c r="E10" s="32">
        <f>'Data Entry'!H10</f>
        <v>0</v>
      </c>
      <c r="F10" s="33">
        <f>IF(((AND($E$10&gt;0,$D$68&gt;0))),($E$10/($D$68)),0)</f>
        <v>0</v>
      </c>
      <c r="G10" s="38" t="str">
        <f t="shared" si="0"/>
        <v>--</v>
      </c>
      <c r="H10" s="39"/>
      <c r="I10" s="40"/>
      <c r="J10" s="39" t="e">
        <f>IF((ABS($U10)&gt;Defaults!D$7),1,2)</f>
        <v>#VALUE!</v>
      </c>
      <c r="K10" s="38">
        <f>IF((AND(N10&gt;Defaults!B$12,(N10+O10)&gt;Defaults!B$13, P10 &gt; Defaults!B$12, (P10+Q10) &gt; Defaults!B$13)),1,20)</f>
        <v>20</v>
      </c>
      <c r="L10" s="1" t="e">
        <f t="shared" si="1"/>
        <v>#VALUE!</v>
      </c>
      <c r="M10" s="1" t="b">
        <f t="shared" si="2"/>
        <v>0</v>
      </c>
      <c r="N10" s="41">
        <f t="shared" si="3"/>
        <v>0</v>
      </c>
      <c r="O10" s="41">
        <f>(D$68*L68)-E10</f>
        <v>0</v>
      </c>
      <c r="P10" s="41">
        <f t="shared" si="4"/>
        <v>9</v>
      </c>
      <c r="Q10" s="41">
        <f>(C$68*L68)-C10</f>
        <v>118</v>
      </c>
      <c r="R10" s="41">
        <f t="shared" si="5"/>
        <v>127</v>
      </c>
      <c r="S10" s="29">
        <f t="shared" si="6"/>
        <v>0</v>
      </c>
      <c r="T10" s="29">
        <f t="shared" si="7"/>
        <v>0</v>
      </c>
      <c r="U10" s="30" t="str">
        <f t="shared" si="8"/>
        <v>- -</v>
      </c>
    </row>
    <row r="11" spans="2:21" ht="18" customHeight="1" x14ac:dyDescent="0.25">
      <c r="B11" s="31" t="str">
        <f>'Data Entry'!A11</f>
        <v>6. Cases Petitioned (Charge Filed)</v>
      </c>
      <c r="C11" s="32">
        <f>'Data Entry'!C11</f>
        <v>40</v>
      </c>
      <c r="D11" s="33">
        <f>IF(((AND(C68&gt;0,C11&gt;0))),(C11/(C68)),0)</f>
        <v>31.496062992125985</v>
      </c>
      <c r="E11" s="32">
        <f>'Data Entry'!H11</f>
        <v>0</v>
      </c>
      <c r="F11" s="33">
        <f>IF(((AND($E$11&gt;0,$D$68&gt;0))),($E$11/($D$68)),0)</f>
        <v>0</v>
      </c>
      <c r="G11" s="38" t="str">
        <f t="shared" si="0"/>
        <v>--</v>
      </c>
      <c r="H11" s="39"/>
      <c r="I11" s="40"/>
      <c r="J11" s="39" t="e">
        <f>IF((ABS($U11)&gt;Defaults!D$7),1,2)</f>
        <v>#VALUE!</v>
      </c>
      <c r="K11" s="38">
        <f>IF((AND(N11&gt;Defaults!B$12,(N11+O11)&gt;Defaults!B$13, P11 &gt; Defaults!B$12, (P11+Q11) &gt; Defaults!B$13)),1,20)</f>
        <v>20</v>
      </c>
      <c r="L11" s="1" t="e">
        <f t="shared" si="1"/>
        <v>#VALUE!</v>
      </c>
      <c r="M11" s="1" t="b">
        <f t="shared" si="2"/>
        <v>0</v>
      </c>
      <c r="N11" s="41">
        <f t="shared" si="3"/>
        <v>0</v>
      </c>
      <c r="O11" s="41">
        <f>(D$68*L68)-E11</f>
        <v>0</v>
      </c>
      <c r="P11" s="41">
        <f t="shared" si="4"/>
        <v>40</v>
      </c>
      <c r="Q11" s="41">
        <f>(C$68*L68)-C11</f>
        <v>87</v>
      </c>
      <c r="R11" s="41">
        <f t="shared" si="5"/>
        <v>127</v>
      </c>
      <c r="S11" s="29">
        <f t="shared" si="6"/>
        <v>0</v>
      </c>
      <c r="T11" s="29">
        <f t="shared" si="7"/>
        <v>0</v>
      </c>
      <c r="U11" s="30" t="str">
        <f t="shared" si="8"/>
        <v>- -</v>
      </c>
    </row>
    <row r="12" spans="2:21" ht="18" customHeight="1" x14ac:dyDescent="0.25">
      <c r="B12" s="31" t="str">
        <f>'Data Entry'!A12</f>
        <v>7. Cases Resulting in Delinquent Findings</v>
      </c>
      <c r="C12" s="32">
        <f>'Data Entry'!C12</f>
        <v>42</v>
      </c>
      <c r="D12" s="33">
        <f>IF(((AND(C69&gt;0,C12&gt;0))),(C12/(C69)),0)</f>
        <v>105</v>
      </c>
      <c r="E12" s="32">
        <f>'Data Entry'!H12</f>
        <v>0</v>
      </c>
      <c r="F12" s="33">
        <f>IF(((AND($D$69&gt;0,$E$12&gt;0))),(E12/(D69)),0)</f>
        <v>0</v>
      </c>
      <c r="G12" s="38" t="str">
        <f t="shared" si="0"/>
        <v>--</v>
      </c>
      <c r="H12" s="39"/>
      <c r="I12" s="40"/>
      <c r="J12" s="39" t="e">
        <f>IF((ABS($U12)&gt;Defaults!D$7),1,2)</f>
        <v>#VALUE!</v>
      </c>
      <c r="K12" s="38">
        <f>IF((AND(N12&gt;Defaults!B$12,(N12+O12)&gt;Defaults!B$13, P12 &gt; Defaults!B$12, (P12+Q12) &gt; Defaults!B$13)),1,20)</f>
        <v>20</v>
      </c>
      <c r="L12" s="1" t="e">
        <f t="shared" si="1"/>
        <v>#VALUE!</v>
      </c>
      <c r="M12" s="1" t="b">
        <f t="shared" si="2"/>
        <v>0</v>
      </c>
      <c r="N12" s="41">
        <f t="shared" si="3"/>
        <v>0</v>
      </c>
      <c r="O12" s="41">
        <f>(D69*L69)-E12</f>
        <v>0</v>
      </c>
      <c r="P12" s="41">
        <f t="shared" si="4"/>
        <v>42</v>
      </c>
      <c r="Q12" s="41">
        <f>(C69*L69)-C12</f>
        <v>-2</v>
      </c>
      <c r="R12" s="41">
        <f t="shared" si="5"/>
        <v>40</v>
      </c>
      <c r="S12" s="29">
        <f t="shared" si="6"/>
        <v>0</v>
      </c>
      <c r="T12" s="29">
        <f t="shared" si="7"/>
        <v>0</v>
      </c>
      <c r="U12" s="30" t="str">
        <f t="shared" si="8"/>
        <v>- -</v>
      </c>
    </row>
    <row r="13" spans="2:21" ht="18" customHeight="1" x14ac:dyDescent="0.25">
      <c r="B13" s="31" t="str">
        <f>'Data Entry'!A13</f>
        <v>8. Cases Resulting in Probation Placement</v>
      </c>
      <c r="C13" s="32">
        <f>'Data Entry'!C13</f>
        <v>91</v>
      </c>
      <c r="D13" s="33">
        <f>IF(((AND(C70&gt;0,C13&gt;0))),(C13/(C70)),0)</f>
        <v>216.66666666666669</v>
      </c>
      <c r="E13" s="32">
        <f>'Data Entry'!H13</f>
        <v>0</v>
      </c>
      <c r="F13" s="33">
        <f>IF(((AND($D$70&gt;0,$E$13&gt;0))),($E$13/($D$70)),0)</f>
        <v>0</v>
      </c>
      <c r="G13" s="38" t="str">
        <f t="shared" si="0"/>
        <v>--</v>
      </c>
      <c r="H13" s="39"/>
      <c r="I13" s="40"/>
      <c r="J13" s="39" t="e">
        <f>IF((ABS($U13)&gt;Defaults!D$7),1,2)</f>
        <v>#VALUE!</v>
      </c>
      <c r="K13" s="38">
        <f>IF((AND(N13&gt;Defaults!B$12,(N13+O13)&gt;Defaults!B$13, P13 &gt; Defaults!B$12, (P13+Q13) &gt; Defaults!B$13)),1,20)</f>
        <v>20</v>
      </c>
      <c r="L13" s="1" t="e">
        <f t="shared" si="1"/>
        <v>#VALUE!</v>
      </c>
      <c r="M13" s="1" t="b">
        <f t="shared" si="2"/>
        <v>0</v>
      </c>
      <c r="N13" s="41">
        <f t="shared" si="3"/>
        <v>0</v>
      </c>
      <c r="O13" s="41">
        <f>(D70*L70)-E13</f>
        <v>0</v>
      </c>
      <c r="P13" s="41">
        <f t="shared" si="4"/>
        <v>91</v>
      </c>
      <c r="Q13" s="41">
        <f>(C70*L70)-C13</f>
        <v>-49</v>
      </c>
      <c r="R13" s="41">
        <f t="shared" si="5"/>
        <v>42</v>
      </c>
      <c r="S13" s="29">
        <f t="shared" si="6"/>
        <v>0</v>
      </c>
      <c r="T13" s="29">
        <f t="shared" si="7"/>
        <v>0</v>
      </c>
      <c r="U13" s="30" t="str">
        <f t="shared" si="8"/>
        <v>- -</v>
      </c>
    </row>
    <row r="14" spans="2:21" ht="30.75" customHeight="1" x14ac:dyDescent="0.25">
      <c r="B14" s="31" t="str">
        <f>'Data Entry'!A14</f>
        <v xml:space="preserve">9. Cases Resulting in Confinement in Secure Juvenile Correctional Facilities </v>
      </c>
      <c r="C14" s="32">
        <f>'Data Entry'!C14</f>
        <v>36</v>
      </c>
      <c r="D14" s="33">
        <f>IF(((AND(C70&gt;0,C14&gt;0))), ((C14/(C70))),0)</f>
        <v>85.714285714285722</v>
      </c>
      <c r="E14" s="32">
        <f>'Data Entry'!H14</f>
        <v>0</v>
      </c>
      <c r="F14" s="33">
        <f>IF(((AND($D$70&gt;0,$E$14&gt;0))), (($E$14/($D$70))),0)</f>
        <v>0</v>
      </c>
      <c r="G14" s="38" t="str">
        <f t="shared" si="0"/>
        <v>--</v>
      </c>
      <c r="H14" s="39"/>
      <c r="I14" s="40"/>
      <c r="J14" s="39" t="e">
        <f>IF((ABS($U14)&gt;Defaults!D$7),1,2)</f>
        <v>#VALUE!</v>
      </c>
      <c r="K14" s="38">
        <f>IF((AND(N14&gt;Defaults!B$12,(N14+O14)&gt;Defaults!B$13, P14 &gt; Defaults!B$12, (P14+Q14) &gt; Defaults!B$13)),1,20)</f>
        <v>20</v>
      </c>
      <c r="L14" s="1" t="e">
        <f t="shared" si="1"/>
        <v>#VALUE!</v>
      </c>
      <c r="M14" s="1" t="b">
        <f t="shared" si="2"/>
        <v>0</v>
      </c>
      <c r="N14" s="41">
        <f t="shared" si="3"/>
        <v>0</v>
      </c>
      <c r="O14" s="41">
        <f>(D70*L70)-E14</f>
        <v>0</v>
      </c>
      <c r="P14" s="41">
        <f t="shared" si="4"/>
        <v>36</v>
      </c>
      <c r="Q14" s="41">
        <f>(C70*L70)-C14</f>
        <v>6</v>
      </c>
      <c r="R14" s="41">
        <f t="shared" si="5"/>
        <v>42</v>
      </c>
      <c r="S14" s="29">
        <f t="shared" si="6"/>
        <v>0</v>
      </c>
      <c r="T14" s="29">
        <f t="shared" si="7"/>
        <v>0</v>
      </c>
      <c r="U14" s="30" t="str">
        <f t="shared" si="8"/>
        <v>- -</v>
      </c>
    </row>
    <row r="15" spans="2:21" ht="15.75" customHeight="1" x14ac:dyDescent="0.25">
      <c r="B15" s="31" t="str">
        <f>'Data Entry'!A15</f>
        <v xml:space="preserve">10. Cases Transferred to Adult Court </v>
      </c>
      <c r="C15" s="32">
        <f>'Data Entry'!C15</f>
        <v>0</v>
      </c>
      <c r="D15" s="33">
        <f>IF(((AND(C69&gt;0,C15&gt;0))),((C15/(C69))),0)</f>
        <v>0</v>
      </c>
      <c r="E15" s="32">
        <f>'Data Entry'!H15</f>
        <v>0</v>
      </c>
      <c r="F15" s="33">
        <f>IF(((AND($D$69&gt;0,$E$15&gt;0))),(($E$15/($D$69))),0)</f>
        <v>0</v>
      </c>
      <c r="G15" s="38" t="str">
        <f t="shared" si="0"/>
        <v>--</v>
      </c>
      <c r="H15" s="39"/>
      <c r="I15" s="40"/>
      <c r="J15" s="39" t="e">
        <f>IF((ABS($U15)&gt;Defaults!D$7),1,2)</f>
        <v>#VALUE!</v>
      </c>
      <c r="K15" s="38">
        <f>IF((AND(N15&gt;Defaults!B$12,(N15+O15)&gt;Defaults!B$13, P15 &gt; Defaults!B$12, (P15+Q15) &gt; Defaults!B$13)),1,20)</f>
        <v>20</v>
      </c>
      <c r="L15" s="1" t="e">
        <f t="shared" si="1"/>
        <v>#VALUE!</v>
      </c>
      <c r="M15" s="1" t="b">
        <f t="shared" si="2"/>
        <v>0</v>
      </c>
      <c r="N15" s="41">
        <f t="shared" si="3"/>
        <v>0</v>
      </c>
      <c r="O15" s="41">
        <f>(D69*L69)-E15</f>
        <v>0</v>
      </c>
      <c r="P15" s="41">
        <f t="shared" si="4"/>
        <v>0</v>
      </c>
      <c r="Q15" s="41">
        <f>(C69*L69)-C15</f>
        <v>40</v>
      </c>
      <c r="R15" s="41">
        <f t="shared" si="5"/>
        <v>40</v>
      </c>
      <c r="S15" s="29">
        <f t="shared" si="6"/>
        <v>0</v>
      </c>
      <c r="T15" s="29">
        <f t="shared" si="7"/>
        <v>0</v>
      </c>
      <c r="U15" s="30" t="str">
        <f t="shared" si="8"/>
        <v>- -</v>
      </c>
    </row>
    <row r="16" spans="2:21" ht="12" customHeight="1" x14ac:dyDescent="0.25">
      <c r="B16" s="42" t="s">
        <v>93</v>
      </c>
      <c r="C16" s="43"/>
      <c r="D16" s="43"/>
      <c r="E16" s="43"/>
      <c r="F16" s="43"/>
      <c r="G16" s="43"/>
      <c r="H16" s="43"/>
      <c r="I16" s="43"/>
      <c r="N16" s="20"/>
      <c r="O16" s="20"/>
      <c r="P16" s="20"/>
      <c r="Q16" s="20"/>
      <c r="R16" s="20"/>
      <c r="S16" s="29"/>
      <c r="T16" s="29"/>
      <c r="U16" s="30"/>
    </row>
    <row r="17" spans="2:21" ht="26.25" customHeight="1" x14ac:dyDescent="0.25">
      <c r="B17" s="61"/>
      <c r="C17" s="61"/>
      <c r="D17" s="61"/>
      <c r="E17" s="61"/>
      <c r="F17" s="61"/>
      <c r="G17" s="61"/>
      <c r="H17" s="61"/>
      <c r="I17" s="61"/>
      <c r="K17" s="1" t="s">
        <v>94</v>
      </c>
      <c r="L17" s="1" t="s">
        <v>95</v>
      </c>
      <c r="N17" s="20"/>
      <c r="O17" s="20"/>
      <c r="P17" s="20"/>
      <c r="Q17" s="20"/>
      <c r="R17" s="20"/>
      <c r="S17" s="29"/>
      <c r="T17" s="29"/>
      <c r="U17" s="30"/>
    </row>
    <row r="18" spans="2:21" ht="15" customHeight="1" x14ac:dyDescent="0.25">
      <c r="B18" s="1" t="s">
        <v>52</v>
      </c>
    </row>
    <row r="19" spans="2:21" ht="15" customHeight="1" x14ac:dyDescent="0.25">
      <c r="B19" s="1" t="s">
        <v>53</v>
      </c>
      <c r="D19" s="44" t="s">
        <v>54</v>
      </c>
    </row>
    <row r="20" spans="2:21" ht="15" customHeight="1" x14ac:dyDescent="0.25">
      <c r="B20" s="1" t="s">
        <v>55</v>
      </c>
      <c r="D20" s="1" t="s">
        <v>56</v>
      </c>
    </row>
    <row r="21" spans="2:21" ht="15" customHeight="1" x14ac:dyDescent="0.25">
      <c r="B21" s="1" t="s">
        <v>57</v>
      </c>
      <c r="D21" s="1" t="s">
        <v>58</v>
      </c>
    </row>
    <row r="22" spans="2:21" ht="15" customHeight="1" x14ac:dyDescent="0.25">
      <c r="B22" s="1" t="s">
        <v>59</v>
      </c>
      <c r="D22" s="1" t="s">
        <v>60</v>
      </c>
    </row>
    <row r="23" spans="2:21" ht="15" customHeight="1" x14ac:dyDescent="0.25">
      <c r="B23" s="1" t="s">
        <v>61</v>
      </c>
      <c r="D23" s="1" t="s">
        <v>62</v>
      </c>
    </row>
    <row r="24" spans="2:21" ht="26.25" customHeight="1" x14ac:dyDescent="0.25">
      <c r="B24" s="61"/>
      <c r="C24" s="61"/>
      <c r="D24" s="61"/>
      <c r="E24" s="61"/>
      <c r="F24" s="61"/>
      <c r="G24" s="61"/>
      <c r="H24" s="61"/>
      <c r="I24" s="61"/>
      <c r="N24" s="20"/>
      <c r="O24" s="20"/>
      <c r="P24" s="20"/>
      <c r="Q24" s="20"/>
      <c r="R24" s="20"/>
      <c r="S24" s="29"/>
      <c r="T24" s="29"/>
      <c r="U24" s="30"/>
    </row>
    <row r="25" spans="2:21" ht="15" customHeight="1" x14ac:dyDescent="0.25">
      <c r="B25" s="45" t="s">
        <v>63</v>
      </c>
      <c r="K25" s="1" t="s">
        <v>64</v>
      </c>
      <c r="L25" s="1" t="s">
        <v>65</v>
      </c>
      <c r="N25" s="20"/>
      <c r="O25" s="20" t="b">
        <f>ISBLANK(N12)</f>
        <v>0</v>
      </c>
      <c r="P25" s="20"/>
      <c r="Q25" s="20"/>
      <c r="R25" s="20"/>
    </row>
    <row r="26" spans="2:21" ht="15" customHeight="1" x14ac:dyDescent="0.25">
      <c r="B26" s="46" t="s">
        <v>66</v>
      </c>
      <c r="F26" s="46" t="s">
        <v>67</v>
      </c>
      <c r="G26" s="46"/>
      <c r="H26" s="46"/>
      <c r="I26" s="46"/>
      <c r="J26" s="46"/>
      <c r="K26" s="47" t="s">
        <v>62</v>
      </c>
      <c r="L26" s="47" t="s">
        <v>68</v>
      </c>
      <c r="M26" s="47"/>
      <c r="R26" s="48"/>
    </row>
    <row r="27" spans="2:21" ht="15" customHeight="1" x14ac:dyDescent="0.25">
      <c r="B27" s="49" t="s">
        <v>69</v>
      </c>
      <c r="C27" s="49"/>
      <c r="D27" s="49"/>
      <c r="E27" s="49"/>
      <c r="F27" s="49" t="str">
        <f>B66</f>
        <v>per 1000 youth</v>
      </c>
      <c r="G27" s="49"/>
      <c r="H27" s="49"/>
      <c r="I27" s="49"/>
      <c r="J27" s="49">
        <f>F66</f>
        <v>0</v>
      </c>
      <c r="K27" s="49" t="s">
        <v>60</v>
      </c>
      <c r="L27" s="50" t="s">
        <v>70</v>
      </c>
      <c r="R27" s="48"/>
    </row>
    <row r="28" spans="2:21" ht="15" customHeight="1" x14ac:dyDescent="0.25">
      <c r="B28" s="49" t="s">
        <v>71</v>
      </c>
      <c r="C28" s="49"/>
      <c r="D28" s="49"/>
      <c r="E28" s="49"/>
      <c r="F28" s="51" t="str">
        <f>B67</f>
        <v>per 100 arrests</v>
      </c>
      <c r="G28" s="51"/>
      <c r="H28" s="51"/>
      <c r="I28" s="51"/>
      <c r="J28" s="51"/>
      <c r="K28" s="51" t="s">
        <v>58</v>
      </c>
      <c r="L28" s="52" t="s">
        <v>72</v>
      </c>
      <c r="R28" s="48"/>
    </row>
    <row r="29" spans="2:21" ht="15" customHeight="1" x14ac:dyDescent="0.25">
      <c r="B29" s="51" t="s">
        <v>73</v>
      </c>
      <c r="C29" s="51"/>
      <c r="D29" s="51"/>
      <c r="E29" s="51"/>
      <c r="F29" s="51" t="str">
        <f>B68</f>
        <v>per 100 referrals</v>
      </c>
      <c r="G29" s="51"/>
      <c r="H29" s="51"/>
      <c r="I29" s="51"/>
      <c r="J29" s="51"/>
      <c r="K29" s="51"/>
      <c r="L29" s="52"/>
      <c r="R29" s="48"/>
    </row>
    <row r="30" spans="2:21" ht="15" customHeight="1" x14ac:dyDescent="0.25">
      <c r="B30" s="51" t="s">
        <v>74</v>
      </c>
      <c r="C30" s="51"/>
      <c r="D30" s="51"/>
      <c r="E30" s="51"/>
      <c r="F30" s="51" t="str">
        <f>B68</f>
        <v>per 100 referrals</v>
      </c>
      <c r="G30" s="51"/>
      <c r="H30" s="51"/>
      <c r="I30" s="51"/>
      <c r="J30" s="51"/>
      <c r="K30" s="51"/>
      <c r="L30" s="52"/>
      <c r="N30" s="1" t="b">
        <f>ISNUMBER(J14)</f>
        <v>0</v>
      </c>
      <c r="R30" s="48"/>
    </row>
    <row r="31" spans="2:21" ht="15" customHeight="1" x14ac:dyDescent="0.25">
      <c r="B31" s="51" t="s">
        <v>75</v>
      </c>
      <c r="C31" s="51"/>
      <c r="D31" s="51"/>
      <c r="E31" s="51"/>
      <c r="F31" s="51" t="str">
        <f>B68</f>
        <v>per 100 referrals</v>
      </c>
      <c r="G31" s="51"/>
      <c r="H31" s="51"/>
      <c r="I31" s="51"/>
      <c r="J31" s="51"/>
      <c r="K31" s="51"/>
      <c r="L31" s="52"/>
      <c r="R31" s="48"/>
    </row>
    <row r="32" spans="2:21" ht="15" customHeight="1" x14ac:dyDescent="0.25">
      <c r="B32" s="51" t="s">
        <v>76</v>
      </c>
      <c r="C32" s="51"/>
      <c r="D32" s="51"/>
      <c r="E32" s="51"/>
      <c r="F32" s="51" t="str">
        <f>B69</f>
        <v>per 100 youth petitioned</v>
      </c>
      <c r="G32" s="51"/>
      <c r="H32" s="51"/>
      <c r="I32" s="51"/>
      <c r="J32" s="51"/>
      <c r="K32" s="51"/>
      <c r="L32" s="52"/>
      <c r="R32" s="48"/>
    </row>
    <row r="33" spans="2:18" ht="15" customHeight="1" x14ac:dyDescent="0.25">
      <c r="B33" s="51" t="s">
        <v>77</v>
      </c>
      <c r="C33" s="51"/>
      <c r="D33" s="51"/>
      <c r="E33" s="51"/>
      <c r="F33" s="51" t="str">
        <f>B70</f>
        <v>per 100 youth found delinquent</v>
      </c>
      <c r="G33" s="51"/>
      <c r="H33" s="51"/>
      <c r="I33" s="51"/>
      <c r="J33" s="51"/>
      <c r="K33" s="51"/>
      <c r="L33" s="52"/>
      <c r="R33" s="48"/>
    </row>
    <row r="34" spans="2:18" ht="15" customHeight="1" x14ac:dyDescent="0.25">
      <c r="B34" s="51" t="s">
        <v>78</v>
      </c>
      <c r="C34" s="51"/>
      <c r="D34" s="51"/>
      <c r="E34" s="51"/>
      <c r="F34" s="51" t="str">
        <f>B70</f>
        <v>per 100 youth found delinquent</v>
      </c>
      <c r="G34" s="51"/>
      <c r="H34" s="51"/>
      <c r="I34" s="51"/>
      <c r="J34" s="51"/>
      <c r="K34" s="51"/>
      <c r="L34" s="52"/>
      <c r="R34" s="48"/>
    </row>
    <row r="35" spans="2:18" ht="15" customHeight="1" x14ac:dyDescent="0.25">
      <c r="B35" s="51" t="s">
        <v>79</v>
      </c>
      <c r="C35" s="51"/>
      <c r="D35" s="51"/>
      <c r="E35" s="51"/>
      <c r="F35" s="51" t="str">
        <f>B69</f>
        <v>per 100 youth petitioned</v>
      </c>
      <c r="G35" s="51"/>
      <c r="H35" s="51"/>
      <c r="I35" s="51"/>
      <c r="J35" s="51"/>
      <c r="K35" s="51"/>
      <c r="L35" s="52"/>
      <c r="R35" s="48"/>
    </row>
    <row r="36" spans="2:18" ht="15" customHeight="1" x14ac:dyDescent="0.25">
      <c r="R36" s="48"/>
    </row>
    <row r="37" spans="2:18" ht="15" hidden="1" customHeight="1" x14ac:dyDescent="0.25">
      <c r="R37" s="48"/>
    </row>
    <row r="38" spans="2:18" ht="15" hidden="1" customHeight="1" x14ac:dyDescent="0.25">
      <c r="R38" s="48"/>
    </row>
    <row r="39" spans="2:18" ht="15" hidden="1" customHeight="1" x14ac:dyDescent="0.25">
      <c r="R39" s="48"/>
    </row>
    <row r="40" spans="2:18" ht="30.75" hidden="1" customHeight="1" x14ac:dyDescent="0.25">
      <c r="B40" s="209" t="s">
        <v>80</v>
      </c>
      <c r="C40" s="209"/>
      <c r="D40" s="209"/>
      <c r="E40" s="209"/>
      <c r="F40" s="209"/>
      <c r="G40" s="209"/>
      <c r="H40" s="209"/>
      <c r="I40" s="209"/>
      <c r="J40" s="209"/>
      <c r="K40" s="8"/>
      <c r="R40" s="48"/>
    </row>
    <row r="41" spans="2:18" ht="15" hidden="1" customHeight="1" x14ac:dyDescent="0.25">
      <c r="B41" s="53" t="s">
        <v>81</v>
      </c>
      <c r="C41" s="53" t="s">
        <v>82</v>
      </c>
      <c r="D41" s="54" t="s">
        <v>83</v>
      </c>
      <c r="E41" s="53" t="s">
        <v>84</v>
      </c>
      <c r="G41" s="53" t="s">
        <v>85</v>
      </c>
      <c r="H41" s="53"/>
      <c r="I41" s="53"/>
      <c r="L41" s="1" t="s">
        <v>86</v>
      </c>
      <c r="R41" s="48"/>
    </row>
    <row r="42" spans="2:18" ht="15" hidden="1" customHeight="1" x14ac:dyDescent="0.25">
      <c r="B42" s="48" t="s">
        <v>87</v>
      </c>
      <c r="C42" s="55">
        <f>C6/1000</f>
        <v>1.482</v>
      </c>
      <c r="D42" s="55">
        <f>E6/1000</f>
        <v>1.7000000000000001E-2</v>
      </c>
      <c r="E42" s="55">
        <f>MAX(C42:D42)</f>
        <v>1.482</v>
      </c>
      <c r="G42" s="1" t="str">
        <f>B42</f>
        <v>per 1000 youth</v>
      </c>
      <c r="L42" s="56">
        <v>1000</v>
      </c>
      <c r="M42" s="56"/>
      <c r="R42" s="48"/>
    </row>
    <row r="43" spans="2:18" ht="15" hidden="1" customHeight="1" x14ac:dyDescent="0.25">
      <c r="B43" s="48" t="s">
        <v>88</v>
      </c>
      <c r="C43" s="55">
        <f>C7/100</f>
        <v>1</v>
      </c>
      <c r="D43" s="55">
        <f>E7/100</f>
        <v>0</v>
      </c>
      <c r="E43" s="55">
        <f>MAX(C43:D43,0)</f>
        <v>1</v>
      </c>
      <c r="G43" s="1" t="str">
        <f>B43</f>
        <v>per 100 arrests</v>
      </c>
      <c r="L43" s="56">
        <v>100</v>
      </c>
      <c r="M43" s="56"/>
      <c r="R43" s="48"/>
    </row>
    <row r="44" spans="2:18" ht="15" hidden="1" customHeight="1" x14ac:dyDescent="0.25">
      <c r="B44" s="48" t="s">
        <v>89</v>
      </c>
      <c r="C44" s="55">
        <f>C8/100</f>
        <v>1.27</v>
      </c>
      <c r="D44" s="55">
        <f>E8/100</f>
        <v>0</v>
      </c>
      <c r="E44" s="55">
        <f>MAX(C44:D44,0)</f>
        <v>1.27</v>
      </c>
      <c r="G44" s="1" t="str">
        <f>B44</f>
        <v>per 100 referrals</v>
      </c>
      <c r="L44" s="56">
        <v>100</v>
      </c>
      <c r="M44" s="56"/>
      <c r="R44" s="48"/>
    </row>
    <row r="45" spans="2:18" ht="15" hidden="1" customHeight="1" x14ac:dyDescent="0.25">
      <c r="B45" s="48" t="s">
        <v>90</v>
      </c>
      <c r="C45" s="48">
        <f>C11/100</f>
        <v>0.4</v>
      </c>
      <c r="D45" s="48">
        <f>E11/100</f>
        <v>0</v>
      </c>
      <c r="E45" s="55">
        <f>MAX(C45:D45,0)</f>
        <v>0.4</v>
      </c>
      <c r="G45" s="1" t="str">
        <f>B45</f>
        <v>per 100 youth petitioned</v>
      </c>
      <c r="L45" s="56">
        <v>100</v>
      </c>
      <c r="M45" s="56"/>
      <c r="R45" s="48"/>
    </row>
    <row r="46" spans="2:18" ht="15" hidden="1" customHeight="1" x14ac:dyDescent="0.25">
      <c r="B46" s="48" t="s">
        <v>91</v>
      </c>
      <c r="C46" s="48">
        <f>C12/100</f>
        <v>0.42</v>
      </c>
      <c r="D46" s="48">
        <f>E12/100</f>
        <v>0</v>
      </c>
      <c r="E46" s="55">
        <f>MAX(C46:D46)</f>
        <v>0.42</v>
      </c>
      <c r="G46" s="1" t="str">
        <f>B46</f>
        <v>per 100 youth found delinquent</v>
      </c>
      <c r="L46" s="56">
        <v>100</v>
      </c>
      <c r="M46" s="56"/>
      <c r="R46" s="48"/>
    </row>
    <row r="47" spans="2:18" ht="15" hidden="1" customHeight="1" x14ac:dyDescent="0.25">
      <c r="B47" s="8"/>
      <c r="C47" s="8"/>
      <c r="D47" s="8"/>
      <c r="E47" s="8"/>
      <c r="L47" s="56"/>
      <c r="M47" s="56"/>
      <c r="R47" s="48"/>
    </row>
    <row r="48" spans="2:18" ht="15" hidden="1" customHeight="1" x14ac:dyDescent="0.25">
      <c r="B48" s="48" t="str">
        <f>B42</f>
        <v>per 1000 youth</v>
      </c>
      <c r="C48" s="55">
        <f>C42</f>
        <v>1.482</v>
      </c>
      <c r="D48" s="55">
        <f>D42</f>
        <v>1.7000000000000001E-2</v>
      </c>
      <c r="E48" s="55">
        <f>MAX(C48:D48)</f>
        <v>1.482</v>
      </c>
      <c r="G48" s="1" t="str">
        <f>G42</f>
        <v>per 1000 youth</v>
      </c>
      <c r="L48" s="57">
        <f>L42</f>
        <v>1000</v>
      </c>
      <c r="M48" s="57"/>
      <c r="N48" s="20"/>
      <c r="O48" s="20"/>
      <c r="P48" s="20"/>
      <c r="Q48" s="20"/>
      <c r="R48" s="20"/>
    </row>
    <row r="49" spans="2:18" ht="15" hidden="1" customHeight="1" x14ac:dyDescent="0.25">
      <c r="B49" s="48" t="str">
        <f t="shared" ref="B49:D50" si="9">IF(($E43&gt;0),B43,B42)</f>
        <v>per 100 arrests</v>
      </c>
      <c r="C49" s="48">
        <f t="shared" si="9"/>
        <v>1</v>
      </c>
      <c r="D49" s="48">
        <f t="shared" si="9"/>
        <v>0</v>
      </c>
      <c r="E49" s="48">
        <f>MAX(C49:D49)</f>
        <v>1</v>
      </c>
      <c r="G49" s="1" t="str">
        <f>G43</f>
        <v>per 100 arrests</v>
      </c>
      <c r="L49" s="57">
        <f>IF(($E43&gt;0),L43,L42)</f>
        <v>100</v>
      </c>
      <c r="M49" s="57"/>
      <c r="N49" s="20"/>
      <c r="O49" s="20"/>
      <c r="P49" s="20"/>
      <c r="Q49" s="20"/>
      <c r="R49" s="20"/>
    </row>
    <row r="50" spans="2:18" ht="15" hidden="1" customHeight="1" x14ac:dyDescent="0.25">
      <c r="B50" s="48" t="str">
        <f t="shared" si="9"/>
        <v>per 100 referrals</v>
      </c>
      <c r="C50" s="48">
        <f t="shared" si="9"/>
        <v>1.27</v>
      </c>
      <c r="D50" s="48">
        <f t="shared" si="9"/>
        <v>0</v>
      </c>
      <c r="E50" s="48">
        <f>MAX(C50:D50)</f>
        <v>1.27</v>
      </c>
      <c r="G50" s="1" t="str">
        <f>G44</f>
        <v>per 100 referrals</v>
      </c>
      <c r="L50" s="57">
        <f>IF(($E44&gt;0),L44,L43)</f>
        <v>100</v>
      </c>
      <c r="M50" s="57"/>
      <c r="N50" s="20"/>
      <c r="O50" s="20"/>
      <c r="P50" s="20"/>
      <c r="Q50" s="20"/>
      <c r="R50" s="20"/>
    </row>
    <row r="51" spans="2:18" ht="15" hidden="1" customHeight="1" x14ac:dyDescent="0.25">
      <c r="B51" s="48" t="str">
        <f>IF(($E45&gt;0),B45,B43)</f>
        <v>per 100 youth petitioned</v>
      </c>
      <c r="C51" s="48">
        <f>IF(($E45&gt;0),C45,C44)</f>
        <v>0.4</v>
      </c>
      <c r="D51" s="48">
        <f>IF(($E45&gt;0),D45,D44)</f>
        <v>0</v>
      </c>
      <c r="E51" s="48">
        <f>MAX(C51:D51)</f>
        <v>0.4</v>
      </c>
      <c r="G51" s="1" t="str">
        <f>G45</f>
        <v>per 100 youth petitioned</v>
      </c>
      <c r="L51" s="57">
        <f>IF(($E45&gt;0),L45,L44)</f>
        <v>100</v>
      </c>
      <c r="M51" s="57"/>
    </row>
    <row r="52" spans="2:18" ht="15" hidden="1" customHeight="1" x14ac:dyDescent="0.25">
      <c r="B52" s="48" t="str">
        <f>IF(($E46&gt;0),B46,B45)</f>
        <v>per 100 youth found delinquent</v>
      </c>
      <c r="C52" s="48">
        <f>IF(($E46&gt;0),C46,C45)</f>
        <v>0.42</v>
      </c>
      <c r="D52" s="48">
        <f>IF(($E46&gt;0),D46,D45)</f>
        <v>0</v>
      </c>
      <c r="E52" s="55">
        <f>MAX(C52:D52)</f>
        <v>0.42</v>
      </c>
      <c r="G52" s="1" t="str">
        <f>G46</f>
        <v>per 100 youth found delinquent</v>
      </c>
      <c r="L52" s="57">
        <f>IF(($E46&gt;0),L46,L45)</f>
        <v>100</v>
      </c>
      <c r="M52" s="57"/>
    </row>
    <row r="53" spans="2:18" ht="15" hidden="1" customHeight="1" x14ac:dyDescent="0.25">
      <c r="B53" s="48"/>
      <c r="C53" s="48"/>
      <c r="D53" s="48"/>
      <c r="E53" s="48"/>
      <c r="L53" s="56"/>
      <c r="M53" s="56"/>
    </row>
    <row r="54" spans="2:18" ht="15" hidden="1" customHeight="1" x14ac:dyDescent="0.25">
      <c r="B54" s="48" t="str">
        <f>B48</f>
        <v>per 1000 youth</v>
      </c>
      <c r="C54" s="55">
        <f>C48</f>
        <v>1.482</v>
      </c>
      <c r="D54" s="55">
        <f>D48</f>
        <v>1.7000000000000001E-2</v>
      </c>
      <c r="E54" s="55">
        <f>MAX(C54:D54)</f>
        <v>1.482</v>
      </c>
      <c r="G54" s="1" t="str">
        <f>G48</f>
        <v>per 1000 youth</v>
      </c>
      <c r="L54" s="57">
        <f>L48</f>
        <v>1000</v>
      </c>
      <c r="M54" s="57"/>
    </row>
    <row r="55" spans="2:18" ht="15" hidden="1" customHeight="1" x14ac:dyDescent="0.25">
      <c r="B55" s="48" t="str">
        <f t="shared" ref="B55:D56" si="10">IF(($E49&gt;0),B49,B48)</f>
        <v>per 100 arrests</v>
      </c>
      <c r="C55" s="48">
        <f t="shared" si="10"/>
        <v>1</v>
      </c>
      <c r="D55" s="48">
        <f t="shared" si="10"/>
        <v>0</v>
      </c>
      <c r="E55" s="48">
        <f>MAX(C55:D55)</f>
        <v>1</v>
      </c>
      <c r="G55" s="1" t="str">
        <f>G49</f>
        <v>per 100 arrests</v>
      </c>
      <c r="L55" s="57">
        <f>IF(($E49&gt;0),L49,L48)</f>
        <v>100</v>
      </c>
      <c r="M55" s="57"/>
    </row>
    <row r="56" spans="2:18" ht="15" hidden="1" customHeight="1" x14ac:dyDescent="0.25">
      <c r="B56" s="48" t="str">
        <f t="shared" si="10"/>
        <v>per 100 referrals</v>
      </c>
      <c r="C56" s="48">
        <f t="shared" si="10"/>
        <v>1.27</v>
      </c>
      <c r="D56" s="48">
        <f t="shared" si="10"/>
        <v>0</v>
      </c>
      <c r="E56" s="48">
        <f>MAX(C56:D56)</f>
        <v>1.27</v>
      </c>
      <c r="G56" s="1" t="str">
        <f>G50</f>
        <v>per 100 referrals</v>
      </c>
      <c r="L56" s="57">
        <f>IF(($E50&gt;0),L50,L49)</f>
        <v>100</v>
      </c>
      <c r="M56" s="57"/>
    </row>
    <row r="57" spans="2:18" ht="15" hidden="1" customHeight="1" x14ac:dyDescent="0.25">
      <c r="B57" s="48" t="str">
        <f>IF(($E51&gt;0),B51,B49)</f>
        <v>per 100 youth petitioned</v>
      </c>
      <c r="C57" s="48">
        <f>IF(($E51&gt;0),C51,C50)</f>
        <v>0.4</v>
      </c>
      <c r="D57" s="48">
        <f>IF(($E51&gt;0),D51,D50)</f>
        <v>0</v>
      </c>
      <c r="E57" s="48">
        <f>MAX(C57:D57)</f>
        <v>0.4</v>
      </c>
      <c r="G57" s="1" t="str">
        <f>G51</f>
        <v>per 100 youth petitioned</v>
      </c>
      <c r="L57" s="57">
        <f>IF(($E51&gt;0),L51,L50)</f>
        <v>100</v>
      </c>
      <c r="M57" s="57"/>
    </row>
    <row r="58" spans="2:18" ht="15" hidden="1" customHeight="1" x14ac:dyDescent="0.25">
      <c r="B58" s="48" t="str">
        <f>IF(($E52&gt;0),B52,B51)</f>
        <v>per 100 youth found delinquent</v>
      </c>
      <c r="C58" s="48">
        <f>IF(($E52&gt;0),C52,C51)</f>
        <v>0.42</v>
      </c>
      <c r="D58" s="48">
        <f>IF(($E52&gt;0),D52,D51)</f>
        <v>0</v>
      </c>
      <c r="E58" s="55">
        <f>MAX(C58:D58)</f>
        <v>0.42</v>
      </c>
      <c r="G58" s="1" t="str">
        <f>G52</f>
        <v>per 100 youth found delinquent</v>
      </c>
      <c r="L58" s="57">
        <f>IF(($E52&gt;0),L52,L51)</f>
        <v>100</v>
      </c>
      <c r="M58" s="57"/>
    </row>
    <row r="59" spans="2:18" ht="15" hidden="1" customHeight="1" x14ac:dyDescent="0.25">
      <c r="B59" s="48"/>
      <c r="C59" s="48"/>
      <c r="D59" s="48"/>
      <c r="E59" s="48"/>
      <c r="L59" s="56"/>
      <c r="M59" s="56"/>
    </row>
    <row r="60" spans="2:18" ht="15" hidden="1" customHeight="1" x14ac:dyDescent="0.25">
      <c r="B60" s="48" t="str">
        <f>B54</f>
        <v>per 1000 youth</v>
      </c>
      <c r="C60" s="55">
        <f>C54</f>
        <v>1.482</v>
      </c>
      <c r="D60" s="55">
        <f>D54</f>
        <v>1.7000000000000001E-2</v>
      </c>
      <c r="E60" s="55">
        <f>MAX(C60:D60)</f>
        <v>1.482</v>
      </c>
      <c r="G60" s="1" t="str">
        <f>G54</f>
        <v>per 1000 youth</v>
      </c>
      <c r="L60" s="57">
        <f>L54</f>
        <v>1000</v>
      </c>
      <c r="M60" s="57"/>
    </row>
    <row r="61" spans="2:18" ht="15" hidden="1" customHeight="1" x14ac:dyDescent="0.25">
      <c r="B61" s="48" t="str">
        <f t="shared" ref="B61:D62" si="11">IF(($E55&gt;0),B55,B54)</f>
        <v>per 100 arrests</v>
      </c>
      <c r="C61" s="48">
        <f t="shared" si="11"/>
        <v>1</v>
      </c>
      <c r="D61" s="48">
        <f t="shared" si="11"/>
        <v>0</v>
      </c>
      <c r="E61" s="48">
        <f>MAX(C61:D61)</f>
        <v>1</v>
      </c>
      <c r="G61" s="1" t="str">
        <f>G55</f>
        <v>per 100 arrests</v>
      </c>
      <c r="L61" s="57">
        <f>IF(($E55&gt;0),L55,L54)</f>
        <v>100</v>
      </c>
      <c r="M61" s="57"/>
    </row>
    <row r="62" spans="2:18" ht="15" hidden="1" customHeight="1" x14ac:dyDescent="0.25">
      <c r="B62" s="48" t="str">
        <f t="shared" si="11"/>
        <v>per 100 referrals</v>
      </c>
      <c r="C62" s="48">
        <f t="shared" si="11"/>
        <v>1.27</v>
      </c>
      <c r="D62" s="48">
        <f t="shared" si="11"/>
        <v>0</v>
      </c>
      <c r="E62" s="48">
        <f>MAX(C62:D62)</f>
        <v>1.27</v>
      </c>
      <c r="G62" s="1" t="str">
        <f>G56</f>
        <v>per 100 referrals</v>
      </c>
      <c r="L62" s="57">
        <f>IF(($E56&gt;0),L56,L55)</f>
        <v>100</v>
      </c>
      <c r="M62" s="57"/>
    </row>
    <row r="63" spans="2:18" ht="15" hidden="1" customHeight="1" x14ac:dyDescent="0.25">
      <c r="B63" s="48" t="str">
        <f>IF(($E57&gt;0),B57,B55)</f>
        <v>per 100 youth petitioned</v>
      </c>
      <c r="C63" s="48">
        <f>IF(($E57&gt;0),C57,C56)</f>
        <v>0.4</v>
      </c>
      <c r="D63" s="48">
        <f>IF(($E57&gt;0),D57,D56)</f>
        <v>0</v>
      </c>
      <c r="E63" s="48">
        <f>MAX(C63:D63)</f>
        <v>0.4</v>
      </c>
      <c r="G63" s="1" t="str">
        <f>G57</f>
        <v>per 100 youth petitioned</v>
      </c>
      <c r="L63" s="57">
        <f>IF(($E57&gt;0),L57,L56)</f>
        <v>100</v>
      </c>
      <c r="M63" s="57"/>
    </row>
    <row r="64" spans="2:18" ht="15" hidden="1" customHeight="1" x14ac:dyDescent="0.25">
      <c r="B64" s="48" t="str">
        <f>IF(($E58&gt;0),B58,B57)</f>
        <v>per 100 youth found delinquent</v>
      </c>
      <c r="C64" s="48">
        <f>IF(($E58&gt;0),C58,C57)</f>
        <v>0.42</v>
      </c>
      <c r="D64" s="48">
        <f>IF(($E58&gt;0),D58,D57)</f>
        <v>0</v>
      </c>
      <c r="E64" s="55">
        <f>MAX(C64:D64)</f>
        <v>0.42</v>
      </c>
      <c r="G64" s="1" t="str">
        <f>G58</f>
        <v>per 100 youth found delinquent</v>
      </c>
      <c r="L64" s="57">
        <f>IF(($E58&gt;0),L58,L57)</f>
        <v>100</v>
      </c>
      <c r="M64" s="57"/>
    </row>
    <row r="65" spans="2:13" ht="15" hidden="1" customHeight="1" x14ac:dyDescent="0.25">
      <c r="B65" s="58" t="s">
        <v>92</v>
      </c>
      <c r="L65" s="56"/>
      <c r="M65" s="56"/>
    </row>
    <row r="66" spans="2:13" ht="15" hidden="1" customHeight="1" x14ac:dyDescent="0.25">
      <c r="B66" s="48" t="str">
        <f>B60</f>
        <v>per 1000 youth</v>
      </c>
      <c r="C66" s="55">
        <f>C60</f>
        <v>1.482</v>
      </c>
      <c r="D66" s="55">
        <f>D60</f>
        <v>1.7000000000000001E-2</v>
      </c>
      <c r="E66" s="55">
        <f>MAX(C66:D66)</f>
        <v>1.482</v>
      </c>
      <c r="G66" s="1" t="str">
        <f>G60</f>
        <v>per 1000 youth</v>
      </c>
      <c r="L66" s="57">
        <f>L60</f>
        <v>1000</v>
      </c>
      <c r="M66" s="57">
        <f>IF((B66=G66),1,2)</f>
        <v>1</v>
      </c>
    </row>
    <row r="67" spans="2:13" ht="15" hidden="1" customHeight="1" x14ac:dyDescent="0.25">
      <c r="B67" s="48" t="str">
        <f t="shared" ref="B67:D68" si="12">IF(($E61&gt;0),B61,B60)</f>
        <v>per 100 arrests</v>
      </c>
      <c r="C67" s="48">
        <f t="shared" si="12"/>
        <v>1</v>
      </c>
      <c r="D67" s="48">
        <f t="shared" si="12"/>
        <v>0</v>
      </c>
      <c r="E67" s="48">
        <f>MAX(C67:D67)</f>
        <v>1</v>
      </c>
      <c r="G67" s="1" t="str">
        <f>G61</f>
        <v>per 100 arrests</v>
      </c>
      <c r="L67" s="57">
        <f>IF(($E61&gt;0),L61,L60)</f>
        <v>100</v>
      </c>
      <c r="M67" s="57">
        <f>IF((B67=G67),1,2)</f>
        <v>1</v>
      </c>
    </row>
    <row r="68" spans="2:13" ht="15" hidden="1" customHeight="1" x14ac:dyDescent="0.25">
      <c r="B68" s="48" t="str">
        <f t="shared" si="12"/>
        <v>per 100 referrals</v>
      </c>
      <c r="C68" s="48">
        <f t="shared" si="12"/>
        <v>1.27</v>
      </c>
      <c r="D68" s="48">
        <f t="shared" si="12"/>
        <v>0</v>
      </c>
      <c r="E68" s="48">
        <f>MAX(C68:D68)</f>
        <v>1.27</v>
      </c>
      <c r="G68" s="1" t="str">
        <f>G62</f>
        <v>per 100 referrals</v>
      </c>
      <c r="L68" s="57">
        <f>IF(($E62&gt;0),L62,L61)</f>
        <v>100</v>
      </c>
      <c r="M68" s="57">
        <f>IF((B68=G68),1,2)</f>
        <v>1</v>
      </c>
    </row>
    <row r="69" spans="2:13" ht="15" hidden="1" customHeight="1" x14ac:dyDescent="0.25">
      <c r="B69" s="48" t="str">
        <f>IF(($E63&gt;0),B63,B61)</f>
        <v>per 100 youth petitioned</v>
      </c>
      <c r="C69" s="48">
        <f>IF(($E63&gt;0),C63,C62)</f>
        <v>0.4</v>
      </c>
      <c r="D69" s="48">
        <f>IF(($E63&gt;0),D63,D62)</f>
        <v>0</v>
      </c>
      <c r="E69" s="48">
        <f>MAX(C69:D69)</f>
        <v>0.4</v>
      </c>
      <c r="G69" s="1" t="str">
        <f>G63</f>
        <v>per 100 youth petitioned</v>
      </c>
      <c r="L69" s="57">
        <f>IF(($E63&gt;0),L63,L62)</f>
        <v>100</v>
      </c>
      <c r="M69" s="57">
        <f>IF((B69=G69),1,2)</f>
        <v>1</v>
      </c>
    </row>
    <row r="70" spans="2:13" ht="15" hidden="1" customHeight="1" x14ac:dyDescent="0.25">
      <c r="B70" s="48" t="str">
        <f>IF(($E64&gt;0),B64,B63)</f>
        <v>per 100 youth found delinquent</v>
      </c>
      <c r="C70" s="48">
        <f>IF(($E64&gt;0),C64,C63)</f>
        <v>0.42</v>
      </c>
      <c r="D70" s="48">
        <f>IF(($E64&gt;0),D64,D63)</f>
        <v>0</v>
      </c>
      <c r="E70" s="55">
        <f>MAX(C70:D70)</f>
        <v>0.42</v>
      </c>
      <c r="G70" s="1" t="str">
        <f>G64</f>
        <v>per 100 youth found delinquent</v>
      </c>
      <c r="L70" s="57">
        <f>IF(($E64&gt;0),L64,L63)</f>
        <v>100</v>
      </c>
      <c r="M70" s="57">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59"/>
    </row>
    <row r="83" spans="2:2" ht="15" hidden="1" customHeight="1" x14ac:dyDescent="0.25">
      <c r="B83" s="60"/>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0"/>
  <sheetViews>
    <sheetView showGridLines="0" showRowColHeaders="0" topLeftCell="A4" zoomScale="95" zoomScaleNormal="95" workbookViewId="0">
      <selection activeCell="G11" sqref="G11"/>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7" hidden="1" customWidth="1"/>
    <col min="21" max="21" width="12" style="18" hidden="1" customWidth="1"/>
    <col min="22" max="26" width="0" style="1" hidden="1" customWidth="1"/>
  </cols>
  <sheetData>
    <row r="1" spans="2:21" ht="27.75" customHeight="1" x14ac:dyDescent="0.25">
      <c r="B1" s="15" t="s">
        <v>29</v>
      </c>
      <c r="D1" s="19" t="s">
        <v>30</v>
      </c>
      <c r="E1" s="13"/>
      <c r="F1" s="211" t="str">
        <f>'Data Entry'!I5</f>
        <v>Biracial or Other</v>
      </c>
      <c r="G1" s="211"/>
      <c r="H1" s="211"/>
      <c r="I1" s="211"/>
      <c r="J1" s="211"/>
      <c r="K1" s="8"/>
      <c r="N1" s="20"/>
      <c r="O1" s="20"/>
      <c r="P1" s="20"/>
      <c r="Q1" s="20"/>
      <c r="R1" s="20"/>
    </row>
    <row r="2" spans="2:21" ht="15" customHeight="1" x14ac:dyDescent="0.25">
      <c r="B2" s="4" t="str">
        <f>'Data Entry'!A2</f>
        <v>State: Michigan</v>
      </c>
      <c r="C2" s="4"/>
      <c r="D2" s="4"/>
      <c r="E2" s="4"/>
      <c r="F2" s="4"/>
      <c r="N2" s="20"/>
      <c r="O2" s="20"/>
      <c r="P2" s="20"/>
      <c r="Q2" s="20"/>
      <c r="R2" s="20"/>
    </row>
    <row r="3" spans="2:21" ht="15" customHeight="1" x14ac:dyDescent="0.25">
      <c r="B3" s="4" t="str">
        <f>'Data Entry'!A3</f>
        <v>County: Roscommon</v>
      </c>
      <c r="C3" s="21"/>
      <c r="D3" s="21"/>
      <c r="E3" s="21"/>
      <c r="F3" s="21"/>
      <c r="G3" s="7"/>
      <c r="H3" s="7"/>
      <c r="I3" s="7"/>
      <c r="J3" s="7"/>
      <c r="K3" s="7"/>
      <c r="N3" s="210" t="s">
        <v>31</v>
      </c>
      <c r="O3" s="210"/>
      <c r="P3" s="210"/>
      <c r="Q3" s="210"/>
      <c r="R3" s="210"/>
      <c r="S3" s="210"/>
      <c r="T3" s="210"/>
      <c r="U3" s="210"/>
    </row>
    <row r="4" spans="2:21" ht="8.25" customHeight="1" x14ac:dyDescent="0.25">
      <c r="B4" s="4"/>
      <c r="C4" s="22"/>
      <c r="D4" s="22"/>
      <c r="E4" s="22"/>
      <c r="F4" s="22"/>
      <c r="G4" s="8"/>
      <c r="H4" s="8"/>
      <c r="I4" s="8"/>
      <c r="N4" s="210"/>
      <c r="O4" s="210"/>
      <c r="P4" s="210"/>
      <c r="Q4" s="210"/>
      <c r="R4" s="210"/>
      <c r="S4" s="210"/>
      <c r="T4" s="210"/>
      <c r="U4" s="210"/>
    </row>
    <row r="5" spans="2:21" ht="66.75" customHeight="1" x14ac:dyDescent="0.25">
      <c r="B5" s="23" t="s">
        <v>32</v>
      </c>
      <c r="C5" s="24" t="s">
        <v>33</v>
      </c>
      <c r="D5" s="25" t="s">
        <v>34</v>
      </c>
      <c r="E5" s="24" t="s">
        <v>35</v>
      </c>
      <c r="F5" s="24" t="s">
        <v>36</v>
      </c>
      <c r="G5" s="26" t="s">
        <v>37</v>
      </c>
      <c r="H5" s="24"/>
      <c r="I5" s="24"/>
      <c r="J5" s="24" t="s">
        <v>38</v>
      </c>
      <c r="K5" s="27" t="s">
        <v>39</v>
      </c>
      <c r="L5" s="8" t="s">
        <v>40</v>
      </c>
      <c r="M5" s="8" t="s">
        <v>41</v>
      </c>
      <c r="N5" s="28" t="s">
        <v>42</v>
      </c>
      <c r="O5" s="20" t="s">
        <v>43</v>
      </c>
      <c r="P5" s="20" t="s">
        <v>44</v>
      </c>
      <c r="Q5" s="20" t="s">
        <v>45</v>
      </c>
      <c r="R5" s="20" t="s">
        <v>46</v>
      </c>
      <c r="S5" s="29" t="s">
        <v>47</v>
      </c>
      <c r="T5" s="29" t="s">
        <v>48</v>
      </c>
      <c r="U5" s="30" t="s">
        <v>49</v>
      </c>
    </row>
    <row r="6" spans="2:21" ht="20.25" customHeight="1" x14ac:dyDescent="0.25">
      <c r="B6" s="31" t="str">
        <f>'Data Entry'!A6</f>
        <v xml:space="preserve">1. Population at risk (age 10 through 16) </v>
      </c>
      <c r="C6" s="32">
        <f>'Data Entry'!C6</f>
        <v>1482</v>
      </c>
      <c r="D6" s="33"/>
      <c r="E6" s="32">
        <f>'Data Entry'!I6</f>
        <v>0</v>
      </c>
      <c r="F6" s="33"/>
      <c r="G6" s="34"/>
      <c r="H6" s="35"/>
      <c r="I6" s="36"/>
      <c r="J6" s="37"/>
      <c r="K6" s="36"/>
      <c r="L6" s="1">
        <f>IF( ('Data Entry'!I6&gt;('Data Entry'!B6/100)),1,100)</f>
        <v>100</v>
      </c>
      <c r="M6" s="1" t="s">
        <v>50</v>
      </c>
      <c r="N6" s="20"/>
      <c r="O6" s="20"/>
      <c r="P6" s="20"/>
      <c r="Q6" s="20"/>
      <c r="R6" s="20"/>
      <c r="S6" s="29"/>
      <c r="T6" s="29"/>
      <c r="U6" s="30"/>
    </row>
    <row r="7" spans="2:21" ht="18" customHeight="1" x14ac:dyDescent="0.25">
      <c r="B7" s="31" t="str">
        <f>'Data Entry'!A7</f>
        <v xml:space="preserve">2. Juvenile Arrests </v>
      </c>
      <c r="C7" s="32">
        <f>'Data Entry'!C7</f>
        <v>100</v>
      </c>
      <c r="D7" s="33">
        <f>IF((AND(C66&gt;0,C7&gt;0)),(C7/C66),0)</f>
        <v>67.476383265856953</v>
      </c>
      <c r="E7" s="32">
        <f>'Data Entry'!I7</f>
        <v>0</v>
      </c>
      <c r="F7" s="33">
        <f>IF((AND($E$7&gt;0,$D$66&gt;0)),($E$7/$D$66),0)</f>
        <v>0</v>
      </c>
      <c r="G7" s="38" t="str">
        <f t="shared" ref="G7:G15" si="0">IF(L$6=100,"*",IF(M7=FALSE,"--",IF(K7=20,"**",($F7/$D7))))</f>
        <v>*</v>
      </c>
      <c r="H7" s="39"/>
      <c r="I7" s="40"/>
      <c r="J7" s="39" t="e">
        <f>IF((ABS($U7)&gt;Defaults!D$7),1,2)</f>
        <v>#VALUE!</v>
      </c>
      <c r="K7" s="38">
        <f>IF((AND(N7&gt;Defaults!B$12,(N7+O7)&gt;Defaults!B$13, P7 &gt; Defaults!B$12, (P7+Q7) &gt; Defaults!B$13)),1,20)</f>
        <v>20</v>
      </c>
      <c r="L7" s="1" t="e">
        <f t="shared" ref="L7:L15" si="1">(J7*K7+L$6)-1</f>
        <v>#VALUE!</v>
      </c>
      <c r="M7" s="1" t="b">
        <f t="shared" ref="M7:M15" si="2">(ISNUMBER(J7))</f>
        <v>0</v>
      </c>
      <c r="N7" s="41">
        <f t="shared" ref="N7:N15" si="3">E7</f>
        <v>0</v>
      </c>
      <c r="O7" s="41">
        <f>E6-E7</f>
        <v>0</v>
      </c>
      <c r="P7" s="41">
        <f t="shared" ref="P7:P15" si="4">C7</f>
        <v>100</v>
      </c>
      <c r="Q7" s="41">
        <f>C6-C7</f>
        <v>1382</v>
      </c>
      <c r="R7" s="41">
        <f t="shared" ref="R7:R15" si="5">SUM(N7:Q7)</f>
        <v>1482</v>
      </c>
      <c r="S7" s="29">
        <f t="shared" ref="S7:S15" si="6">R7*((((N7*Q7)-(O7*P7))^2))</f>
        <v>0</v>
      </c>
      <c r="T7" s="29">
        <f t="shared" ref="T7:T15" si="7">(N7+O7)*(P7+Q7)*(N7+P7)*(O7+Q7)</f>
        <v>0</v>
      </c>
      <c r="U7" s="30" t="str">
        <f t="shared" ref="U7:U15" si="8">IF((S7&gt;0),S7/T7,"- -")</f>
        <v>- -</v>
      </c>
    </row>
    <row r="8" spans="2:21" ht="18" customHeight="1" x14ac:dyDescent="0.25">
      <c r="B8" s="31" t="str">
        <f>'Data Entry'!A8</f>
        <v>3. Refer to Juvenile Court</v>
      </c>
      <c r="C8" s="32">
        <f>'Data Entry'!C8</f>
        <v>127</v>
      </c>
      <c r="D8" s="33">
        <f>IF((AND(C67&gt;0,C8&gt;0)),(C8/C67),0)</f>
        <v>127</v>
      </c>
      <c r="E8" s="32">
        <f>'Data Entry'!I8</f>
        <v>0</v>
      </c>
      <c r="F8" s="33">
        <f>IF((AND($E$8&gt;0,$D$67&gt;0)),($E8/$D67),0)</f>
        <v>0</v>
      </c>
      <c r="G8" s="38" t="str">
        <f t="shared" si="0"/>
        <v>*</v>
      </c>
      <c r="H8" s="39"/>
      <c r="I8" s="40"/>
      <c r="J8" s="39">
        <f>IF((ABS($U8)&gt;Defaults!D$7),1,2)</f>
        <v>2</v>
      </c>
      <c r="K8" s="38">
        <f>IF((AND(N8&gt;Defaults!B$12,(N8+O8)&gt;Defaults!B$13, P8 &gt; Defaults!B$12, (P8+Q8) &gt; Defaults!B$13)),1,20)</f>
        <v>20</v>
      </c>
      <c r="L8" s="1">
        <f t="shared" si="1"/>
        <v>139</v>
      </c>
      <c r="M8" s="1" t="b">
        <f t="shared" si="2"/>
        <v>1</v>
      </c>
      <c r="N8" s="41">
        <f t="shared" si="3"/>
        <v>0</v>
      </c>
      <c r="O8" s="41">
        <f>((D67*L67)-E8)+0.05</f>
        <v>0.05</v>
      </c>
      <c r="P8" s="41">
        <f t="shared" si="4"/>
        <v>127</v>
      </c>
      <c r="Q8" s="41">
        <f>(C$67*L67)-C8</f>
        <v>-27</v>
      </c>
      <c r="R8" s="41">
        <f t="shared" si="5"/>
        <v>100.05</v>
      </c>
      <c r="S8" s="29">
        <f t="shared" si="6"/>
        <v>4034.2661250000006</v>
      </c>
      <c r="T8" s="29">
        <f t="shared" si="7"/>
        <v>-17113.25</v>
      </c>
      <c r="U8" s="30">
        <f t="shared" si="8"/>
        <v>-0.23573933209647499</v>
      </c>
    </row>
    <row r="9" spans="2:21" ht="18" customHeight="1" x14ac:dyDescent="0.25">
      <c r="B9" s="31" t="str">
        <f>'Data Entry'!A9</f>
        <v xml:space="preserve">4. Cases Diverted </v>
      </c>
      <c r="C9" s="32">
        <f>'Data Entry'!C9</f>
        <v>0</v>
      </c>
      <c r="D9" s="33">
        <f>IF((AND(C68&gt;0,C9&gt;0)),((C9/C68)),0)</f>
        <v>0</v>
      </c>
      <c r="E9" s="32">
        <f>'Data Entry'!I9</f>
        <v>0</v>
      </c>
      <c r="F9" s="33">
        <f>IF((AND($E$9&gt;0,$D$68&gt;0)),(($E$9/$D$68)),0)</f>
        <v>0</v>
      </c>
      <c r="G9" s="38" t="str">
        <f t="shared" si="0"/>
        <v>*</v>
      </c>
      <c r="H9" s="39"/>
      <c r="I9" s="40"/>
      <c r="J9" s="39" t="e">
        <f>IF((ABS($U9)&gt;Defaults!D$7),1,2)</f>
        <v>#VALUE!</v>
      </c>
      <c r="K9" s="38">
        <f>IF((AND(N9&gt;Defaults!B$12,(N9+O9)&gt;Defaults!B$13, P9 &gt; Defaults!B$12, (P9+Q9) &gt; Defaults!B$13)),1,20)</f>
        <v>20</v>
      </c>
      <c r="L9" s="1" t="e">
        <f t="shared" si="1"/>
        <v>#VALUE!</v>
      </c>
      <c r="M9" s="1" t="b">
        <f t="shared" si="2"/>
        <v>0</v>
      </c>
      <c r="N9" s="41">
        <f t="shared" si="3"/>
        <v>0</v>
      </c>
      <c r="O9" s="41">
        <f>(D$68*L68)-E9</f>
        <v>0</v>
      </c>
      <c r="P9" s="41">
        <f t="shared" si="4"/>
        <v>0</v>
      </c>
      <c r="Q9" s="41">
        <f>(C$68*L68)-C9</f>
        <v>127</v>
      </c>
      <c r="R9" s="41">
        <f t="shared" si="5"/>
        <v>127</v>
      </c>
      <c r="S9" s="29">
        <f t="shared" si="6"/>
        <v>0</v>
      </c>
      <c r="T9" s="29">
        <f t="shared" si="7"/>
        <v>0</v>
      </c>
      <c r="U9" s="30" t="str">
        <f t="shared" si="8"/>
        <v>- -</v>
      </c>
    </row>
    <row r="10" spans="2:21" ht="18" customHeight="1" x14ac:dyDescent="0.25">
      <c r="B10" s="31" t="str">
        <f>'Data Entry'!A10</f>
        <v>5. Cases Involving Secure Detention</v>
      </c>
      <c r="C10" s="32">
        <f>'Data Entry'!C10</f>
        <v>9</v>
      </c>
      <c r="D10" s="33">
        <f>IF(((AND(C68&gt;0,C10&gt;0))),(C10/(C68)),0)</f>
        <v>7.0866141732283463</v>
      </c>
      <c r="E10" s="32">
        <f>'Data Entry'!I10</f>
        <v>0</v>
      </c>
      <c r="F10" s="33">
        <f>IF(((AND($E$10&gt;0,$D$68&gt;0))),($E$10/($D$68)),0)</f>
        <v>0</v>
      </c>
      <c r="G10" s="38" t="str">
        <f t="shared" si="0"/>
        <v>*</v>
      </c>
      <c r="H10" s="39"/>
      <c r="I10" s="40"/>
      <c r="J10" s="39" t="e">
        <f>IF((ABS($U10)&gt;Defaults!D$7),1,2)</f>
        <v>#VALUE!</v>
      </c>
      <c r="K10" s="38">
        <f>IF((AND(N10&gt;Defaults!B$12,(N10+O10)&gt;Defaults!B$13, P10 &gt; Defaults!B$12, (P10+Q10) &gt; Defaults!B$13)),1,20)</f>
        <v>20</v>
      </c>
      <c r="L10" s="1" t="e">
        <f t="shared" si="1"/>
        <v>#VALUE!</v>
      </c>
      <c r="M10" s="1" t="b">
        <f t="shared" si="2"/>
        <v>0</v>
      </c>
      <c r="N10" s="41">
        <f t="shared" si="3"/>
        <v>0</v>
      </c>
      <c r="O10" s="41">
        <f>(D$68*L68)-E10</f>
        <v>0</v>
      </c>
      <c r="P10" s="41">
        <f t="shared" si="4"/>
        <v>9</v>
      </c>
      <c r="Q10" s="41">
        <f>(C$68*L68)-C10</f>
        <v>118</v>
      </c>
      <c r="R10" s="41">
        <f t="shared" si="5"/>
        <v>127</v>
      </c>
      <c r="S10" s="29">
        <f t="shared" si="6"/>
        <v>0</v>
      </c>
      <c r="T10" s="29">
        <f t="shared" si="7"/>
        <v>0</v>
      </c>
      <c r="U10" s="30" t="str">
        <f t="shared" si="8"/>
        <v>- -</v>
      </c>
    </row>
    <row r="11" spans="2:21" ht="18" customHeight="1" x14ac:dyDescent="0.25">
      <c r="B11" s="31" t="str">
        <f>'Data Entry'!A11</f>
        <v>6. Cases Petitioned (Charge Filed)</v>
      </c>
      <c r="C11" s="32">
        <f>'Data Entry'!C11</f>
        <v>40</v>
      </c>
      <c r="D11" s="33">
        <f>IF(((AND(C68&gt;0,C11&gt;0))),(C11/(C68)),0)</f>
        <v>31.496062992125985</v>
      </c>
      <c r="E11" s="32">
        <f>'Data Entry'!I11</f>
        <v>0</v>
      </c>
      <c r="F11" s="33">
        <f>IF(((AND($E$11&gt;0,$D$68&gt;0))),($E$11/($D$68)),0)</f>
        <v>0</v>
      </c>
      <c r="G11" s="38" t="str">
        <f t="shared" si="0"/>
        <v>*</v>
      </c>
      <c r="H11" s="39"/>
      <c r="I11" s="40"/>
      <c r="J11" s="39" t="e">
        <f>IF((ABS($U11)&gt;Defaults!D$7),1,2)</f>
        <v>#VALUE!</v>
      </c>
      <c r="K11" s="38">
        <f>IF((AND(N11&gt;Defaults!B$12,(N11+O11)&gt;Defaults!B$13, P11 &gt; Defaults!B$12, (P11+Q11) &gt; Defaults!B$13)),1,20)</f>
        <v>20</v>
      </c>
      <c r="L11" s="1" t="e">
        <f t="shared" si="1"/>
        <v>#VALUE!</v>
      </c>
      <c r="M11" s="1" t="b">
        <f t="shared" si="2"/>
        <v>0</v>
      </c>
      <c r="N11" s="41">
        <f t="shared" si="3"/>
        <v>0</v>
      </c>
      <c r="O11" s="41">
        <f>(D$68*L68)-E11</f>
        <v>0</v>
      </c>
      <c r="P11" s="41">
        <f t="shared" si="4"/>
        <v>40</v>
      </c>
      <c r="Q11" s="41">
        <f>(C$68*L68)-C11</f>
        <v>87</v>
      </c>
      <c r="R11" s="41">
        <f t="shared" si="5"/>
        <v>127</v>
      </c>
      <c r="S11" s="29">
        <f t="shared" si="6"/>
        <v>0</v>
      </c>
      <c r="T11" s="29">
        <f t="shared" si="7"/>
        <v>0</v>
      </c>
      <c r="U11" s="30" t="str">
        <f t="shared" si="8"/>
        <v>- -</v>
      </c>
    </row>
    <row r="12" spans="2:21" ht="18" customHeight="1" x14ac:dyDescent="0.25">
      <c r="B12" s="31" t="str">
        <f>'Data Entry'!A12</f>
        <v>7. Cases Resulting in Delinquent Findings</v>
      </c>
      <c r="C12" s="32">
        <f>'Data Entry'!C12</f>
        <v>42</v>
      </c>
      <c r="D12" s="33">
        <f>IF(((AND(C69&gt;0,C12&gt;0))),(C12/(C69)),0)</f>
        <v>105</v>
      </c>
      <c r="E12" s="32">
        <f>'Data Entry'!I12</f>
        <v>0</v>
      </c>
      <c r="F12" s="33">
        <f>IF(((AND($D$69&gt;0,$E$12&gt;0))),(E12/(D69)),0)</f>
        <v>0</v>
      </c>
      <c r="G12" s="38" t="str">
        <f t="shared" si="0"/>
        <v>*</v>
      </c>
      <c r="H12" s="39"/>
      <c r="I12" s="40"/>
      <c r="J12" s="39" t="e">
        <f>IF((ABS($U12)&gt;Defaults!D$7),1,2)</f>
        <v>#VALUE!</v>
      </c>
      <c r="K12" s="38">
        <f>IF((AND(N12&gt;Defaults!B$12,(N12+O12)&gt;Defaults!B$13, P12 &gt; Defaults!B$12, (P12+Q12) &gt; Defaults!B$13)),1,20)</f>
        <v>20</v>
      </c>
      <c r="L12" s="1" t="e">
        <f t="shared" si="1"/>
        <v>#VALUE!</v>
      </c>
      <c r="M12" s="1" t="b">
        <f t="shared" si="2"/>
        <v>0</v>
      </c>
      <c r="N12" s="41">
        <f t="shared" si="3"/>
        <v>0</v>
      </c>
      <c r="O12" s="41">
        <f>(D69*L69)-E12</f>
        <v>0</v>
      </c>
      <c r="P12" s="41">
        <f t="shared" si="4"/>
        <v>42</v>
      </c>
      <c r="Q12" s="41">
        <f>(C69*L69)-C12</f>
        <v>-2</v>
      </c>
      <c r="R12" s="41">
        <f t="shared" si="5"/>
        <v>40</v>
      </c>
      <c r="S12" s="29">
        <f t="shared" si="6"/>
        <v>0</v>
      </c>
      <c r="T12" s="29">
        <f t="shared" si="7"/>
        <v>0</v>
      </c>
      <c r="U12" s="30" t="str">
        <f t="shared" si="8"/>
        <v>- -</v>
      </c>
    </row>
    <row r="13" spans="2:21" ht="18" customHeight="1" x14ac:dyDescent="0.25">
      <c r="B13" s="31" t="str">
        <f>'Data Entry'!A13</f>
        <v>8. Cases Resulting in Probation Placement</v>
      </c>
      <c r="C13" s="32">
        <f>'Data Entry'!C13</f>
        <v>91</v>
      </c>
      <c r="D13" s="33">
        <f>IF(((AND(C70&gt;0,C13&gt;0))),(C13/(C70)),0)</f>
        <v>216.66666666666669</v>
      </c>
      <c r="E13" s="32">
        <f>'Data Entry'!I13</f>
        <v>0</v>
      </c>
      <c r="F13" s="33">
        <f>IF(((AND($D$70&gt;0,$E$13&gt;0))),($E$13/($D$70)),0)</f>
        <v>0</v>
      </c>
      <c r="G13" s="38" t="str">
        <f t="shared" si="0"/>
        <v>*</v>
      </c>
      <c r="H13" s="39"/>
      <c r="I13" s="40"/>
      <c r="J13" s="39" t="e">
        <f>IF((ABS($U13)&gt;Defaults!D$7),1,2)</f>
        <v>#VALUE!</v>
      </c>
      <c r="K13" s="38">
        <f>IF((AND(N13&gt;Defaults!B$12,(N13+O13)&gt;Defaults!B$13, P13 &gt; Defaults!B$12, (P13+Q13) &gt; Defaults!B$13)),1,20)</f>
        <v>20</v>
      </c>
      <c r="L13" s="1" t="e">
        <f t="shared" si="1"/>
        <v>#VALUE!</v>
      </c>
      <c r="M13" s="1" t="b">
        <f t="shared" si="2"/>
        <v>0</v>
      </c>
      <c r="N13" s="41">
        <f t="shared" si="3"/>
        <v>0</v>
      </c>
      <c r="O13" s="41">
        <f>(D70*L70)-E13</f>
        <v>0</v>
      </c>
      <c r="P13" s="41">
        <f t="shared" si="4"/>
        <v>91</v>
      </c>
      <c r="Q13" s="41">
        <f>(C70*L70)-C13</f>
        <v>-49</v>
      </c>
      <c r="R13" s="41">
        <f t="shared" si="5"/>
        <v>42</v>
      </c>
      <c r="S13" s="29">
        <f t="shared" si="6"/>
        <v>0</v>
      </c>
      <c r="T13" s="29">
        <f t="shared" si="7"/>
        <v>0</v>
      </c>
      <c r="U13" s="30" t="str">
        <f t="shared" si="8"/>
        <v>- -</v>
      </c>
    </row>
    <row r="14" spans="2:21" ht="30.75" customHeight="1" x14ac:dyDescent="0.25">
      <c r="B14" s="31" t="str">
        <f>'Data Entry'!A14</f>
        <v xml:space="preserve">9. Cases Resulting in Confinement in Secure Juvenile Correctional Facilities </v>
      </c>
      <c r="C14" s="32">
        <f>'Data Entry'!C14</f>
        <v>36</v>
      </c>
      <c r="D14" s="33">
        <f>IF(((AND(C70&gt;0,C14&gt;0))), ((C14/(C70))),0)</f>
        <v>85.714285714285722</v>
      </c>
      <c r="E14" s="32">
        <f>'Data Entry'!I14</f>
        <v>0</v>
      </c>
      <c r="F14" s="33">
        <f>IF(((AND($D$70&gt;0,$E$14&gt;0))), (($E$14/($D$70))),0)</f>
        <v>0</v>
      </c>
      <c r="G14" s="38" t="str">
        <f t="shared" si="0"/>
        <v>*</v>
      </c>
      <c r="H14" s="39"/>
      <c r="I14" s="40"/>
      <c r="J14" s="39" t="e">
        <f>IF((ABS($U14)&gt;Defaults!D$7),1,2)</f>
        <v>#VALUE!</v>
      </c>
      <c r="K14" s="38">
        <f>IF((AND(N14&gt;Defaults!B$12,(N14+O14)&gt;Defaults!B$13, P14 &gt; Defaults!B$12, (P14+Q14) &gt; Defaults!B$13)),1,20)</f>
        <v>20</v>
      </c>
      <c r="L14" s="1" t="e">
        <f t="shared" si="1"/>
        <v>#VALUE!</v>
      </c>
      <c r="M14" s="1" t="b">
        <f t="shared" si="2"/>
        <v>0</v>
      </c>
      <c r="N14" s="41">
        <f t="shared" si="3"/>
        <v>0</v>
      </c>
      <c r="O14" s="41">
        <f>(D70*L70)-E14</f>
        <v>0</v>
      </c>
      <c r="P14" s="41">
        <f t="shared" si="4"/>
        <v>36</v>
      </c>
      <c r="Q14" s="41">
        <f>(C70*L70)-C14</f>
        <v>6</v>
      </c>
      <c r="R14" s="41">
        <f t="shared" si="5"/>
        <v>42</v>
      </c>
      <c r="S14" s="29">
        <f t="shared" si="6"/>
        <v>0</v>
      </c>
      <c r="T14" s="29">
        <f t="shared" si="7"/>
        <v>0</v>
      </c>
      <c r="U14" s="30" t="str">
        <f t="shared" si="8"/>
        <v>- -</v>
      </c>
    </row>
    <row r="15" spans="2:21" ht="15.75" customHeight="1" x14ac:dyDescent="0.25">
      <c r="B15" s="31" t="str">
        <f>'Data Entry'!A15</f>
        <v xml:space="preserve">10. Cases Transferred to Adult Court </v>
      </c>
      <c r="C15" s="32">
        <f>'Data Entry'!C15</f>
        <v>0</v>
      </c>
      <c r="D15" s="33">
        <f>IF(((AND(C69&gt;0,C15&gt;0))),((C15/(C69))),0)</f>
        <v>0</v>
      </c>
      <c r="E15" s="32">
        <f>'Data Entry'!I15</f>
        <v>0</v>
      </c>
      <c r="F15" s="33">
        <f>IF(((AND($D$69&gt;0,$E$15&gt;0))),(($E$15/($D$69))),0)</f>
        <v>0</v>
      </c>
      <c r="G15" s="38" t="str">
        <f t="shared" si="0"/>
        <v>*</v>
      </c>
      <c r="H15" s="39"/>
      <c r="I15" s="40"/>
      <c r="J15" s="39" t="e">
        <f>IF((ABS($U15)&gt;Defaults!D$7),1,2)</f>
        <v>#VALUE!</v>
      </c>
      <c r="K15" s="38">
        <f>IF((AND(N15&gt;Defaults!B$12,(N15+O15)&gt;Defaults!B$13, P15 &gt; Defaults!B$12, (P15+Q15) &gt; Defaults!B$13)),1,20)</f>
        <v>20</v>
      </c>
      <c r="L15" s="1" t="e">
        <f t="shared" si="1"/>
        <v>#VALUE!</v>
      </c>
      <c r="M15" s="1" t="b">
        <f t="shared" si="2"/>
        <v>0</v>
      </c>
      <c r="N15" s="41">
        <f t="shared" si="3"/>
        <v>0</v>
      </c>
      <c r="O15" s="41">
        <f>(D69*L69)-E15</f>
        <v>0</v>
      </c>
      <c r="P15" s="41">
        <f t="shared" si="4"/>
        <v>0</v>
      </c>
      <c r="Q15" s="41">
        <f>(C69*L69)-C15</f>
        <v>40</v>
      </c>
      <c r="R15" s="41">
        <f t="shared" si="5"/>
        <v>40</v>
      </c>
      <c r="S15" s="29">
        <f t="shared" si="6"/>
        <v>0</v>
      </c>
      <c r="T15" s="29">
        <f t="shared" si="7"/>
        <v>0</v>
      </c>
      <c r="U15" s="30" t="str">
        <f t="shared" si="8"/>
        <v>- -</v>
      </c>
    </row>
    <row r="16" spans="2:21" ht="12" customHeight="1" x14ac:dyDescent="0.25">
      <c r="B16" s="42" t="s">
        <v>93</v>
      </c>
      <c r="C16" s="43"/>
      <c r="D16" s="43"/>
      <c r="E16" s="43"/>
      <c r="F16" s="43"/>
      <c r="G16" s="43"/>
      <c r="H16" s="43"/>
      <c r="I16" s="43"/>
      <c r="N16" s="20"/>
      <c r="O16" s="20"/>
      <c r="P16" s="20"/>
      <c r="Q16" s="20"/>
      <c r="R16" s="20"/>
      <c r="S16" s="29"/>
      <c r="T16" s="29"/>
      <c r="U16" s="30"/>
    </row>
    <row r="17" spans="2:21" ht="26.25" customHeight="1" x14ac:dyDescent="0.25">
      <c r="B17" s="61"/>
      <c r="C17" s="61"/>
      <c r="D17" s="61"/>
      <c r="E17" s="61"/>
      <c r="F17" s="61"/>
      <c r="G17" s="61"/>
      <c r="H17" s="61"/>
      <c r="I17" s="61"/>
      <c r="K17" s="1" t="s">
        <v>94</v>
      </c>
      <c r="L17" s="1" t="s">
        <v>95</v>
      </c>
      <c r="N17" s="20"/>
      <c r="O17" s="20"/>
      <c r="P17" s="20"/>
      <c r="Q17" s="20"/>
      <c r="R17" s="20"/>
      <c r="S17" s="29"/>
      <c r="T17" s="29"/>
      <c r="U17" s="30"/>
    </row>
    <row r="18" spans="2:21" ht="15" customHeight="1" x14ac:dyDescent="0.25">
      <c r="B18" s="1" t="s">
        <v>52</v>
      </c>
    </row>
    <row r="19" spans="2:21" ht="15" customHeight="1" x14ac:dyDescent="0.25">
      <c r="B19" s="1" t="s">
        <v>53</v>
      </c>
      <c r="D19" s="44" t="s">
        <v>54</v>
      </c>
    </row>
    <row r="20" spans="2:21" ht="15" customHeight="1" x14ac:dyDescent="0.25">
      <c r="B20" s="1" t="s">
        <v>55</v>
      </c>
      <c r="D20" s="1" t="s">
        <v>56</v>
      </c>
    </row>
    <row r="21" spans="2:21" ht="15" customHeight="1" x14ac:dyDescent="0.25">
      <c r="B21" s="1" t="s">
        <v>57</v>
      </c>
      <c r="D21" s="1" t="s">
        <v>58</v>
      </c>
    </row>
    <row r="22" spans="2:21" ht="15" customHeight="1" x14ac:dyDescent="0.25">
      <c r="B22" s="1" t="s">
        <v>59</v>
      </c>
      <c r="D22" s="1" t="s">
        <v>60</v>
      </c>
    </row>
    <row r="23" spans="2:21" ht="15" customHeight="1" x14ac:dyDescent="0.25">
      <c r="B23" s="1" t="s">
        <v>61</v>
      </c>
      <c r="D23" s="1" t="s">
        <v>62</v>
      </c>
    </row>
    <row r="24" spans="2:21" ht="26.25" customHeight="1" x14ac:dyDescent="0.25">
      <c r="B24" s="61"/>
      <c r="C24" s="61"/>
      <c r="D24" s="61"/>
      <c r="E24" s="61"/>
      <c r="F24" s="61"/>
      <c r="G24" s="61"/>
      <c r="H24" s="61"/>
      <c r="I24" s="61"/>
      <c r="N24" s="20"/>
      <c r="O24" s="20"/>
      <c r="P24" s="20"/>
      <c r="Q24" s="20"/>
      <c r="R24" s="20"/>
      <c r="S24" s="29"/>
      <c r="T24" s="29"/>
      <c r="U24" s="30"/>
    </row>
    <row r="25" spans="2:21" ht="15" customHeight="1" x14ac:dyDescent="0.25">
      <c r="B25" s="45" t="s">
        <v>63</v>
      </c>
      <c r="K25" s="1" t="s">
        <v>64</v>
      </c>
      <c r="L25" s="1" t="s">
        <v>65</v>
      </c>
      <c r="N25" s="20"/>
      <c r="O25" s="20" t="b">
        <f>ISBLANK(N12)</f>
        <v>0</v>
      </c>
      <c r="P25" s="20"/>
      <c r="Q25" s="20"/>
      <c r="R25" s="20"/>
    </row>
    <row r="26" spans="2:21" ht="15" customHeight="1" x14ac:dyDescent="0.25">
      <c r="B26" s="46" t="s">
        <v>66</v>
      </c>
      <c r="F26" s="46" t="s">
        <v>67</v>
      </c>
      <c r="G26" s="46"/>
      <c r="H26" s="46"/>
      <c r="I26" s="46"/>
      <c r="J26" s="46"/>
      <c r="K26" s="47" t="s">
        <v>62</v>
      </c>
      <c r="L26" s="47" t="s">
        <v>68</v>
      </c>
      <c r="M26" s="47"/>
      <c r="R26" s="48"/>
    </row>
    <row r="27" spans="2:21" ht="15" customHeight="1" x14ac:dyDescent="0.25">
      <c r="B27" s="49" t="s">
        <v>69</v>
      </c>
      <c r="C27" s="49"/>
      <c r="D27" s="49"/>
      <c r="E27" s="49"/>
      <c r="F27" s="49" t="str">
        <f>B66</f>
        <v>per 1000 youth</v>
      </c>
      <c r="G27" s="49"/>
      <c r="H27" s="49"/>
      <c r="I27" s="49"/>
      <c r="J27" s="49">
        <f>F66</f>
        <v>0</v>
      </c>
      <c r="K27" s="49" t="s">
        <v>60</v>
      </c>
      <c r="L27" s="50" t="s">
        <v>70</v>
      </c>
      <c r="R27" s="48"/>
    </row>
    <row r="28" spans="2:21" ht="15" customHeight="1" x14ac:dyDescent="0.25">
      <c r="B28" s="49" t="s">
        <v>71</v>
      </c>
      <c r="C28" s="49"/>
      <c r="D28" s="49"/>
      <c r="E28" s="49"/>
      <c r="F28" s="51" t="str">
        <f>B67</f>
        <v>per 100 arrests</v>
      </c>
      <c r="G28" s="51"/>
      <c r="H28" s="51"/>
      <c r="I28" s="51"/>
      <c r="J28" s="51"/>
      <c r="K28" s="51" t="s">
        <v>58</v>
      </c>
      <c r="L28" s="52" t="s">
        <v>72</v>
      </c>
      <c r="R28" s="48"/>
    </row>
    <row r="29" spans="2:21" ht="15" customHeight="1" x14ac:dyDescent="0.25">
      <c r="B29" s="51" t="s">
        <v>73</v>
      </c>
      <c r="C29" s="51"/>
      <c r="D29" s="51"/>
      <c r="E29" s="51"/>
      <c r="F29" s="51" t="str">
        <f>B68</f>
        <v>per 100 referrals</v>
      </c>
      <c r="G29" s="51"/>
      <c r="H29" s="51"/>
      <c r="I29" s="51"/>
      <c r="J29" s="51"/>
      <c r="K29" s="51"/>
      <c r="L29" s="52"/>
      <c r="R29" s="48"/>
    </row>
    <row r="30" spans="2:21" ht="15" customHeight="1" x14ac:dyDescent="0.25">
      <c r="B30" s="51" t="s">
        <v>74</v>
      </c>
      <c r="C30" s="51"/>
      <c r="D30" s="51"/>
      <c r="E30" s="51"/>
      <c r="F30" s="51" t="str">
        <f>B68</f>
        <v>per 100 referrals</v>
      </c>
      <c r="G30" s="51"/>
      <c r="H30" s="51"/>
      <c r="I30" s="51"/>
      <c r="J30" s="51"/>
      <c r="K30" s="51"/>
      <c r="L30" s="52"/>
      <c r="N30" s="1" t="b">
        <f>ISNUMBER(J14)</f>
        <v>0</v>
      </c>
      <c r="R30" s="48"/>
    </row>
    <row r="31" spans="2:21" ht="15" customHeight="1" x14ac:dyDescent="0.25">
      <c r="B31" s="51" t="s">
        <v>75</v>
      </c>
      <c r="C31" s="51"/>
      <c r="D31" s="51"/>
      <c r="E31" s="51"/>
      <c r="F31" s="51" t="str">
        <f>B68</f>
        <v>per 100 referrals</v>
      </c>
      <c r="G31" s="51"/>
      <c r="H31" s="51"/>
      <c r="I31" s="51"/>
      <c r="J31" s="51"/>
      <c r="K31" s="51"/>
      <c r="L31" s="52"/>
      <c r="R31" s="48"/>
    </row>
    <row r="32" spans="2:21" ht="15" customHeight="1" x14ac:dyDescent="0.25">
      <c r="B32" s="51" t="s">
        <v>76</v>
      </c>
      <c r="C32" s="51"/>
      <c r="D32" s="51"/>
      <c r="E32" s="51"/>
      <c r="F32" s="51" t="str">
        <f>B69</f>
        <v>per 100 youth petitioned</v>
      </c>
      <c r="G32" s="51"/>
      <c r="H32" s="51"/>
      <c r="I32" s="51"/>
      <c r="J32" s="51"/>
      <c r="K32" s="51"/>
      <c r="L32" s="52"/>
      <c r="R32" s="48"/>
    </row>
    <row r="33" spans="2:18" ht="15" customHeight="1" x14ac:dyDescent="0.25">
      <c r="B33" s="51" t="s">
        <v>77</v>
      </c>
      <c r="C33" s="51"/>
      <c r="D33" s="51"/>
      <c r="E33" s="51"/>
      <c r="F33" s="51" t="str">
        <f>B70</f>
        <v>per 100 youth found delinquent</v>
      </c>
      <c r="G33" s="51"/>
      <c r="H33" s="51"/>
      <c r="I33" s="51"/>
      <c r="J33" s="51"/>
      <c r="K33" s="51"/>
      <c r="L33" s="52"/>
      <c r="R33" s="48"/>
    </row>
    <row r="34" spans="2:18" ht="15" customHeight="1" x14ac:dyDescent="0.25">
      <c r="B34" s="51" t="s">
        <v>78</v>
      </c>
      <c r="C34" s="51"/>
      <c r="D34" s="51"/>
      <c r="E34" s="51"/>
      <c r="F34" s="51" t="str">
        <f>B70</f>
        <v>per 100 youth found delinquent</v>
      </c>
      <c r="G34" s="51"/>
      <c r="H34" s="51"/>
      <c r="I34" s="51"/>
      <c r="J34" s="51"/>
      <c r="K34" s="51"/>
      <c r="L34" s="52"/>
      <c r="R34" s="48"/>
    </row>
    <row r="35" spans="2:18" ht="15" customHeight="1" x14ac:dyDescent="0.25">
      <c r="B35" s="51" t="s">
        <v>79</v>
      </c>
      <c r="C35" s="51"/>
      <c r="D35" s="51"/>
      <c r="E35" s="51"/>
      <c r="F35" s="51" t="str">
        <f>B69</f>
        <v>per 100 youth petitioned</v>
      </c>
      <c r="G35" s="51"/>
      <c r="H35" s="51"/>
      <c r="I35" s="51"/>
      <c r="J35" s="51"/>
      <c r="K35" s="51"/>
      <c r="L35" s="52"/>
      <c r="R35" s="48"/>
    </row>
    <row r="36" spans="2:18" ht="15" customHeight="1" x14ac:dyDescent="0.25">
      <c r="R36" s="48"/>
    </row>
    <row r="37" spans="2:18" ht="15" hidden="1" customHeight="1" x14ac:dyDescent="0.25">
      <c r="R37" s="48"/>
    </row>
    <row r="38" spans="2:18" ht="15" hidden="1" customHeight="1" x14ac:dyDescent="0.25">
      <c r="R38" s="48"/>
    </row>
    <row r="39" spans="2:18" ht="15" hidden="1" customHeight="1" x14ac:dyDescent="0.25">
      <c r="R39" s="48"/>
    </row>
    <row r="40" spans="2:18" ht="30.75" hidden="1" customHeight="1" x14ac:dyDescent="0.25">
      <c r="B40" s="209" t="s">
        <v>80</v>
      </c>
      <c r="C40" s="209"/>
      <c r="D40" s="209"/>
      <c r="E40" s="209"/>
      <c r="F40" s="209"/>
      <c r="G40" s="209"/>
      <c r="H40" s="209"/>
      <c r="I40" s="209"/>
      <c r="J40" s="209"/>
      <c r="K40" s="8"/>
      <c r="R40" s="48"/>
    </row>
    <row r="41" spans="2:18" ht="15" hidden="1" customHeight="1" x14ac:dyDescent="0.25">
      <c r="B41" s="53" t="s">
        <v>81</v>
      </c>
      <c r="C41" s="53" t="s">
        <v>82</v>
      </c>
      <c r="D41" s="54" t="s">
        <v>83</v>
      </c>
      <c r="E41" s="53" t="s">
        <v>84</v>
      </c>
      <c r="G41" s="53" t="s">
        <v>85</v>
      </c>
      <c r="H41" s="53"/>
      <c r="I41" s="53"/>
      <c r="L41" s="1" t="s">
        <v>86</v>
      </c>
      <c r="R41" s="48"/>
    </row>
    <row r="42" spans="2:18" ht="15" hidden="1" customHeight="1" x14ac:dyDescent="0.25">
      <c r="B42" s="48" t="s">
        <v>87</v>
      </c>
      <c r="C42" s="55">
        <f>C6/1000</f>
        <v>1.482</v>
      </c>
      <c r="D42" s="55">
        <f>E6/1000</f>
        <v>0</v>
      </c>
      <c r="E42" s="55">
        <f>MAX(C42:D42)</f>
        <v>1.482</v>
      </c>
      <c r="G42" s="1" t="str">
        <f>B42</f>
        <v>per 1000 youth</v>
      </c>
      <c r="L42" s="56">
        <v>1000</v>
      </c>
      <c r="M42" s="56"/>
      <c r="R42" s="48"/>
    </row>
    <row r="43" spans="2:18" ht="15" hidden="1" customHeight="1" x14ac:dyDescent="0.25">
      <c r="B43" s="48" t="s">
        <v>88</v>
      </c>
      <c r="C43" s="55">
        <f>C7/100</f>
        <v>1</v>
      </c>
      <c r="D43" s="55">
        <f>E7/100</f>
        <v>0</v>
      </c>
      <c r="E43" s="55">
        <f>MAX(C43:D43,0)</f>
        <v>1</v>
      </c>
      <c r="G43" s="1" t="str">
        <f>B43</f>
        <v>per 100 arrests</v>
      </c>
      <c r="L43" s="56">
        <v>100</v>
      </c>
      <c r="M43" s="56"/>
      <c r="R43" s="48"/>
    </row>
    <row r="44" spans="2:18" ht="15" hidden="1" customHeight="1" x14ac:dyDescent="0.25">
      <c r="B44" s="48" t="s">
        <v>89</v>
      </c>
      <c r="C44" s="55">
        <f>C8/100</f>
        <v>1.27</v>
      </c>
      <c r="D44" s="55">
        <f>E8/100</f>
        <v>0</v>
      </c>
      <c r="E44" s="55">
        <f>MAX(C44:D44,0)</f>
        <v>1.27</v>
      </c>
      <c r="G44" s="1" t="str">
        <f>B44</f>
        <v>per 100 referrals</v>
      </c>
      <c r="L44" s="56">
        <v>100</v>
      </c>
      <c r="M44" s="56"/>
      <c r="R44" s="48"/>
    </row>
    <row r="45" spans="2:18" ht="15" hidden="1" customHeight="1" x14ac:dyDescent="0.25">
      <c r="B45" s="48" t="s">
        <v>90</v>
      </c>
      <c r="C45" s="48">
        <f>C11/100</f>
        <v>0.4</v>
      </c>
      <c r="D45" s="48">
        <f>E11/100</f>
        <v>0</v>
      </c>
      <c r="E45" s="55">
        <f>MAX(C45:D45,0)</f>
        <v>0.4</v>
      </c>
      <c r="G45" s="1" t="str">
        <f>B45</f>
        <v>per 100 youth petitioned</v>
      </c>
      <c r="L45" s="56">
        <v>100</v>
      </c>
      <c r="M45" s="56"/>
      <c r="R45" s="48"/>
    </row>
    <row r="46" spans="2:18" ht="15" hidden="1" customHeight="1" x14ac:dyDescent="0.25">
      <c r="B46" s="48" t="s">
        <v>91</v>
      </c>
      <c r="C46" s="48">
        <f>C12/100</f>
        <v>0.42</v>
      </c>
      <c r="D46" s="48">
        <f>E12/100</f>
        <v>0</v>
      </c>
      <c r="E46" s="55">
        <f>MAX(C46:D46)</f>
        <v>0.42</v>
      </c>
      <c r="G46" s="1" t="str">
        <f>B46</f>
        <v>per 100 youth found delinquent</v>
      </c>
      <c r="L46" s="56">
        <v>100</v>
      </c>
      <c r="M46" s="56"/>
      <c r="R46" s="48"/>
    </row>
    <row r="47" spans="2:18" ht="15" hidden="1" customHeight="1" x14ac:dyDescent="0.25">
      <c r="B47" s="8"/>
      <c r="C47" s="8"/>
      <c r="D47" s="8"/>
      <c r="E47" s="8"/>
      <c r="L47" s="56"/>
      <c r="M47" s="56"/>
      <c r="R47" s="48"/>
    </row>
    <row r="48" spans="2:18" ht="15" hidden="1" customHeight="1" x14ac:dyDescent="0.25">
      <c r="B48" s="48" t="str">
        <f>B42</f>
        <v>per 1000 youth</v>
      </c>
      <c r="C48" s="55">
        <f>C42</f>
        <v>1.482</v>
      </c>
      <c r="D48" s="55">
        <f>D42</f>
        <v>0</v>
      </c>
      <c r="E48" s="55">
        <f>MAX(C48:D48)</f>
        <v>1.482</v>
      </c>
      <c r="G48" s="1" t="str">
        <f>G42</f>
        <v>per 1000 youth</v>
      </c>
      <c r="L48" s="57">
        <f>L42</f>
        <v>1000</v>
      </c>
      <c r="M48" s="57"/>
      <c r="N48" s="20"/>
      <c r="O48" s="20"/>
      <c r="P48" s="20"/>
      <c r="Q48" s="20"/>
      <c r="R48" s="20"/>
    </row>
    <row r="49" spans="2:18" ht="15" hidden="1" customHeight="1" x14ac:dyDescent="0.25">
      <c r="B49" s="48" t="str">
        <f t="shared" ref="B49:D50" si="9">IF(($E43&gt;0),B43,B42)</f>
        <v>per 100 arrests</v>
      </c>
      <c r="C49" s="48">
        <f t="shared" si="9"/>
        <v>1</v>
      </c>
      <c r="D49" s="48">
        <f t="shared" si="9"/>
        <v>0</v>
      </c>
      <c r="E49" s="48">
        <f>MAX(C49:D49)</f>
        <v>1</v>
      </c>
      <c r="G49" s="1" t="str">
        <f>G43</f>
        <v>per 100 arrests</v>
      </c>
      <c r="L49" s="57">
        <f>IF(($E43&gt;0),L43,L42)</f>
        <v>100</v>
      </c>
      <c r="M49" s="57"/>
      <c r="N49" s="20"/>
      <c r="O49" s="20"/>
      <c r="P49" s="20"/>
      <c r="Q49" s="20"/>
      <c r="R49" s="20"/>
    </row>
    <row r="50" spans="2:18" ht="15" hidden="1" customHeight="1" x14ac:dyDescent="0.25">
      <c r="B50" s="48" t="str">
        <f t="shared" si="9"/>
        <v>per 100 referrals</v>
      </c>
      <c r="C50" s="48">
        <f t="shared" si="9"/>
        <v>1.27</v>
      </c>
      <c r="D50" s="48">
        <f t="shared" si="9"/>
        <v>0</v>
      </c>
      <c r="E50" s="48">
        <f>MAX(C50:D50)</f>
        <v>1.27</v>
      </c>
      <c r="G50" s="1" t="str">
        <f>G44</f>
        <v>per 100 referrals</v>
      </c>
      <c r="L50" s="57">
        <f>IF(($E44&gt;0),L44,L43)</f>
        <v>100</v>
      </c>
      <c r="M50" s="57"/>
      <c r="N50" s="20"/>
      <c r="O50" s="20"/>
      <c r="P50" s="20"/>
      <c r="Q50" s="20"/>
      <c r="R50" s="20"/>
    </row>
    <row r="51" spans="2:18" ht="15" hidden="1" customHeight="1" x14ac:dyDescent="0.25">
      <c r="B51" s="48" t="str">
        <f>IF(($E45&gt;0),B45,B43)</f>
        <v>per 100 youth petitioned</v>
      </c>
      <c r="C51" s="48">
        <f>IF(($E45&gt;0),C45,C44)</f>
        <v>0.4</v>
      </c>
      <c r="D51" s="48">
        <f>IF(($E45&gt;0),D45,D44)</f>
        <v>0</v>
      </c>
      <c r="E51" s="48">
        <f>MAX(C51:D51)</f>
        <v>0.4</v>
      </c>
      <c r="G51" s="1" t="str">
        <f>G45</f>
        <v>per 100 youth petitioned</v>
      </c>
      <c r="L51" s="57">
        <f>IF(($E45&gt;0),L45,L44)</f>
        <v>100</v>
      </c>
      <c r="M51" s="57"/>
    </row>
    <row r="52" spans="2:18" ht="15" hidden="1" customHeight="1" x14ac:dyDescent="0.25">
      <c r="B52" s="48" t="str">
        <f>IF(($E46&gt;0),B46,B45)</f>
        <v>per 100 youth found delinquent</v>
      </c>
      <c r="C52" s="48">
        <f>IF(($E46&gt;0),C46,C45)</f>
        <v>0.42</v>
      </c>
      <c r="D52" s="48">
        <f>IF(($E46&gt;0),D46,D45)</f>
        <v>0</v>
      </c>
      <c r="E52" s="55">
        <f>MAX(C52:D52)</f>
        <v>0.42</v>
      </c>
      <c r="G52" s="1" t="str">
        <f>G46</f>
        <v>per 100 youth found delinquent</v>
      </c>
      <c r="L52" s="57">
        <f>IF(($E46&gt;0),L46,L45)</f>
        <v>100</v>
      </c>
      <c r="M52" s="57"/>
    </row>
    <row r="53" spans="2:18" ht="15" hidden="1" customHeight="1" x14ac:dyDescent="0.25">
      <c r="B53" s="48"/>
      <c r="C53" s="48"/>
      <c r="D53" s="48"/>
      <c r="E53" s="48"/>
      <c r="L53" s="56"/>
      <c r="M53" s="56"/>
    </row>
    <row r="54" spans="2:18" ht="15" hidden="1" customHeight="1" x14ac:dyDescent="0.25">
      <c r="B54" s="48" t="str">
        <f>B48</f>
        <v>per 1000 youth</v>
      </c>
      <c r="C54" s="55">
        <f>C48</f>
        <v>1.482</v>
      </c>
      <c r="D54" s="55">
        <f>D48</f>
        <v>0</v>
      </c>
      <c r="E54" s="55">
        <f>MAX(C54:D54)</f>
        <v>1.482</v>
      </c>
      <c r="G54" s="1" t="str">
        <f>G48</f>
        <v>per 1000 youth</v>
      </c>
      <c r="L54" s="57">
        <f>L48</f>
        <v>1000</v>
      </c>
      <c r="M54" s="57"/>
    </row>
    <row r="55" spans="2:18" ht="15" hidden="1" customHeight="1" x14ac:dyDescent="0.25">
      <c r="B55" s="48" t="str">
        <f t="shared" ref="B55:D56" si="10">IF(($E49&gt;0),B49,B48)</f>
        <v>per 100 arrests</v>
      </c>
      <c r="C55" s="48">
        <f t="shared" si="10"/>
        <v>1</v>
      </c>
      <c r="D55" s="48">
        <f t="shared" si="10"/>
        <v>0</v>
      </c>
      <c r="E55" s="48">
        <f>MAX(C55:D55)</f>
        <v>1</v>
      </c>
      <c r="G55" s="1" t="str">
        <f>G49</f>
        <v>per 100 arrests</v>
      </c>
      <c r="L55" s="57">
        <f>IF(($E49&gt;0),L49,L48)</f>
        <v>100</v>
      </c>
      <c r="M55" s="57"/>
    </row>
    <row r="56" spans="2:18" ht="15" hidden="1" customHeight="1" x14ac:dyDescent="0.25">
      <c r="B56" s="48" t="str">
        <f t="shared" si="10"/>
        <v>per 100 referrals</v>
      </c>
      <c r="C56" s="48">
        <f t="shared" si="10"/>
        <v>1.27</v>
      </c>
      <c r="D56" s="48">
        <f t="shared" si="10"/>
        <v>0</v>
      </c>
      <c r="E56" s="48">
        <f>MAX(C56:D56)</f>
        <v>1.27</v>
      </c>
      <c r="G56" s="1" t="str">
        <f>G50</f>
        <v>per 100 referrals</v>
      </c>
      <c r="L56" s="57">
        <f>IF(($E50&gt;0),L50,L49)</f>
        <v>100</v>
      </c>
      <c r="M56" s="57"/>
    </row>
    <row r="57" spans="2:18" ht="15" hidden="1" customHeight="1" x14ac:dyDescent="0.25">
      <c r="B57" s="48" t="str">
        <f>IF(($E51&gt;0),B51,B49)</f>
        <v>per 100 youth petitioned</v>
      </c>
      <c r="C57" s="48">
        <f>IF(($E51&gt;0),C51,C50)</f>
        <v>0.4</v>
      </c>
      <c r="D57" s="48">
        <f>IF(($E51&gt;0),D51,D50)</f>
        <v>0</v>
      </c>
      <c r="E57" s="48">
        <f>MAX(C57:D57)</f>
        <v>0.4</v>
      </c>
      <c r="G57" s="1" t="str">
        <f>G51</f>
        <v>per 100 youth petitioned</v>
      </c>
      <c r="L57" s="57">
        <f>IF(($E51&gt;0),L51,L50)</f>
        <v>100</v>
      </c>
      <c r="M57" s="57"/>
    </row>
    <row r="58" spans="2:18" ht="15" hidden="1" customHeight="1" x14ac:dyDescent="0.25">
      <c r="B58" s="48" t="str">
        <f>IF(($E52&gt;0),B52,B51)</f>
        <v>per 100 youth found delinquent</v>
      </c>
      <c r="C58" s="48">
        <f>IF(($E52&gt;0),C52,C51)</f>
        <v>0.42</v>
      </c>
      <c r="D58" s="48">
        <f>IF(($E52&gt;0),D52,D51)</f>
        <v>0</v>
      </c>
      <c r="E58" s="55">
        <f>MAX(C58:D58)</f>
        <v>0.42</v>
      </c>
      <c r="G58" s="1" t="str">
        <f>G52</f>
        <v>per 100 youth found delinquent</v>
      </c>
      <c r="L58" s="57">
        <f>IF(($E52&gt;0),L52,L51)</f>
        <v>100</v>
      </c>
      <c r="M58" s="57"/>
    </row>
    <row r="59" spans="2:18" ht="15" hidden="1" customHeight="1" x14ac:dyDescent="0.25">
      <c r="B59" s="48"/>
      <c r="C59" s="48"/>
      <c r="D59" s="48"/>
      <c r="E59" s="48"/>
      <c r="L59" s="56"/>
      <c r="M59" s="56"/>
    </row>
    <row r="60" spans="2:18" ht="15" hidden="1" customHeight="1" x14ac:dyDescent="0.25">
      <c r="B60" s="48" t="str">
        <f>B54</f>
        <v>per 1000 youth</v>
      </c>
      <c r="C60" s="55">
        <f>C54</f>
        <v>1.482</v>
      </c>
      <c r="D60" s="55">
        <f>D54</f>
        <v>0</v>
      </c>
      <c r="E60" s="55">
        <f>MAX(C60:D60)</f>
        <v>1.482</v>
      </c>
      <c r="G60" s="1" t="str">
        <f>G54</f>
        <v>per 1000 youth</v>
      </c>
      <c r="L60" s="57">
        <f>L54</f>
        <v>1000</v>
      </c>
      <c r="M60" s="57"/>
    </row>
    <row r="61" spans="2:18" ht="15" hidden="1" customHeight="1" x14ac:dyDescent="0.25">
      <c r="B61" s="48" t="str">
        <f t="shared" ref="B61:D62" si="11">IF(($E55&gt;0),B55,B54)</f>
        <v>per 100 arrests</v>
      </c>
      <c r="C61" s="48">
        <f t="shared" si="11"/>
        <v>1</v>
      </c>
      <c r="D61" s="48">
        <f t="shared" si="11"/>
        <v>0</v>
      </c>
      <c r="E61" s="48">
        <f>MAX(C61:D61)</f>
        <v>1</v>
      </c>
      <c r="G61" s="1" t="str">
        <f>G55</f>
        <v>per 100 arrests</v>
      </c>
      <c r="L61" s="57">
        <f>IF(($E55&gt;0),L55,L54)</f>
        <v>100</v>
      </c>
      <c r="M61" s="57"/>
    </row>
    <row r="62" spans="2:18" ht="15" hidden="1" customHeight="1" x14ac:dyDescent="0.25">
      <c r="B62" s="48" t="str">
        <f t="shared" si="11"/>
        <v>per 100 referrals</v>
      </c>
      <c r="C62" s="48">
        <f t="shared" si="11"/>
        <v>1.27</v>
      </c>
      <c r="D62" s="48">
        <f t="shared" si="11"/>
        <v>0</v>
      </c>
      <c r="E62" s="48">
        <f>MAX(C62:D62)</f>
        <v>1.27</v>
      </c>
      <c r="G62" s="1" t="str">
        <f>G56</f>
        <v>per 100 referrals</v>
      </c>
      <c r="L62" s="57">
        <f>IF(($E56&gt;0),L56,L55)</f>
        <v>100</v>
      </c>
      <c r="M62" s="57"/>
    </row>
    <row r="63" spans="2:18" ht="15" hidden="1" customHeight="1" x14ac:dyDescent="0.25">
      <c r="B63" s="48" t="str">
        <f>IF(($E57&gt;0),B57,B55)</f>
        <v>per 100 youth petitioned</v>
      </c>
      <c r="C63" s="48">
        <f>IF(($E57&gt;0),C57,C56)</f>
        <v>0.4</v>
      </c>
      <c r="D63" s="48">
        <f>IF(($E57&gt;0),D57,D56)</f>
        <v>0</v>
      </c>
      <c r="E63" s="48">
        <f>MAX(C63:D63)</f>
        <v>0.4</v>
      </c>
      <c r="G63" s="1" t="str">
        <f>G57</f>
        <v>per 100 youth petitioned</v>
      </c>
      <c r="L63" s="57">
        <f>IF(($E57&gt;0),L57,L56)</f>
        <v>100</v>
      </c>
      <c r="M63" s="57"/>
    </row>
    <row r="64" spans="2:18" ht="15" hidden="1" customHeight="1" x14ac:dyDescent="0.25">
      <c r="B64" s="48" t="str">
        <f>IF(($E58&gt;0),B58,B57)</f>
        <v>per 100 youth found delinquent</v>
      </c>
      <c r="C64" s="48">
        <f>IF(($E58&gt;0),C58,C57)</f>
        <v>0.42</v>
      </c>
      <c r="D64" s="48">
        <f>IF(($E58&gt;0),D58,D57)</f>
        <v>0</v>
      </c>
      <c r="E64" s="55">
        <f>MAX(C64:D64)</f>
        <v>0.42</v>
      </c>
      <c r="G64" s="1" t="str">
        <f>G58</f>
        <v>per 100 youth found delinquent</v>
      </c>
      <c r="L64" s="57">
        <f>IF(($E58&gt;0),L58,L57)</f>
        <v>100</v>
      </c>
      <c r="M64" s="57"/>
    </row>
    <row r="65" spans="2:13" ht="15" hidden="1" customHeight="1" x14ac:dyDescent="0.25">
      <c r="B65" s="58" t="s">
        <v>92</v>
      </c>
      <c r="L65" s="56"/>
      <c r="M65" s="56"/>
    </row>
    <row r="66" spans="2:13" ht="15" hidden="1" customHeight="1" x14ac:dyDescent="0.25">
      <c r="B66" s="48" t="str">
        <f>B60</f>
        <v>per 1000 youth</v>
      </c>
      <c r="C66" s="55">
        <f>C60</f>
        <v>1.482</v>
      </c>
      <c r="D66" s="55">
        <f>D60</f>
        <v>0</v>
      </c>
      <c r="E66" s="55">
        <f>MAX(C66:D66)</f>
        <v>1.482</v>
      </c>
      <c r="G66" s="1" t="str">
        <f>G60</f>
        <v>per 1000 youth</v>
      </c>
      <c r="L66" s="57">
        <f>L60</f>
        <v>1000</v>
      </c>
      <c r="M66" s="57">
        <f>IF((B66=G66),1,2)</f>
        <v>1</v>
      </c>
    </row>
    <row r="67" spans="2:13" ht="15" hidden="1" customHeight="1" x14ac:dyDescent="0.25">
      <c r="B67" s="48" t="str">
        <f t="shared" ref="B67:D68" si="12">IF(($E61&gt;0),B61,B60)</f>
        <v>per 100 arrests</v>
      </c>
      <c r="C67" s="48">
        <f t="shared" si="12"/>
        <v>1</v>
      </c>
      <c r="D67" s="48">
        <f t="shared" si="12"/>
        <v>0</v>
      </c>
      <c r="E67" s="48">
        <f>MAX(C67:D67)</f>
        <v>1</v>
      </c>
      <c r="G67" s="1" t="str">
        <f>G61</f>
        <v>per 100 arrests</v>
      </c>
      <c r="L67" s="57">
        <f>IF(($E61&gt;0),L61,L60)</f>
        <v>100</v>
      </c>
      <c r="M67" s="57">
        <f>IF((B67=G67),1,2)</f>
        <v>1</v>
      </c>
    </row>
    <row r="68" spans="2:13" ht="15" hidden="1" customHeight="1" x14ac:dyDescent="0.25">
      <c r="B68" s="48" t="str">
        <f t="shared" si="12"/>
        <v>per 100 referrals</v>
      </c>
      <c r="C68" s="48">
        <f t="shared" si="12"/>
        <v>1.27</v>
      </c>
      <c r="D68" s="48">
        <f t="shared" si="12"/>
        <v>0</v>
      </c>
      <c r="E68" s="48">
        <f>MAX(C68:D68)</f>
        <v>1.27</v>
      </c>
      <c r="G68" s="1" t="str">
        <f>G62</f>
        <v>per 100 referrals</v>
      </c>
      <c r="L68" s="57">
        <f>IF(($E62&gt;0),L62,L61)</f>
        <v>100</v>
      </c>
      <c r="M68" s="57">
        <f>IF((B68=G68),1,2)</f>
        <v>1</v>
      </c>
    </row>
    <row r="69" spans="2:13" ht="15" hidden="1" customHeight="1" x14ac:dyDescent="0.25">
      <c r="B69" s="48" t="str">
        <f>IF(($E63&gt;0),B63,B61)</f>
        <v>per 100 youth petitioned</v>
      </c>
      <c r="C69" s="48">
        <f>IF(($E63&gt;0),C63,C62)</f>
        <v>0.4</v>
      </c>
      <c r="D69" s="48">
        <f>IF(($E63&gt;0),D63,D62)</f>
        <v>0</v>
      </c>
      <c r="E69" s="48">
        <f>MAX(C69:D69)</f>
        <v>0.4</v>
      </c>
      <c r="G69" s="1" t="str">
        <f>G63</f>
        <v>per 100 youth petitioned</v>
      </c>
      <c r="L69" s="57">
        <f>IF(($E63&gt;0),L63,L62)</f>
        <v>100</v>
      </c>
      <c r="M69" s="57">
        <f>IF((B69=G69),1,2)</f>
        <v>1</v>
      </c>
    </row>
    <row r="70" spans="2:13" ht="15" hidden="1" customHeight="1" x14ac:dyDescent="0.25">
      <c r="B70" s="48" t="str">
        <f>IF(($E64&gt;0),B64,B63)</f>
        <v>per 100 youth found delinquent</v>
      </c>
      <c r="C70" s="48">
        <f>IF(($E64&gt;0),C64,C63)</f>
        <v>0.42</v>
      </c>
      <c r="D70" s="48">
        <f>IF(($E64&gt;0),D64,D63)</f>
        <v>0</v>
      </c>
      <c r="E70" s="55">
        <f>MAX(C70:D70)</f>
        <v>0.42</v>
      </c>
      <c r="G70" s="1" t="str">
        <f>G64</f>
        <v>per 100 youth found delinquent</v>
      </c>
      <c r="L70" s="57">
        <f>IF(($E64&gt;0),L64,L63)</f>
        <v>100</v>
      </c>
      <c r="M70" s="57">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59"/>
    </row>
    <row r="83" spans="2:2" ht="15" hidden="1" customHeight="1" x14ac:dyDescent="0.25">
      <c r="B83" s="60"/>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Data Entry</vt:lpstr>
      <vt:lpstr>Standard Display</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Entry'!Print_Area</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Stephanie Price</cp:lastModifiedBy>
  <cp:lastPrinted>2013-05-09T15:54:08Z</cp:lastPrinted>
  <dcterms:created xsi:type="dcterms:W3CDTF">2002-11-18T06:04:28Z</dcterms:created>
  <dcterms:modified xsi:type="dcterms:W3CDTF">2014-06-13T20:46:41Z</dcterms:modified>
</cp:coreProperties>
</file>