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92594DD8-1BA7-4360-8D5C-AE22192BB677}" xr6:coauthVersionLast="47" xr6:coauthVersionMax="47" xr10:uidLastSave="{D31727BE-2A27-4694-A898-A5F1BC178F4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4" l="1"/>
  <c r="F27" i="4"/>
  <c r="F27" i="5"/>
  <c r="M66" i="5"/>
  <c r="F27" i="2"/>
  <c r="M66" i="2"/>
  <c r="F27" i="8"/>
  <c r="M66" i="8"/>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3" i="7"/>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5"/>
  <c r="L64" i="3"/>
  <c r="B56" i="8"/>
  <c r="L56" i="8"/>
  <c r="D64" i="5"/>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C69" i="7"/>
  <c r="D12" i="7" s="1"/>
  <c r="D63" i="8"/>
  <c r="D70" i="8" s="1"/>
  <c r="F13" i="8" s="1"/>
  <c r="D70" i="5"/>
  <c r="F14" i="5" s="1"/>
  <c r="C70" i="5"/>
  <c r="Q13" i="5" s="1"/>
  <c r="B70" i="3"/>
  <c r="M70" i="3" s="1"/>
  <c r="L69" i="7"/>
  <c r="B70" i="5"/>
  <c r="F33" i="5" s="1"/>
  <c r="C63" i="8"/>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F13" i="5"/>
  <c r="O13" i="5"/>
  <c r="O14" i="5"/>
  <c r="D15" i="3"/>
  <c r="Q12" i="7"/>
  <c r="D15" i="7"/>
  <c r="F34" i="3"/>
  <c r="F33" i="3"/>
  <c r="B69" i="6"/>
  <c r="M69" i="6" s="1"/>
  <c r="D14" i="5"/>
  <c r="E70" i="5"/>
  <c r="Q15" i="7"/>
  <c r="Q14" i="5"/>
  <c r="D13" i="5"/>
  <c r="C69" i="6"/>
  <c r="D12" i="6" s="1"/>
  <c r="D69" i="3"/>
  <c r="E69" i="3" s="1"/>
  <c r="M70" i="5"/>
  <c r="L69" i="3"/>
  <c r="Q12" i="3" s="1"/>
  <c r="C70" i="8"/>
  <c r="Q13" i="8" s="1"/>
  <c r="F34" i="5"/>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2" i="7"/>
  <c r="F35" i="6"/>
  <c r="Q15" i="6"/>
  <c r="D15" i="6"/>
  <c r="Q12" i="6"/>
  <c r="F32" i="6"/>
  <c r="R15" i="7"/>
  <c r="S15" i="7" s="1"/>
  <c r="U15" i="7" s="1"/>
  <c r="J15" i="7" s="1"/>
  <c r="M15" i="7" s="1"/>
  <c r="T14" i="5"/>
  <c r="R12" i="7"/>
  <c r="S12" i="7" s="1"/>
  <c r="K14" i="5"/>
  <c r="T12" i="7"/>
  <c r="R13" i="8"/>
  <c r="S13" i="8" s="1"/>
  <c r="E70" i="8"/>
  <c r="Q14" i="8"/>
  <c r="R14" i="8" s="1"/>
  <c r="S14" i="8" s="1"/>
  <c r="D14" i="8"/>
  <c r="D13" i="8"/>
  <c r="R14" i="3"/>
  <c r="S14" i="3" s="1"/>
  <c r="U14" i="3" s="1"/>
  <c r="J14" i="3" s="1"/>
  <c r="M14" i="3" s="1"/>
  <c r="G14" i="3" s="1"/>
  <c r="I15" i="16" s="1"/>
  <c r="K13" i="3"/>
  <c r="O15" i="3"/>
  <c r="K15" i="7"/>
  <c r="F15" i="3"/>
  <c r="F12" i="3"/>
  <c r="Q15" i="3"/>
  <c r="O12" i="3"/>
  <c r="R12" i="3" s="1"/>
  <c r="S12" i="3" s="1"/>
  <c r="U12" i="3" s="1"/>
  <c r="J12" i="3" s="1"/>
  <c r="O15" i="6"/>
  <c r="T14" i="6"/>
  <c r="R13" i="6"/>
  <c r="S13" i="6" s="1"/>
  <c r="U13" i="6" s="1"/>
  <c r="J13" i="6" s="1"/>
  <c r="M13" i="6" s="1"/>
  <c r="G13" i="6" s="1"/>
  <c r="G13" i="9" s="1"/>
  <c r="K14" i="6"/>
  <c r="R14" i="6"/>
  <c r="S14" i="6" s="1"/>
  <c r="U14" i="6" s="1"/>
  <c r="J14" i="6" s="1"/>
  <c r="M14" i="6" s="1"/>
  <c r="G14" i="6" s="1"/>
  <c r="M15" i="13"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5" l="1"/>
  <c r="Q15" i="16" s="1"/>
  <c r="T15" i="6"/>
  <c r="T14" i="8"/>
  <c r="K14" i="8"/>
  <c r="L13" i="3"/>
  <c r="P14" i="16" s="1"/>
  <c r="K12" i="6"/>
  <c r="E14" i="9"/>
  <c r="L15" i="7"/>
  <c r="S16" i="16" s="1"/>
  <c r="U12" i="7"/>
  <c r="J12" i="7" s="1"/>
  <c r="M12" i="7" s="1"/>
  <c r="L13" i="6"/>
  <c r="R14" i="16" s="1"/>
  <c r="U13" i="8"/>
  <c r="J13" i="8" s="1"/>
  <c r="M13" i="8" s="1"/>
  <c r="G13" i="8" s="1"/>
  <c r="K14" i="16" s="1"/>
  <c r="I15" i="13"/>
  <c r="N30" i="3"/>
  <c r="L14" i="3"/>
  <c r="P15" i="16" s="1"/>
  <c r="K15" i="3"/>
  <c r="T12" i="3"/>
  <c r="T15" i="3"/>
  <c r="M14" i="13"/>
  <c r="R15" i="3"/>
  <c r="S15" i="3" s="1"/>
  <c r="U15" i="3" s="1"/>
  <c r="J15" i="3" s="1"/>
  <c r="M15" i="3" s="1"/>
  <c r="G15" i="3" s="1"/>
  <c r="I16" i="16" s="1"/>
  <c r="K12" i="3"/>
  <c r="L12" i="3" s="1"/>
  <c r="P13" i="16" s="1"/>
  <c r="R15" i="6"/>
  <c r="S15" i="6" s="1"/>
  <c r="U15" i="6" s="1"/>
  <c r="J15" i="6" s="1"/>
  <c r="M15" i="6" s="1"/>
  <c r="G15" i="6" s="1"/>
  <c r="K15" i="6"/>
  <c r="R12" i="6"/>
  <c r="S12" i="6" s="1"/>
  <c r="U12" i="6" s="1"/>
  <c r="J12" i="6" s="1"/>
  <c r="M12" i="6" s="1"/>
  <c r="G12" i="6" s="1"/>
  <c r="M13" i="3"/>
  <c r="G13" i="3" s="1"/>
  <c r="I14" i="16" s="1"/>
  <c r="U14" i="8"/>
  <c r="J14" i="8" s="1"/>
  <c r="N30" i="8" s="1"/>
  <c r="T12"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U13" i="2" l="1"/>
  <c r="J13" i="2" s="1"/>
  <c r="M13" i="2" s="1"/>
  <c r="G13" i="2" s="1"/>
  <c r="E14" i="16" s="1"/>
  <c r="Y16" i="13"/>
  <c r="Q15" i="9"/>
  <c r="V14" i="13"/>
  <c r="N14" i="9"/>
  <c r="V15" i="13"/>
  <c r="N13" i="9"/>
  <c r="P13" i="9"/>
  <c r="L12" i="7"/>
  <c r="S13" i="16" s="1"/>
  <c r="X14" i="13"/>
  <c r="U11" i="7"/>
  <c r="J11" i="7" s="1"/>
  <c r="L11" i="7" s="1"/>
  <c r="S12" i="16" s="1"/>
  <c r="I16" i="13"/>
  <c r="L15" i="3"/>
  <c r="P16" i="16" s="1"/>
  <c r="Q14" i="13"/>
  <c r="L13" i="8"/>
  <c r="T14" i="16" s="1"/>
  <c r="I13" i="9"/>
  <c r="U12" i="8"/>
  <c r="J12" i="8" s="1"/>
  <c r="M12" i="8" s="1"/>
  <c r="G12" i="8" s="1"/>
  <c r="K13" i="16" s="1"/>
  <c r="U10" i="7"/>
  <c r="J10" i="7" s="1"/>
  <c r="L10" i="7" s="1"/>
  <c r="S11" i="16" s="1"/>
  <c r="E15" i="9"/>
  <c r="L15" i="6"/>
  <c r="R16" i="16" s="1"/>
  <c r="E13" i="9"/>
  <c r="I14" i="13"/>
  <c r="L12" i="6"/>
  <c r="R13" i="16" s="1"/>
  <c r="M14" i="8"/>
  <c r="G14" i="8" s="1"/>
  <c r="K15" i="16" s="1"/>
  <c r="L14" i="8"/>
  <c r="T15" i="16" s="1"/>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Q12" i="9"/>
  <c r="Y13" i="13"/>
  <c r="V16" i="13"/>
  <c r="M10" i="7"/>
  <c r="N15" i="9"/>
  <c r="X16" i="13"/>
  <c r="L12" i="8"/>
  <c r="T13" i="16" s="1"/>
  <c r="R13" i="9"/>
  <c r="Z14" i="13"/>
  <c r="P15" i="9"/>
  <c r="R14" i="9"/>
  <c r="P12" i="9"/>
  <c r="X13" i="13"/>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<sst xmlns="http://schemas.openxmlformats.org/spreadsheetml/2006/main" count="654" uniqueCount="141">
  <si>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</si>
  <si>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</si>
  <si>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</si>
  <si>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</si>
  <si>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</si>
  <si>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</si>
  <si>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</si>
  <si>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</si>
  <si>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</si>
  <si>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</si>
  <si>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</si>
  <si>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</si>
  <si>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</si>
  <si>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</si>
  <si>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</si>
  <si>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</si>
  <si>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</si>
  <si>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</si>
  <si>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</si>
  <si>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</si>
  <si>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</si>
  <si>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</si>
  <si>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</si>
  <si>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</si>
  <si>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</si>
  <si>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</si>
  <si>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</si>
  <si>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</si>
  <si>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</si>
  <si>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</si>
  <si>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</si>
  <si>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</si>
  <si>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</si>
  <si>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</si>
  <si>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</si>
  <si>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</si>
  <si>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</si>
  <si>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</si>
  <si>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</si>
  <si>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</si>
  <si>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</si>
  <si>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</si>
  <si>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</si>
  <si>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</si>
  <si>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</si>
  <si>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</si>
  <si>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</si>
  <si>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</si>
  <si>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</si>
  <si>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</si>
  <si>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</si>
  <si>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</si>
  <si>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</si>
  <si>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</si>
  <si>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</si>
  <si>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</si>
  <si>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</si>
  <si>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</si>
  <si>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</si>
  <si>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</si>
  <si>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</si>
  <si>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</si>
  <si>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</si>
  <si>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</si>
  <si>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</si>
  <si>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</si>
  <si>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</si>
  <si>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</si>
  <si>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</si>
  <si>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</si>
  <si>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</si>
  <si>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</si>
  <si>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</si>
  <si>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</si>
  <si>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</si>
  <si>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</si>
  <si>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</si>
  <si>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</si>
  <si>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</si>
  <si>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</si>
  <si>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</si>
  <si>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</si>
  <si>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</si>
  <si>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</si>
  <si>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</si>
  <si>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</si>
  <si>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</si>
  <si>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</si>
  <si>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</si>
  <si>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</si>
  <si>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</si>
  <si>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</si>
  <si>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</si>
  <si>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</si>
  <si>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</si>
  <si>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</si>
  <si>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</si>
  <si>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</si>
  <si>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</si>
  <si>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</si>
  <si>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</si>
  <si>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</si>
  <si>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</si>
  <si>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</si>
  <si>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</si>
  <si>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</si>
  <si>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</si>
  <si>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</si>
  <si>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</si>
  <si>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</si>
  <si>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</si>
  <si>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</si>
  <si>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</si>
  <si>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</si>
  <si>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</si>
  <si>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</si>
  <si>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</si>
  <si>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</si>
  <si>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</si>
  <si>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</si>
  <si>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</si>
  <si>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</si>
  <si>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</si>
  <si>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</si>
  <si>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</si>
  <si>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</si>
  <si>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</si>
  <si>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</si>
  <si>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</si>
  <si>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</si>
  <si>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</si>
  <si>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</si>
  <si>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</si>
  <si>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</si>
  <si>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</si>
  <si>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</si>
  <si>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Presque Isle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</si>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</sst>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Presque Isle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N=11</c:v>
                </c:pt>
                <c:pt idx="3">
                  <c:v>Petitions, total N=16</c:v>
                </c:pt>
                <c:pt idx="4">
                  <c:v>Detentions, total N=0</c:v>
                </c:pt>
                <c:pt idx="5">
                  <c:v>Referrals, total N=23</c:v>
                </c:pt>
                <c:pt idx="6">
                  <c:v>Arrests, total N=0</c:v>
                </c:pt>
                <c:pt idx="7">
                  <c:v>Population, total N=965</c:v>
                </c:pt>
              </c:strCache>
            </c:strRef>
          </c:cat>
          <c:val>
            <c:numRef>
              <c:f>'Stacked 100%'!$B$7:$B$14</c:f>
              <c:numCache>
                <c:formatCode>0%</c:formatCode>
                <c:ptCount val="8"/>
                <c:pt idx="0">
                  <c:v>0</c:v>
                </c:pt>
                <c:pt idx="1">
                  <c:v>0</c:v>
                </c:pt>
                <c:pt idx="2">
                  <c:v>9.0909090909090912E-2</c:v>
                </c:pt>
                <c:pt idx="3">
                  <c:v>6.25E-2</c:v>
                </c:pt>
                <c:pt idx="4">
                  <c:v>0</c:v>
                </c:pt>
                <c:pt idx="5">
                  <c:v>8.6956521739130432E-2</c:v>
                </c:pt>
                <c:pt idx="6">
                  <c:v>0</c:v>
                </c:pt>
                <c:pt idx="7">
                  <c:v>1.6580310880829015E-2</c:v>
                </c:pt>
              </c:numCache>
            </c:numRef>
          </c:val>
          <c:extLst>
            <c:ext xmlns:c16="http://schemas.microsoft.com/office/drawing/2014/chart" uri="{C3380CC4-5D6E-409C-BE32-E72D297353CC}">
              <c16:uniqueId val="{00000000-9E8F-46B6-90B5-6D8DD543112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N=11</c:v>
                </c:pt>
                <c:pt idx="3">
                  <c:v>Petitions, total N=16</c:v>
                </c:pt>
                <c:pt idx="4">
                  <c:v>Detentions, total N=0</c:v>
                </c:pt>
                <c:pt idx="5">
                  <c:v>Referrals, total N=23</c:v>
                </c:pt>
                <c:pt idx="6">
                  <c:v>Arrests, total N=0</c:v>
                </c:pt>
                <c:pt idx="7">
                  <c:v>Population, total N=965</c:v>
                </c:pt>
              </c:strCache>
            </c:strRef>
          </c:cat>
          <c:val>
            <c:numRef>
              <c:f>'Stacked 100%'!$C$7:$C$14</c:f>
              <c:numCache>
                <c:formatCode>0%</c:formatCode>
                <c:ptCount val="8"/>
                <c:pt idx="0">
                  <c:v>0</c:v>
                </c:pt>
                <c:pt idx="1">
                  <c:v>0</c:v>
                </c:pt>
                <c:pt idx="2">
                  <c:v>0</c:v>
                </c:pt>
                <c:pt idx="3">
                  <c:v>0</c:v>
                </c:pt>
                <c:pt idx="4">
                  <c:v>0</c:v>
                </c:pt>
                <c:pt idx="5">
                  <c:v>0</c:v>
                </c:pt>
                <c:pt idx="6">
                  <c:v>0</c:v>
                </c:pt>
                <c:pt idx="7">
                  <c:v>4.2487046632124353E-2</c:v>
                </c:pt>
              </c:numCache>
            </c:numRef>
          </c:val>
          <c:extLst>
            <c:ext xmlns:c16="http://schemas.microsoft.com/office/drawing/2014/chart" uri="{C3380CC4-5D6E-409C-BE32-E72D297353CC}">
              <c16:uniqueId val="{00000001-9E8F-46B6-90B5-6D8DD543112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N=11</c:v>
                </c:pt>
                <c:pt idx="3">
                  <c:v>Petitions, total N=16</c:v>
                </c:pt>
                <c:pt idx="4">
                  <c:v>Detentions, total N=0</c:v>
                </c:pt>
                <c:pt idx="5">
                  <c:v>Referrals, total N=23</c:v>
                </c:pt>
                <c:pt idx="6">
                  <c:v>Arrests, total N=0</c:v>
                </c:pt>
                <c:pt idx="7">
                  <c:v>Population, total N=965</c:v>
                </c:pt>
              </c:strCache>
            </c:strRef>
          </c:cat>
          <c:val>
            <c:numRef>
              <c:f>'Stacked 100%'!$H$7:$H$14</c:f>
              <c:numCache>
                <c:formatCode>0%</c:formatCode>
                <c:ptCount val="8"/>
                <c:pt idx="0">
                  <c:v>0</c:v>
                </c:pt>
                <c:pt idx="1">
                  <c:v>0</c:v>
                </c:pt>
                <c:pt idx="2">
                  <c:v>0</c:v>
                </c:pt>
                <c:pt idx="3">
                  <c:v>0</c:v>
                </c:pt>
                <c:pt idx="4">
                  <c:v>0</c:v>
                </c:pt>
                <c:pt idx="5">
                  <c:v>0</c:v>
                </c:pt>
                <c:pt idx="6">
                  <c:v>0</c:v>
                </c:pt>
                <c:pt idx="7">
                  <c:v>2.3624795296518026E-5</c:v>
                </c:pt>
              </c:numCache>
            </c:numRef>
          </c:val>
          <c:extLst>
            <c:ext xmlns:c16="http://schemas.microsoft.com/office/drawing/2014/chart" uri="{C3380CC4-5D6E-409C-BE32-E72D297353CC}">
              <c16:uniqueId val="{00000002-9E8F-46B6-90B5-6D8DD543112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N=11</c:v>
                </c:pt>
                <c:pt idx="3">
                  <c:v>Petitions, total N=16</c:v>
                </c:pt>
                <c:pt idx="4">
                  <c:v>Detentions, total N=0</c:v>
                </c:pt>
                <c:pt idx="5">
                  <c:v>Referrals, total N=23</c:v>
                </c:pt>
                <c:pt idx="6">
                  <c:v>Arrests, total N=0</c:v>
                </c:pt>
                <c:pt idx="7">
                  <c:v>Population, total N=965</c:v>
                </c:pt>
              </c:strCache>
            </c:strRef>
          </c:cat>
          <c:val>
            <c:numRef>
              <c:f>'Stacked 100%'!$I$7:$I$14</c:f>
              <c:numCache>
                <c:formatCode>0%</c:formatCode>
                <c:ptCount val="8"/>
                <c:pt idx="0">
                  <c:v>0</c:v>
                </c:pt>
                <c:pt idx="1">
                  <c:v>1</c:v>
                </c:pt>
                <c:pt idx="2">
                  <c:v>0.54545454545454541</c:v>
                </c:pt>
                <c:pt idx="3">
                  <c:v>0.6875</c:v>
                </c:pt>
                <c:pt idx="4">
                  <c:v>0</c:v>
                </c:pt>
                <c:pt idx="5">
                  <c:v>0.73913043478260865</c:v>
                </c:pt>
                <c:pt idx="6">
                  <c:v>0</c:v>
                </c:pt>
                <c:pt idx="7">
                  <c:v>0.91813471502590671</c:v>
                </c:pt>
              </c:numCache>
            </c:numRef>
          </c:val>
          <c:extLst>
            <c:ext xmlns:c16="http://schemas.microsoft.com/office/drawing/2014/chart" uri="{C3380CC4-5D6E-409C-BE32-E72D297353CC}">
              <c16:uniqueId val="{00000003-9E8F-46B6-90B5-6D8DD543112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N=11</c:v>
                </c:pt>
                <c:pt idx="3">
                  <c:v>Petitions, total N=16</c:v>
                </c:pt>
                <c:pt idx="4">
                  <c:v>Detentions, total N=0</c:v>
                </c:pt>
                <c:pt idx="5">
                  <c:v>Referrals, total N=23</c:v>
                </c:pt>
                <c:pt idx="6">
                  <c:v>Arrests, total N=0</c:v>
                </c:pt>
                <c:pt idx="7">
                  <c:v>Population, total N=965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E8F-46B6-90B5-6D8DD543112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4" sqref="K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965</v>
      </c>
      <c r="C6" s="11">
        <v>886</v>
      </c>
      <c r="D6" s="11">
        <v>16</v>
      </c>
      <c r="E6" s="11">
        <v>41</v>
      </c>
      <c r="F6" s="11">
        <v>12</v>
      </c>
      <c r="G6" s="11"/>
      <c r="H6" s="11">
        <v>10</v>
      </c>
      <c r="I6" s="11"/>
      <c r="J6" s="91">
        <f>SUM(D6:I6)</f>
        <v>79</v>
      </c>
      <c r="K6" s="92"/>
    </row>
    <row r="7" spans="1:11" ht="15.75" customHeight="1" thickBot="1">
      <c r="A7" s="10" t="s">
        <v>8</v>
      </c>
      <c r="B7" s="11">
        <f t="shared" ref="B7:B15" si="0">SUM(C7:I7)+K7</f>
        <v>0</v>
      </c>
      <c r="C7" s="11">
        <v>0</v>
      </c>
      <c r="D7" s="11">
        <v>0</v>
      </c>
      <c r="E7" s="11">
        <v>0</v>
      </c>
      <c r="F7" s="11">
        <v>0</v>
      </c>
      <c r="G7" s="11">
        <v>0</v>
      </c>
      <c r="H7" s="11">
        <v>0</v>
      </c>
      <c r="I7" s="11"/>
      <c r="J7" s="91">
        <f t="shared" ref="J7:J15" si="1">SUM(D7:I7)</f>
        <v>0</v>
      </c>
      <c r="K7" s="92">
        <v>0</v>
      </c>
    </row>
    <row r="8" spans="1:11" ht="15.75" customHeight="1" thickBot="1">
      <c r="A8" s="10" t="s">
        <v>9</v>
      </c>
      <c r="B8" s="11">
        <f t="shared" si="0"/>
        <v>23</v>
      </c>
      <c r="C8" s="11">
        <v>17</v>
      </c>
      <c r="D8" s="11">
        <v>2</v>
      </c>
      <c r="E8" s="11"/>
      <c r="F8" s="11"/>
      <c r="G8" s="11"/>
      <c r="H8" s="11"/>
      <c r="I8" s="11"/>
      <c r="J8" s="91">
        <f t="shared" si="1"/>
        <v>2</v>
      </c>
      <c r="K8" s="92">
        <v>4</v>
      </c>
    </row>
    <row r="9" spans="1:11" ht="15.75" customHeight="1" thickBot="1">
      <c r="A9" s="10" t="s">
        <v>10</v>
      </c>
      <c r="B9" s="11">
        <f t="shared" si="0"/>
        <v>2</v>
      </c>
      <c r="C9" s="11">
        <v>1</v>
      </c>
      <c r="D9" s="11">
        <v>1</v>
      </c>
      <c r="E9" s="11"/>
      <c r="F9" s="11"/>
      <c r="G9" s="11"/>
      <c r="H9" s="11"/>
      <c r="I9" s="11"/>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16</v>
      </c>
      <c r="C11" s="11">
        <v>11</v>
      </c>
      <c r="D11" s="11">
        <v>1</v>
      </c>
      <c r="E11" s="11"/>
      <c r="F11" s="11"/>
      <c r="G11" s="11"/>
      <c r="H11" s="11"/>
      <c r="I11" s="11"/>
      <c r="J11" s="91">
        <f t="shared" si="1"/>
        <v>1</v>
      </c>
      <c r="K11" s="92">
        <v>4</v>
      </c>
    </row>
    <row r="12" spans="1:11" ht="15.75" customHeight="1" thickBot="1">
      <c r="A12" s="10" t="s">
        <v>13</v>
      </c>
      <c r="B12" s="11">
        <f t="shared" si="0"/>
        <v>11</v>
      </c>
      <c r="C12" s="11">
        <v>6</v>
      </c>
      <c r="D12" s="11">
        <v>1</v>
      </c>
      <c r="E12" s="11"/>
      <c r="F12" s="11"/>
      <c r="G12" s="11"/>
      <c r="H12" s="11"/>
      <c r="I12" s="11"/>
      <c r="J12" s="91">
        <f t="shared" si="1"/>
        <v>1</v>
      </c>
      <c r="K12" s="92">
        <v>4</v>
      </c>
    </row>
    <row r="13" spans="1:11" ht="15.75" customHeight="1" thickBot="1">
      <c r="A13" s="10" t="s">
        <v>133</v>
      </c>
      <c r="B13" s="11">
        <f t="shared" si="0"/>
        <v>16</v>
      </c>
      <c r="C13" s="11">
        <v>13</v>
      </c>
      <c r="D13" s="11">
        <v>2</v>
      </c>
      <c r="E13" s="11"/>
      <c r="F13" s="11"/>
      <c r="G13" s="11"/>
      <c r="H13" s="11"/>
      <c r="I13" s="11"/>
      <c r="J13" s="91">
        <f t="shared" si="1"/>
        <v>2</v>
      </c>
      <c r="K13" s="92">
        <v>1</v>
      </c>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886</v>
      </c>
      <c r="R7" s="42">
        <f t="shared" ref="R7:R15" si="5">SUM(N7:Q7)</f>
        <v>886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869</v>
      </c>
      <c r="R8" s="42">
        <f t="shared" si="5"/>
        <v>886.05</v>
      </c>
      <c r="S8" s="30">
        <f t="shared" si="6"/>
        <v>640.17112500000007</v>
      </c>
      <c r="T8" s="30">
        <f t="shared" si="7"/>
        <v>654481.55499999993</v>
      </c>
      <c r="U8" s="31">
        <f t="shared" si="8"/>
        <v>9.7813470847165447E-4</v>
      </c>
    </row>
    <row r="9" spans="2:21" ht="18" customHeight="1">
      <c r="B9" s="32" t="str">
        <f>'Data Entry'!A9</f>
        <v xml:space="preserve">4. Cases Diverted </v>
      </c>
      <c r="C9" s="33">
        <f>'Data Entry'!C9</f>
        <v>1</v>
      </c>
      <c r="D9" s="34">
        <f>IF((AND(C68&gt;0,C9&gt;0)),((C9/C68)),0)</f>
        <v>5.8823529411764701</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16</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6</v>
      </c>
      <c r="R11" s="42">
        <f t="shared" si="5"/>
        <v>17</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54.545454545454547</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216.66666666666669</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-7</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0</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0</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0</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0</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0</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0</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0</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0</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0</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Entry'!J6</f>
        <v>79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79</v>
      </c>
      <c r="P7" s="42">
        <f t="shared" ref="P7:P15" si="4">C7</f>
        <v>0</v>
      </c>
      <c r="Q7" s="42">
        <f>C6-C7</f>
        <v>886</v>
      </c>
      <c r="R7" s="42">
        <f t="shared" ref="R7:R15" si="5">SUM(N7:Q7)</f>
        <v>965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Entry'!J8</f>
        <v>2</v>
      </c>
      <c r="F8" s="34">
        <f>IF((AND($E$8&gt;0,$D$67&gt;0)),($E8/$D67),0)</f>
        <v>25.316455696202532</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77.05</v>
      </c>
      <c r="P8" s="42">
        <f t="shared" si="4"/>
        <v>17</v>
      </c>
      <c r="Q8" s="42">
        <f>(C$67*L67)-C8</f>
        <v>869</v>
      </c>
      <c r="R8" s="42">
        <f t="shared" si="5"/>
        <v>965.05</v>
      </c>
      <c r="S8" s="30">
        <f t="shared" si="6"/>
        <v>176905653.33362505</v>
      </c>
      <c r="T8" s="30">
        <f t="shared" si="7"/>
        <v>1258934940.5849998</v>
      </c>
      <c r="U8" s="31">
        <f t="shared" si="8"/>
        <v>0.14052009173041208</v>
      </c>
    </row>
    <row r="9" spans="2:21" ht="18" customHeight="1">
      <c r="B9" s="32" t="str">
        <f>'Data Entry'!A9</f>
        <v xml:space="preserve">4. Cases Diverted </v>
      </c>
      <c r="C9" s="33">
        <f>'Data Entry'!C9</f>
        <v>1</v>
      </c>
      <c r="D9" s="34">
        <f>IF((AND(C68&gt;0,C9&gt;0)),((C9/C68)),0)</f>
        <v>5.8823529411764701</v>
      </c>
      <c r="E9" s="33">
        <f>'Data Entry'!J9</f>
        <v>1</v>
      </c>
      <c r="F9" s="34">
        <f>IF((AND($E$9&gt;0,$D$68&gt;0)),(($E$9/$D$68)),0)</f>
        <v>50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1</v>
      </c>
      <c r="P9" s="42">
        <f t="shared" si="4"/>
        <v>1</v>
      </c>
      <c r="Q9" s="42">
        <f>(C$68*L68)-C9</f>
        <v>16</v>
      </c>
      <c r="R9" s="42">
        <f t="shared" si="5"/>
        <v>19</v>
      </c>
      <c r="S9" s="30">
        <f t="shared" si="6"/>
        <v>4275</v>
      </c>
      <c r="T9" s="30">
        <f t="shared" si="7"/>
        <v>1156</v>
      </c>
      <c r="U9" s="31">
        <f t="shared" si="8"/>
        <v>3.6980968858131487</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17</v>
      </c>
      <c r="R10" s="42">
        <f t="shared" si="5"/>
        <v>19</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Entry'!J11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1</v>
      </c>
      <c r="P11" s="42">
        <f t="shared" si="4"/>
        <v>11</v>
      </c>
      <c r="Q11" s="42">
        <f>(C$68*L68)-C11</f>
        <v>6</v>
      </c>
      <c r="R11" s="42">
        <f t="shared" si="5"/>
        <v>19</v>
      </c>
      <c r="S11" s="30">
        <f t="shared" si="6"/>
        <v>475</v>
      </c>
      <c r="T11" s="30">
        <f t="shared" si="7"/>
        <v>2856</v>
      </c>
      <c r="U11" s="31">
        <f t="shared" si="8"/>
        <v>0.16631652661064425</v>
      </c>
    </row>
    <row r="12" spans="2:21" ht="18" customHeight="1">
      <c r="B12" s="32" t="str">
        <f>'Data Entry'!A12</f>
        <v>7. Cases Resulting in Delinquent Findings</v>
      </c>
      <c r="C12" s="33">
        <f>'Data Entry'!C12</f>
        <v>6</v>
      </c>
      <c r="D12" s="34">
        <f>IF(((AND(C69&gt;0,C12&gt;0))),(C12/(C69)),0)</f>
        <v>54.545454545454547</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6</v>
      </c>
      <c r="Q12" s="42">
        <f>(C69*L69)-C12</f>
        <v>5</v>
      </c>
      <c r="R12" s="42">
        <f t="shared" si="5"/>
        <v>12</v>
      </c>
      <c r="S12" s="30">
        <f t="shared" si="6"/>
        <v>300</v>
      </c>
      <c r="T12" s="30">
        <f t="shared" si="7"/>
        <v>385</v>
      </c>
      <c r="U12" s="31">
        <f t="shared" si="8"/>
        <v>0.77922077922077926</v>
      </c>
    </row>
    <row r="13" spans="2:21" ht="18" customHeight="1">
      <c r="B13" s="32" t="str">
        <f>'Data Entry'!A13</f>
        <v>8. Cases Resulting in Probation Placement</v>
      </c>
      <c r="C13" s="33">
        <f>'Data Entry'!C13</f>
        <v>13</v>
      </c>
      <c r="D13" s="34">
        <f>IF(((AND(C70&gt;0,C13&gt;0))),(C13/(C70)),0)</f>
        <v>216.66666666666669</v>
      </c>
      <c r="E13" s="33">
        <f>'Data Entry'!J13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-1</v>
      </c>
      <c r="P13" s="42">
        <f t="shared" si="4"/>
        <v>13</v>
      </c>
      <c r="Q13" s="42">
        <f>(C70*L70)-C13</f>
        <v>-7</v>
      </c>
      <c r="R13" s="42">
        <f t="shared" si="5"/>
        <v>7</v>
      </c>
      <c r="S13" s="30">
        <f t="shared" si="6"/>
        <v>7</v>
      </c>
      <c r="T13" s="30">
        <f t="shared" si="7"/>
        <v>-720</v>
      </c>
      <c r="U13" s="31">
        <f t="shared" si="8"/>
        <v>-9.7222222222222224E-3</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v>
      </c>
      <c r="Q14" s="42">
        <f>(C70*L70)-C14</f>
        <v>5</v>
      </c>
      <c r="R14" s="42">
        <f t="shared" si="5"/>
        <v>7</v>
      </c>
      <c r="S14" s="30">
        <f t="shared" si="6"/>
        <v>7</v>
      </c>
      <c r="T14" s="30">
        <f t="shared" si="7"/>
        <v>36</v>
      </c>
      <c r="U14" s="31">
        <f t="shared" si="8"/>
        <v>0.19444444444444445</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11</v>
      </c>
      <c r="R15" s="42">
        <f t="shared" si="5"/>
        <v>12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7.9000000000000001E-2</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0.02</v>
      </c>
      <c r="E44" s="56">
        <f>MAX(C44:D44,0)</f>
        <v>0.17</v>
      </c>
      <c r="G44" s="1" t="str">
        <f>B44</f>
        <v>per 100 referrals</v>
      </c>
      <c r="L44" s="57">
        <v>100</v>
      </c>
      <c r="M44" s="57"/>
      <c r="R44" s="49"/>
    </row>
    <row r="45" spans="2:18" ht="15" hidden="1" customHeight="1">
      <c r="B45" s="49" t="s">
        <v>89</v>
      </c>
      <c r="C45" s="49">
        <f>C11/100</f>
        <v>0.11</v>
      </c>
      <c r="D45" s="49">
        <f>E11/100</f>
        <v>0.01</v>
      </c>
      <c r="E45" s="56">
        <f>MAX(C45:D45,0)</f>
        <v>0.11</v>
      </c>
      <c r="G45" s="1" t="str">
        <f>B45</f>
        <v>per 100 youth petitioned</v>
      </c>
      <c r="L45" s="57">
        <v>100</v>
      </c>
      <c r="M45" s="57"/>
      <c r="R45" s="49"/>
    </row>
    <row r="46" spans="2:18" ht="15" hidden="1" customHeight="1">
      <c r="B46" s="49" t="s">
        <v>90</v>
      </c>
      <c r="C46" s="49">
        <f>C12/100</f>
        <v>0.06</v>
      </c>
      <c r="D46" s="49">
        <f>E12/100</f>
        <v>0.01</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7.9000000000000001E-2</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7.9000000000000001E-2</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0.02</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0.01</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7.9000000000000001E-2</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7.9000000000000001E-2</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0.02</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0.01</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7.9000000000000001E-2</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7.9000000000000001E-2</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0.02</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0.01</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7.9000000000000001E-2</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7.9000000000000001E-2</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0.02</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0.01</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Presque Isle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965</v>
      </c>
      <c r="D3" s="57">
        <f>'Data Entry'!C6</f>
        <v>886</v>
      </c>
      <c r="E3" s="57">
        <f>'Data Entry'!D6</f>
        <v>16</v>
      </c>
      <c r="F3" s="57">
        <f>'Data Entry'!E6</f>
        <v>41</v>
      </c>
      <c r="G3" s="57">
        <f>'Data Entry'!F6</f>
        <v>12</v>
      </c>
      <c r="H3" s="57">
        <f>'Data Entry'!G6</f>
        <v>0</v>
      </c>
      <c r="I3" s="57">
        <f>'Data Entry'!H6</f>
        <v>10</v>
      </c>
      <c r="J3" s="57">
        <f>'Data Entry'!I6</f>
        <v>0</v>
      </c>
      <c r="K3" s="57">
        <f>'Data Entry'!J6</f>
        <v>79</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23.834196891191709</v>
      </c>
      <c r="D5" s="1">
        <f>IF((D$3&gt;0),(1000*('Data Entry'!C8/'Data Entry'!C$6)), 0)</f>
        <v>19.187358916478555</v>
      </c>
      <c r="E5" s="1">
        <f>IF((E$3&gt;0),(1000*('Data Entry'!D8/'Data Entry'!D$6)), 0)</f>
        <v>125</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25.316455696202532</v>
      </c>
    </row>
    <row r="6" spans="2:11" ht="15" customHeight="1">
      <c r="B6" s="16" t="s">
        <v>10</v>
      </c>
      <c r="C6" s="1">
        <f>IF((C$3&gt;0),(1000*('Data Entry'!B9/'Data Entry'!B$6)), 0)</f>
        <v>2.0725388601036268</v>
      </c>
      <c r="D6" s="1">
        <f>IF((D$3&gt;0),(1000*('Data Entry'!C9/'Data Entry'!C$6)), 0)</f>
        <v>1.1286681715575619</v>
      </c>
      <c r="E6" s="1">
        <f>IF((E$3&gt;0),(1000*('Data Entry'!D9/'Data Entry'!D$6)), 0)</f>
        <v>62.5</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12.658227848101266</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16.580310880829014</v>
      </c>
      <c r="D8" s="1">
        <f>IF((D$3&gt;0),(1000*('Data Entry'!C11/'Data Entry'!C$6)), 0)</f>
        <v>12.415349887133182</v>
      </c>
      <c r="E8" s="1">
        <f>IF((E$3&gt;0),(1000*('Data Entry'!D11/'Data Entry'!D$6)), 0)</f>
        <v>62.5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12.658227848101266</v>
      </c>
    </row>
    <row r="9" spans="2:11" ht="15" customHeight="1">
      <c r="B9" s="16" t="s">
        <v>13</v>
      </c>
      <c r="C9" s="1">
        <f>IF((C$3&gt;0),(1000*('Data Entry'!B12/'Data Entry'!B$6)), 0)</f>
        <v>11.398963730569948</v>
      </c>
      <c r="D9" s="1">
        <f>IF((D$3&gt;0),(1000*('Data Entry'!C12/'Data Entry'!C$6)), 0)</f>
        <v>6.7720090293453721</v>
      </c>
      <c r="E9" s="1">
        <f>IF((E$3&gt;0),(1000*('Data Entry'!D12/'Data Entry'!D$6)), 0)</f>
        <v>62.5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12.658227848101266</v>
      </c>
    </row>
    <row r="10" spans="2:11" ht="15" customHeight="1">
      <c r="B10" s="16" t="s">
        <v>14</v>
      </c>
      <c r="C10" s="1">
        <f>IF((C$3&gt;0),(1000*('Data Entry'!B13/'Data Entry'!B$6)), 0)</f>
        <v>16.580310880829014</v>
      </c>
      <c r="D10" s="1">
        <f>IF((D$3&gt;0),(1000*('Data Entry'!C13/'Data Entry'!C$6)), 0)</f>
        <v>14.672686230248308</v>
      </c>
      <c r="E10" s="1">
        <f>IF((E$3&gt;0),(1000*('Data Entry'!D13/'Data Entry'!D$6)), 0)</f>
        <v>125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25.316455696202532</v>
      </c>
    </row>
    <row r="11" spans="2:11" ht="25.5" customHeight="1">
      <c r="B11" s="16" t="s">
        <v>15</v>
      </c>
      <c r="C11" s="1">
        <f>IF((C$3&gt;0),(1000*('Data Entry'!B14/'Data Entry'!B$6)), 0)</f>
        <v>1.0362694300518134</v>
      </c>
      <c r="D11" s="1">
        <f>IF((D$3&gt;0),(1000*('Data Entry'!C14/'Data Entry'!C$6)), 0)</f>
        <v>1.1286681715575619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Presque Isle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6.5147058823529411</v>
      </c>
      <c r="E20" s="72" t="str">
        <f t="shared" si="2"/>
        <v>--</v>
      </c>
      <c r="F20" s="72" t="str">
        <f t="shared" si="2"/>
        <v>--</v>
      </c>
      <c r="G20" s="72" t="str">
        <f t="shared" si="2"/>
        <v>--</v>
      </c>
      <c r="H20" s="72" t="str">
        <f t="shared" si="2"/>
        <v>--</v>
      </c>
      <c r="I20" s="72" t="str">
        <f t="shared" si="2"/>
        <v>--</v>
      </c>
      <c r="J20" s="73">
        <f t="shared" si="2"/>
        <v>1.319434102755026</v>
      </c>
    </row>
    <row r="21" spans="2:10" ht="15" customHeight="1">
      <c r="B21" s="71" t="s">
        <v>10</v>
      </c>
      <c r="C21" s="72">
        <f t="shared" si="2"/>
        <v>1</v>
      </c>
      <c r="D21" s="72">
        <f t="shared" si="2"/>
        <v>55.375000000000007</v>
      </c>
      <c r="E21" s="72" t="str">
        <f t="shared" si="2"/>
        <v>--</v>
      </c>
      <c r="F21" s="72" t="str">
        <f t="shared" si="2"/>
        <v>--</v>
      </c>
      <c r="G21" s="72" t="str">
        <f t="shared" si="2"/>
        <v>--</v>
      </c>
      <c r="H21" s="72" t="str">
        <f t="shared" si="2"/>
        <v>--</v>
      </c>
      <c r="I21" s="72" t="str">
        <f t="shared" si="2"/>
        <v>--</v>
      </c>
      <c r="J21" s="73">
        <f t="shared" si="2"/>
        <v>11.215189873417723</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5.0340909090909092</v>
      </c>
      <c r="E23" s="72" t="str">
        <f t="shared" si="2"/>
        <v>--</v>
      </c>
      <c r="F23" s="72" t="str">
        <f t="shared" si="2"/>
        <v>--</v>
      </c>
      <c r="G23" s="72" t="str">
        <f t="shared" si="2"/>
        <v>--</v>
      </c>
      <c r="H23" s="72" t="str">
        <f t="shared" si="2"/>
        <v>--</v>
      </c>
      <c r="I23" s="72" t="str">
        <f t="shared" si="2"/>
        <v>--</v>
      </c>
      <c r="J23" s="73">
        <f t="shared" si="2"/>
        <v>1.0195627157652474</v>
      </c>
    </row>
    <row r="24" spans="2:10" ht="15" customHeight="1">
      <c r="B24" s="71" t="s">
        <v>13</v>
      </c>
      <c r="C24" s="72">
        <f t="shared" si="2"/>
        <v>1</v>
      </c>
      <c r="D24" s="72">
        <f t="shared" si="2"/>
        <v>9.2291666666666679</v>
      </c>
      <c r="E24" s="72" t="str">
        <f t="shared" si="2"/>
        <v>--</v>
      </c>
      <c r="F24" s="72" t="str">
        <f t="shared" si="2"/>
        <v>--</v>
      </c>
      <c r="G24" s="72" t="str">
        <f t="shared" si="2"/>
        <v>--</v>
      </c>
      <c r="H24" s="72" t="str">
        <f t="shared" si="2"/>
        <v>--</v>
      </c>
      <c r="I24" s="72" t="str">
        <f t="shared" si="2"/>
        <v>--</v>
      </c>
      <c r="J24" s="73">
        <f t="shared" si="2"/>
        <v>1.869198312236287</v>
      </c>
    </row>
    <row r="25" spans="2:10" ht="15" customHeight="1">
      <c r="B25" s="71" t="s">
        <v>14</v>
      </c>
      <c r="C25" s="72">
        <f t="shared" si="2"/>
        <v>1</v>
      </c>
      <c r="D25" s="72">
        <f t="shared" si="2"/>
        <v>8.5192307692307683</v>
      </c>
      <c r="E25" s="72" t="str">
        <f t="shared" si="2"/>
        <v>--</v>
      </c>
      <c r="F25" s="72" t="str">
        <f t="shared" si="2"/>
        <v>--</v>
      </c>
      <c r="G25" s="72" t="str">
        <f t="shared" si="2"/>
        <v>--</v>
      </c>
      <c r="H25" s="72" t="str">
        <f t="shared" si="2"/>
        <v>--</v>
      </c>
      <c r="I25" s="72" t="str">
        <f t="shared" si="2"/>
        <v>--</v>
      </c>
      <c r="J25" s="73">
        <f t="shared" si="2"/>
        <v>1.7254138266796493</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Presque Isle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886</v>
      </c>
      <c r="D7" s="104">
        <f>'Data Entry'!D6</f>
        <v>16</v>
      </c>
      <c r="E7" s="105"/>
      <c r="F7" s="106">
        <f>'Data Entry'!E6</f>
        <v>41</v>
      </c>
      <c r="G7" s="105"/>
      <c r="H7" s="106">
        <f>'Data Entry'!F6</f>
        <v>12</v>
      </c>
      <c r="I7" s="105"/>
      <c r="J7" s="106">
        <f>'Data Entry'!G6</f>
        <v>0</v>
      </c>
      <c r="K7" s="105"/>
      <c r="L7" s="106">
        <f>'Data Entry'!H6</f>
        <v>10</v>
      </c>
      <c r="M7" s="105"/>
      <c r="N7" s="106">
        <f>'Data Entry'!I6</f>
        <v>0</v>
      </c>
      <c r="O7" s="105"/>
      <c r="P7" s="106">
        <f>'Data Entry'!J6</f>
        <v>79</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17</v>
      </c>
      <c r="D9" s="108">
        <f>'Data Entry'!D8</f>
        <v>2</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2</v>
      </c>
      <c r="Q9" s="111" t="str">
        <f>'All Minorities'!G8</f>
        <v>**</v>
      </c>
      <c r="R9"/>
      <c r="T9" s="1">
        <f>'Black or African-American'!L8</f>
        <v>20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1</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11</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6</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13</v>
      </c>
      <c r="D14" s="112">
        <f>'Data Entry'!D13</f>
        <v>2</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Presque Isle</v>
      </c>
    </row>
    <row r="6" spans="1:12">
      <c r="A6" s="135" t="str">
        <f>CONCATENATE("Percentage of Minorities at Stages of the Juvenile Justice System, ", A5, " 2024")</f>
        <v>Percentage of Minorities at Stages of the Juvenile Justice System, County: Presque Isle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11.215189873417721</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11.215189873417721</v>
      </c>
    </row>
    <row r="9" spans="1:12">
      <c r="A9" s="128" t="str">
        <f>CONCATENATE("Delinquent Findings, total N=", 'Data Entry'!B12)</f>
        <v>Delinquent Findings, total N=11</v>
      </c>
      <c r="B9" s="150">
        <f>'Data Entry'!D12/'Data Entry'!B12</f>
        <v>9.0909090909090912E-2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0.54545454545454541</v>
      </c>
      <c r="K9" s="96" t="str">
        <f t="shared" si="0"/>
        <v>Delinquent Findings, total N=11</v>
      </c>
      <c r="L9">
        <f>I14/(SUM(B14:G14))</f>
        <v>11.215189873417721</v>
      </c>
    </row>
    <row r="10" spans="1:12">
      <c r="A10" s="128" t="str">
        <f>CONCATENATE("Petitions, total N=", 'Data Entry'!B11)</f>
        <v>Petitions, total N=16</v>
      </c>
      <c r="B10" s="150">
        <f>'Data Entry'!D11/'Data Entry'!B11</f>
        <v>6.25E-2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0.6875</v>
      </c>
      <c r="K10" s="96" t="str">
        <f t="shared" si="0"/>
        <v>Petitions, total N=16</v>
      </c>
      <c r="L10">
        <f>I14/(SUM(B14:G14))</f>
        <v>11.215189873417721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11.215189873417721</v>
      </c>
    </row>
    <row r="12" spans="1:12">
      <c r="A12" s="128" t="str">
        <f>CONCATENATE("Referrals, total N=", 'Data Entry'!B8)</f>
        <v>Referrals, total N=23</v>
      </c>
      <c r="B12" s="150">
        <f>'Data Entry'!D8/'Data Entry'!B8</f>
        <v>8.6956521739130432E-2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0.73913043478260865</v>
      </c>
      <c r="K12" s="96" t="str">
        <f t="shared" si="0"/>
        <v>Referrals, total N=23</v>
      </c>
      <c r="L12">
        <f>I14/(SUM(B14:G14))</f>
        <v>11.215189873417721</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11.215189873417721</v>
      </c>
    </row>
    <row r="14" spans="1:12">
      <c r="A14" s="128" t="str">
        <f>CONCATENATE("Population, total N=", 'Data Entry'!B6)</f>
        <v>Population, total N=965</v>
      </c>
      <c r="B14" s="150">
        <f>'Data Entry'!D6/'Data Entry'!B6</f>
        <v>1.6580310880829015E-2</v>
      </c>
      <c r="C14" s="150">
        <f>'Data Entry'!E6/'Data Entry'!B6</f>
        <v>4.2487046632124353E-2</v>
      </c>
      <c r="D14" s="150">
        <f>'Data Entry'!F6/'Data Entry'!B6</f>
        <v>1.2435233160621761E-2</v>
      </c>
      <c r="E14" s="150">
        <f>'Data Entry'!G6/'Data Entry'!B6</f>
        <v>0</v>
      </c>
      <c r="F14" s="150">
        <f>'Data Entry'!H6/'Data Entry'!B6</f>
        <v>1.0362694300518135E-2</v>
      </c>
      <c r="G14" s="150">
        <f>'Data Entry'!I6/'Data Entry'!B6</f>
        <v>0</v>
      </c>
      <c r="H14" s="150">
        <f>SUM(D14:G14)/'Data Entry'!B6</f>
        <v>2.3624795296518026E-5</v>
      </c>
      <c r="I14" s="150">
        <f>'Data Entry'!C6/'Data Entry'!B6</f>
        <v>0.91813471502590671</v>
      </c>
      <c r="K14" s="96" t="str">
        <f t="shared" si="0"/>
        <v>Population, total N=965</v>
      </c>
      <c r="L14">
        <f>I14/(SUM(B14:G14))</f>
        <v>11.215189873417721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Presque Isle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886</v>
      </c>
      <c r="D7" s="104">
        <f>'Data Entry'!D6</f>
        <v>16</v>
      </c>
      <c r="E7" s="105"/>
      <c r="F7" s="106">
        <f>'Data Entry'!E6</f>
        <v>41</v>
      </c>
      <c r="G7" s="105"/>
      <c r="H7" s="106">
        <f>'Data Entry'!F6</f>
        <v>12</v>
      </c>
      <c r="I7" s="105"/>
      <c r="J7" s="106">
        <f>'Data Entry'!J6</f>
        <v>79</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17</v>
      </c>
      <c r="D9" s="108">
        <f>'Data Entry'!D8</f>
        <v>2</v>
      </c>
      <c r="E9" s="109" t="str">
        <f>'Black or African-American'!$G8</f>
        <v>**</v>
      </c>
      <c r="F9" s="110">
        <f>'Data Entry'!E8</f>
        <v>0</v>
      </c>
      <c r="G9" s="109" t="str">
        <f>Hispanic!G8</f>
        <v>**</v>
      </c>
      <c r="H9" s="110">
        <f>'Data Entry'!F8</f>
        <v>0</v>
      </c>
      <c r="I9" s="109" t="str">
        <f>Asian!G8</f>
        <v>**</v>
      </c>
      <c r="J9" s="110">
        <f>'Data Entry'!J8</f>
        <v>2</v>
      </c>
      <c r="K9" s="111" t="str">
        <f>'All Minorities'!G8</f>
        <v>**</v>
      </c>
      <c r="L9"/>
      <c r="N9" s="1">
        <f>'Black or African-American'!L8</f>
        <v>20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1</v>
      </c>
      <c r="D10" s="112">
        <f>'Data Entry'!D9</f>
        <v>1</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11</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6</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13</v>
      </c>
      <c r="D14" s="112">
        <f>'Data Entry'!D13</f>
        <v>2</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Entry'!D6</f>
        <v>16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16</v>
      </c>
      <c r="P7" s="42">
        <f t="shared" ref="P7:P15" si="2">C7</f>
        <v>0</v>
      </c>
      <c r="Q7" s="42">
        <f>C6-C7</f>
        <v>886</v>
      </c>
      <c r="R7" s="42">
        <f t="shared" ref="R7:R15" si="3">SUM(N7:Q7)</f>
        <v>902</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17</v>
      </c>
      <c r="D8" s="34">
        <f>IF((AND(C67&gt;0,C8&gt;0)),(C8/C67),0)</f>
        <v>19.187358916478555</v>
      </c>
      <c r="E8" s="33">
        <f>'Data Entry'!D8</f>
        <v>2</v>
      </c>
      <c r="F8" s="34">
        <f>IF((AND($E$8&gt;0,$D$67&gt;0)),($E8/$D67),0)</f>
        <v>125</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14.05</v>
      </c>
      <c r="P8" s="42">
        <f t="shared" si="2"/>
        <v>17</v>
      </c>
      <c r="Q8" s="42">
        <f>(C$67*L67)-C8</f>
        <v>869</v>
      </c>
      <c r="R8" s="42">
        <f t="shared" si="3"/>
        <v>902.05</v>
      </c>
      <c r="S8" s="30">
        <f t="shared" si="4"/>
        <v>2027312924.2311251</v>
      </c>
      <c r="T8" s="30">
        <f t="shared" si="5"/>
        <v>238587482.38499999</v>
      </c>
      <c r="U8" s="31">
        <f t="shared" si="6"/>
        <v>8.4971470588709401</v>
      </c>
    </row>
    <row r="9" spans="2:21" ht="18" customHeight="1">
      <c r="B9" s="32" t="str">
        <f>'Data Entry'!A9</f>
        <v xml:space="preserve">4. Cases Diverted </v>
      </c>
      <c r="C9" s="33">
        <f>'Data Entry'!C9</f>
        <v>1</v>
      </c>
      <c r="D9" s="34">
        <f>IF((AND(C68&gt;0,C9&gt;0)),((C9/C68)),0)</f>
        <v>5.8823529411764701</v>
      </c>
      <c r="E9" s="33">
        <f>'Data Entry'!D9</f>
        <v>1</v>
      </c>
      <c r="F9" s="34">
        <f>IF((AND($E$9&gt;0,$D$68&gt;0)),(($E$9/$D$68)),0)</f>
        <v>50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1</v>
      </c>
      <c r="P9" s="42">
        <f t="shared" si="2"/>
        <v>1</v>
      </c>
      <c r="Q9" s="42">
        <f>(C$68*L68)-C9</f>
        <v>16</v>
      </c>
      <c r="R9" s="42">
        <f t="shared" si="3"/>
        <v>19</v>
      </c>
      <c r="S9" s="30">
        <f t="shared" si="4"/>
        <v>4275</v>
      </c>
      <c r="T9" s="30">
        <f t="shared" si="5"/>
        <v>1156</v>
      </c>
      <c r="U9" s="31">
        <f t="shared" si="6"/>
        <v>3.6980968858131487</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17</v>
      </c>
      <c r="R10" s="42">
        <f t="shared" si="3"/>
        <v>19</v>
      </c>
      <c r="S10" s="30">
        <f t="shared" si="4"/>
        <v>0</v>
      </c>
      <c r="T10" s="30">
        <f t="shared" si="5"/>
        <v>0</v>
      </c>
      <c r="U10" s="31" t="str">
        <f t="shared" si="6"/>
        <v>- -</v>
      </c>
    </row>
    <row r="11" spans="2:21" ht="18" customHeight="1">
      <c r="B11" s="32" t="str">
        <f>'Data Entry'!A11</f>
        <v>6. Cases Petitioned (Charge Filed)</v>
      </c>
      <c r="C11" s="33">
        <f>'Data Entry'!C11</f>
        <v>11</v>
      </c>
      <c r="D11" s="34">
        <f>IF(((AND(C68&gt;0,C11&gt;0))),(C11/(C68)),0)</f>
        <v>64.705882352941174</v>
      </c>
      <c r="E11" s="33">
        <f>'Data Entry'!D11</f>
        <v>1</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1</v>
      </c>
      <c r="P11" s="42">
        <f t="shared" si="2"/>
        <v>11</v>
      </c>
      <c r="Q11" s="42">
        <f>(C$68*L68)-C11</f>
        <v>6</v>
      </c>
      <c r="R11" s="42">
        <f t="shared" si="3"/>
        <v>19</v>
      </c>
      <c r="S11" s="30">
        <f t="shared" si="4"/>
        <v>475</v>
      </c>
      <c r="T11" s="30">
        <f t="shared" si="5"/>
        <v>2856</v>
      </c>
      <c r="U11" s="31">
        <f t="shared" si="6"/>
        <v>0.16631652661064425</v>
      </c>
    </row>
    <row r="12" spans="2:21" ht="18" customHeight="1">
      <c r="B12" s="32" t="str">
        <f>'Data Entry'!A12</f>
        <v>7. Cases Resulting in Delinquent Findings</v>
      </c>
      <c r="C12" s="33">
        <f>'Data Entry'!C12</f>
        <v>6</v>
      </c>
      <c r="D12" s="34">
        <f>IF(((AND(C69&gt;0,C12&gt;0))),(C12/(C69)),0)</f>
        <v>54.545454545454547</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6</v>
      </c>
      <c r="Q12" s="42">
        <f>(C69*L69)-C12</f>
        <v>5</v>
      </c>
      <c r="R12" s="42">
        <f t="shared" si="3"/>
        <v>12</v>
      </c>
      <c r="S12" s="30">
        <f t="shared" si="4"/>
        <v>300</v>
      </c>
      <c r="T12" s="30">
        <f t="shared" si="5"/>
        <v>385</v>
      </c>
      <c r="U12" s="31">
        <f t="shared" si="6"/>
        <v>0.77922077922077926</v>
      </c>
    </row>
    <row r="13" spans="2:21" ht="18" customHeight="1">
      <c r="B13" s="32" t="str">
        <f>'Data Entry'!A13</f>
        <v>8. Cases Resulting in Probation Placement</v>
      </c>
      <c r="C13" s="33">
        <f>'Data Entry'!C13</f>
        <v>13</v>
      </c>
      <c r="D13" s="34">
        <f>IF(((AND(C70&gt;0,C13&gt;0))),(C13/(C70)),0)</f>
        <v>216.66666666666669</v>
      </c>
      <c r="E13" s="33">
        <f>'Data Entry'!D13</f>
        <v>2</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-1</v>
      </c>
      <c r="P13" s="42">
        <f t="shared" si="2"/>
        <v>13</v>
      </c>
      <c r="Q13" s="42">
        <f>(C70*L70)-C13</f>
        <v>-7</v>
      </c>
      <c r="R13" s="42">
        <f t="shared" si="3"/>
        <v>7</v>
      </c>
      <c r="S13" s="30">
        <f t="shared" si="4"/>
        <v>7</v>
      </c>
      <c r="T13" s="30">
        <f t="shared" si="5"/>
        <v>-720</v>
      </c>
      <c r="U13" s="31">
        <f t="shared" si="6"/>
        <v>-9.7222222222222224E-3</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1</v>
      </c>
      <c r="Q14" s="42">
        <f>(C70*L70)-C14</f>
        <v>5</v>
      </c>
      <c r="R14" s="42">
        <f t="shared" si="3"/>
        <v>7</v>
      </c>
      <c r="S14" s="30">
        <f t="shared" si="4"/>
        <v>7</v>
      </c>
      <c r="T14" s="30">
        <f t="shared" si="5"/>
        <v>36</v>
      </c>
      <c r="U14" s="31">
        <f t="shared" si="6"/>
        <v>0.19444444444444445</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11</v>
      </c>
      <c r="R15" s="42">
        <f t="shared" si="3"/>
        <v>12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1.6E-2</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0.02</v>
      </c>
      <c r="E44" s="56">
        <f>MAX(C44:D44,0)</f>
        <v>0.17</v>
      </c>
      <c r="G44" s="1" t="str">
        <f>B44</f>
        <v>per 100 referrals</v>
      </c>
      <c r="L44" s="57">
        <v>100</v>
      </c>
      <c r="M44" s="57"/>
      <c r="R44" s="49"/>
    </row>
    <row r="45" spans="2:18" ht="15" hidden="1" customHeight="1">
      <c r="B45" s="49" t="s">
        <v>89</v>
      </c>
      <c r="C45" s="49">
        <f>C11/100</f>
        <v>0.11</v>
      </c>
      <c r="D45" s="49">
        <f>E11/100</f>
        <v>0.01</v>
      </c>
      <c r="E45" s="56">
        <f>MAX(C45:D45,0)</f>
        <v>0.11</v>
      </c>
      <c r="G45" s="1" t="str">
        <f>B45</f>
        <v>per 100 youth petitioned</v>
      </c>
      <c r="L45" s="57">
        <v>100</v>
      </c>
      <c r="M45" s="57"/>
      <c r="R45" s="49"/>
    </row>
    <row r="46" spans="2:18" ht="15" hidden="1" customHeight="1">
      <c r="B46" s="49" t="s">
        <v>90</v>
      </c>
      <c r="C46" s="49">
        <f>C12/100</f>
        <v>0.06</v>
      </c>
      <c r="D46" s="49">
        <f>E12/100</f>
        <v>0.01</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1.6E-2</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0.88600000000000001</v>
      </c>
      <c r="D49" s="49">
        <f t="shared" si="9"/>
        <v>1.6E-2</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0.02</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0.01</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0.01</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1.6E-2</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1.6E-2</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0.02</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0.01</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0.01</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1.6E-2</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1.6E-2</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0.02</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0.01</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0.01</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1.6E-2</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1.6E-2</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0.02</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0.01</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0.01</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Entry'!F6</f>
        <v>12</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12</v>
      </c>
      <c r="P7" s="42">
        <f t="shared" ref="P7:P15" si="4">C7</f>
        <v>0</v>
      </c>
      <c r="Q7" s="42">
        <f>C6-C7</f>
        <v>886</v>
      </c>
      <c r="R7" s="42">
        <f t="shared" ref="R7:R15" si="5">SUM(N7:Q7)</f>
        <v>898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12.05</v>
      </c>
      <c r="P8" s="42">
        <f t="shared" si="4"/>
        <v>17</v>
      </c>
      <c r="Q8" s="42">
        <f>(C$67*L67)-C8</f>
        <v>869</v>
      </c>
      <c r="R8" s="42">
        <f t="shared" si="5"/>
        <v>898.05</v>
      </c>
      <c r="S8" s="30">
        <f t="shared" si="6"/>
        <v>37685341.381125003</v>
      </c>
      <c r="T8" s="30">
        <f t="shared" si="7"/>
        <v>159908019.95499998</v>
      </c>
      <c r="U8" s="31">
        <f t="shared" si="8"/>
        <v>0.23566886383641111</v>
      </c>
    </row>
    <row r="9" spans="2:21" ht="18" customHeight="1">
      <c r="B9" s="32" t="str">
        <f>'Data Entry'!A9</f>
        <v xml:space="preserve">4. Cases Diverted </v>
      </c>
      <c r="C9" s="33">
        <f>'Data Entry'!C9</f>
        <v>1</v>
      </c>
      <c r="D9" s="34">
        <f>IF((AND(C68&gt;0,C9&gt;0)),((C9/C68)),0)</f>
        <v>5.8823529411764701</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16</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6</v>
      </c>
      <c r="R11" s="42">
        <f t="shared" si="5"/>
        <v>17</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54.545454545454547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216.66666666666669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-7</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1.2E-2</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1.2E-2</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1.2E-2</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1.2E-2</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1.2E-2</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1.2E-2</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1.2E-2</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1.2E-2</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1.2E-2</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Entry'!E6</f>
        <v>41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41</v>
      </c>
      <c r="P7" s="42">
        <f t="shared" ref="P7:P15" si="4">C7</f>
        <v>0</v>
      </c>
      <c r="Q7" s="42">
        <f>C6-C7</f>
        <v>886</v>
      </c>
      <c r="R7" s="42">
        <f t="shared" ref="R7:R15" si="5">SUM(N7:Q7)</f>
        <v>927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41.05</v>
      </c>
      <c r="P8" s="42">
        <f t="shared" si="4"/>
        <v>17</v>
      </c>
      <c r="Q8" s="42">
        <f>(C$67*L67)-C8</f>
        <v>869</v>
      </c>
      <c r="R8" s="42">
        <f t="shared" si="5"/>
        <v>927.05</v>
      </c>
      <c r="S8" s="30">
        <f t="shared" si="6"/>
        <v>451468364.78862488</v>
      </c>
      <c r="T8" s="30">
        <f t="shared" si="7"/>
        <v>562679455.755</v>
      </c>
      <c r="U8" s="31">
        <f t="shared" si="8"/>
        <v>0.80235444918252308</v>
      </c>
    </row>
    <row r="9" spans="2:21" ht="18" customHeight="1">
      <c r="B9" s="32" t="str">
        <f>'Data Entry'!A9</f>
        <v xml:space="preserve">4. Cases Diverted </v>
      </c>
      <c r="C9" s="33">
        <f>'Data Entry'!C9</f>
        <v>1</v>
      </c>
      <c r="D9" s="34">
        <f>IF((AND(C68&gt;0,C9&gt;0)),((C9/C68)),0)</f>
        <v>5.8823529411764701</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16</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6</v>
      </c>
      <c r="R11" s="42">
        <f t="shared" si="5"/>
        <v>17</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54.545454545454547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216.66666666666669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-7</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4.1000000000000002E-2</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4.1000000000000002E-2</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4.1000000000000002E-2</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4.1000000000000002E-2</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4.1000000000000002E-2</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4.1000000000000002E-2</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4.1000000000000002E-2</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4.1000000000000002E-2</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4.1000000000000002E-2</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886</v>
      </c>
      <c r="R7" s="42">
        <f t="shared" ref="R7:R15" si="5">SUM(N7:Q7)</f>
        <v>886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17</v>
      </c>
      <c r="Q8" s="42">
        <f>(C$67*L67)-C8</f>
        <v>869</v>
      </c>
      <c r="R8" s="42">
        <f t="shared" si="5"/>
        <v>886.05</v>
      </c>
      <c r="S8" s="30">
        <f t="shared" si="6"/>
        <v>640.17112500000007</v>
      </c>
      <c r="T8" s="30">
        <f t="shared" si="7"/>
        <v>654481.55499999993</v>
      </c>
      <c r="U8" s="31">
        <f t="shared" si="8"/>
        <v>9.7813470847165447E-4</v>
      </c>
    </row>
    <row r="9" spans="2:21" ht="18" customHeight="1">
      <c r="B9" s="32" t="str">
        <f>'Data Entry'!A9</f>
        <v xml:space="preserve">4. Cases Diverted </v>
      </c>
      <c r="C9" s="33">
        <f>'Data Entry'!C9</f>
        <v>1</v>
      </c>
      <c r="D9" s="34">
        <f>IF((AND(C68&gt;0,C9&gt;0)),((C9/C68)),0)</f>
        <v>5.8823529411764701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16</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6</v>
      </c>
      <c r="R11" s="42">
        <f t="shared" si="5"/>
        <v>17</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54.545454545454547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216.66666666666669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-7</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0</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0</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0</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0</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0</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0</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0</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0</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0</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Presque Isle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886</v>
      </c>
      <c r="D6" s="34"/>
      <c r="E6" s="33">
        <f>'Data Entry'!H6</f>
        <v>10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10</v>
      </c>
      <c r="P7" s="42">
        <f t="shared" ref="P7:P15" si="4">C7</f>
        <v>0</v>
      </c>
      <c r="Q7" s="42">
        <f>C6-C7</f>
        <v>886</v>
      </c>
      <c r="R7" s="42">
        <f t="shared" ref="R7:R15" si="5">SUM(N7:Q7)</f>
        <v>896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17</v>
      </c>
      <c r="D8" s="34">
        <f>IF((AND(C67&gt;0,C8&gt;0)),(C8/C67),0)</f>
        <v>19.187358916478555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10.050000000000001</v>
      </c>
      <c r="P8" s="42">
        <f t="shared" si="4"/>
        <v>17</v>
      </c>
      <c r="Q8" s="42">
        <f>(C$67*L67)-C8</f>
        <v>869</v>
      </c>
      <c r="R8" s="42">
        <f t="shared" si="5"/>
        <v>896.05</v>
      </c>
      <c r="S8" s="30">
        <f t="shared" si="6"/>
        <v>26155450.846125007</v>
      </c>
      <c r="T8" s="30">
        <f t="shared" si="7"/>
        <v>133064523.55499999</v>
      </c>
      <c r="U8" s="31">
        <f t="shared" si="8"/>
        <v>0.19656216508612898</v>
      </c>
    </row>
    <row r="9" spans="2:21" ht="18" customHeight="1">
      <c r="B9" s="32" t="str">
        <f>'Data Entry'!A9</f>
        <v xml:space="preserve">4. Cases Diverted </v>
      </c>
      <c r="C9" s="33">
        <f>'Data Entry'!C9</f>
        <v>1</v>
      </c>
      <c r="D9" s="34">
        <f>IF((AND(C68&gt;0,C9&gt;0)),((C9/C68)),0)</f>
        <v>5.8823529411764701</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16</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64.705882352941174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6</v>
      </c>
      <c r="R11" s="42">
        <f t="shared" si="5"/>
        <v>17</v>
      </c>
      <c r="S11" s="30">
        <f t="shared" si="6"/>
        <v>0</v>
      </c>
      <c r="T11" s="30">
        <f t="shared" si="7"/>
        <v>0</v>
      </c>
      <c r="U11" s="31" t="str">
        <f t="shared" si="8"/>
        <v>- -</v>
      </c>
    </row>
    <row r="12" spans="2:21" ht="18" customHeight="1">
      <c r="B12" s="32" t="str">
        <f>'Data Entry'!A12</f>
        <v>7. Cases Resulting in Delinquent Findings</v>
      </c>
      <c r="C12" s="33">
        <f>'Data Entry'!C12</f>
        <v>6</v>
      </c>
      <c r="D12" s="34">
        <f>IF(((AND(C69&gt;0,C12&gt;0))),(C12/(C69)),0)</f>
        <v>54.545454545454547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6</v>
      </c>
      <c r="Q12" s="42">
        <f>(C69*L69)-C12</f>
        <v>5</v>
      </c>
      <c r="R12" s="42">
        <f t="shared" si="5"/>
        <v>11</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216.66666666666669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-7</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16.666666666666668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0.88600000000000001</v>
      </c>
      <c r="D42" s="56">
        <f>E6/1000</f>
        <v>0.01</v>
      </c>
      <c r="E42" s="56">
        <f>MAX(C42:D42)</f>
        <v>0.88600000000000001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0.17</v>
      </c>
      <c r="D44" s="56">
        <f>E8/100</f>
        <v>0</v>
      </c>
      <c r="E44" s="56">
        <f>MAX(C44:D44,0)</f>
        <v>0.17</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0.06</v>
      </c>
      <c r="D46" s="49">
        <f>E12/100</f>
        <v>0</v>
      </c>
      <c r="E46" s="56">
        <f>MAX(C46:D46)</f>
        <v>0.06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0.88600000000000001</v>
      </c>
      <c r="D48" s="56">
        <f>D42</f>
        <v>0.01</v>
      </c>
      <c r="E48" s="56">
        <f>MAX(C48:D48)</f>
        <v>0.88600000000000001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0.88600000000000001</v>
      </c>
      <c r="D49" s="49">
        <f t="shared" si="9"/>
        <v>0.01</v>
      </c>
      <c r="E49" s="49">
        <f>MAX(C49:D49)</f>
        <v>0.88600000000000001</v>
      </c>
      <c r="G49" s="1" t="str">
        <f>G43</f>
        <v>per 100 arrests</v>
      </c>
      <c r="L49" s="58">
        <f>IF(($E43&gt;0),L43,L42)</f>
        <v>1000</v>
      </c>
      <c r="M49" s="58"/>
      <c r="N49" s="21"/>
      <c r="O49" s="21"/>
      <c r="P49" s="21"/>
      <c r="Q49" s="21"/>
      <c r="R49" s="21"/>
    </row>
    <row r="50" spans="2:18" ht="15" hidden="1" customHeight="1">
      <c r="B50" s="49" t="str">
        <f t="shared" si="9"/>
        <v>per 100 referrals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0.06</v>
      </c>
      <c r="D52" s="49">
        <f>IF(($E46&gt;0),D46,D45)</f>
        <v>0</v>
      </c>
      <c r="E52" s="56">
        <f>MAX(C52:D52)</f>
        <v>0.06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0.88600000000000001</v>
      </c>
      <c r="D54" s="56">
        <f>D48</f>
        <v>0.01</v>
      </c>
      <c r="E54" s="56">
        <f>MAX(C54:D54)</f>
        <v>0.88600000000000001</v>
      </c>
      <c r="G54" s="1" t="str">
        <f>G48</f>
        <v>per 1000 youth</v>
      </c>
      <c r="L54" s="58">
        <f>L48</f>
        <v>1000</v>
      </c>
      <c r="M54" s="58"/>
    </row>
    <row r="55" spans="2:18" ht="15" hidden="1" customHeight="1">
      <c r="B55" s="49" t="str">
        <f t="shared" ref="B55:D56" si="10">IF(($E49&gt;0),B49,B48)</f>
        <v>per 1000 youth</v>
      </c>
      <c r="C55" s="49">
        <f t="shared" si="10"/>
        <v>0.88600000000000001</v>
      </c>
      <c r="D55" s="49">
        <f t="shared" si="10"/>
        <v>0.01</v>
      </c>
      <c r="E55" s="49">
        <f>MAX(C55:D55)</f>
        <v>0.88600000000000001</v>
      </c>
      <c r="G55" s="1" t="str">
        <f>G49</f>
        <v>per 100 arrests</v>
      </c>
      <c r="L55" s="58">
        <f>IF(($E49&gt;0),L49,L48)</f>
        <v>1000</v>
      </c>
      <c r="M55" s="58"/>
    </row>
    <row r="56" spans="2:18" ht="15" hidden="1" customHeight="1">
      <c r="B56" s="49" t="str">
        <f t="shared" si="10"/>
        <v>per 100 referrals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0.06</v>
      </c>
      <c r="D58" s="49">
        <f>IF(($E52&gt;0),D52,D51)</f>
        <v>0</v>
      </c>
      <c r="E58" s="56">
        <f>MAX(C58:D58)</f>
        <v>0.06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0.88600000000000001</v>
      </c>
      <c r="D60" s="56">
        <f>D54</f>
        <v>0.01</v>
      </c>
      <c r="E60" s="56">
        <f>MAX(C60:D60)</f>
        <v>0.88600000000000001</v>
      </c>
      <c r="G60" s="1" t="str">
        <f>G54</f>
        <v>per 1000 youth</v>
      </c>
      <c r="L60" s="58">
        <f>L54</f>
        <v>1000</v>
      </c>
      <c r="M60" s="58"/>
    </row>
    <row r="61" spans="2:18" ht="15" hidden="1" customHeight="1">
      <c r="B61" s="49" t="str">
        <f t="shared" ref="B61:D62" si="11">IF(($E55&gt;0),B55,B54)</f>
        <v>per 1000 youth</v>
      </c>
      <c r="C61" s="49">
        <f t="shared" si="11"/>
        <v>0.88600000000000001</v>
      </c>
      <c r="D61" s="49">
        <f t="shared" si="11"/>
        <v>0.01</v>
      </c>
      <c r="E61" s="49">
        <f>MAX(C61:D61)</f>
        <v>0.88600000000000001</v>
      </c>
      <c r="G61" s="1" t="str">
        <f>G55</f>
        <v>per 100 arrests</v>
      </c>
      <c r="L61" s="58">
        <f>IF(($E55&gt;0),L55,L54)</f>
        <v>1000</v>
      </c>
      <c r="M61" s="58"/>
    </row>
    <row r="62" spans="2:18" ht="15" hidden="1" customHeight="1">
      <c r="B62" s="49" t="str">
        <f t="shared" si="11"/>
        <v>per 100 referrals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0.06</v>
      </c>
      <c r="D64" s="49">
        <f>IF(($E58&gt;0),D58,D57)</f>
        <v>0</v>
      </c>
      <c r="E64" s="56">
        <f>MAX(C64:D64)</f>
        <v>0.06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0.88600000000000001</v>
      </c>
      <c r="D66" s="56">
        <f>D60</f>
        <v>0.01</v>
      </c>
      <c r="E66" s="56">
        <f>MAX(C66:D66)</f>
        <v>0.88600000000000001</v>
      </c>
      <c r="G66" s="1" t="str">
        <f>G60</f>
        <v>per 1000 youth</v>
      </c>
      <c r="L66" s="58">
        <f>L60</f>
        <v>1000</v>
      </c>
      <c r="M66" s="58">
        <f>IF((B66=G66),1,2)</f>
        <v>1</v>
      </c>
    </row>
    <row r="67" spans="2:13" ht="15" hidden="1" customHeight="1">
      <c r="B67" s="49" t="str">
        <f t="shared" ref="B67:D68" si="12">IF(($E61&gt;0),B61,B60)</f>
        <v>per 1000 youth</v>
      </c>
      <c r="C67" s="49">
        <f t="shared" si="12"/>
        <v>0.88600000000000001</v>
      </c>
      <c r="D67" s="49">
        <f t="shared" si="12"/>
        <v>0.01</v>
      </c>
      <c r="E67" s="49">
        <f>MAX(C67:D67)</f>
        <v>0.88600000000000001</v>
      </c>
      <c r="G67" s="1" t="str">
        <f>G61</f>
        <v>per 100 arrests</v>
      </c>
      <c r="L67" s="58">
        <f>IF(($E61&gt;0),L61,L60)</f>
        <v>1000</v>
      </c>
      <c r="M67" s="58">
        <f>IF((B67=G67),1,2)</f>
        <v>2</v>
      </c>
    </row>
    <row r="68" spans="2:13" ht="15" hidden="1" customHeight="1">
      <c r="B68" s="49" t="str">
        <f t="shared" si="12"/>
        <v>per 100 referrals</v>
      </c>
      <c r="C68" s="49">
        <f t="shared" si="12"/>
        <v>0.17</v>
      </c>
      <c r="D68" s="49">
        <f t="shared" si="12"/>
        <v>0</v>
      </c>
      <c r="E68" s="49">
        <f>MAX(C68:D68)</f>
        <v>0.17</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0.06</v>
      </c>
      <c r="D70" s="49">
        <f>IF(($E64&gt;0),D64,D63)</f>
        <v>0</v>
      </c>
      <c r="E70" s="56">
        <f>MAX(C70:D70)</f>
        <v>0.06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U47JMPN4QEAR-1806752177-35391</_dlc_DocId>
    <_dlc_DocIdUrl xmlns="ac3811b5-0f3e-49e2-ba69-f2ffa0c782af">
      <Url>https://michiganphi.sharepoint.com/sites/CMDMC/_layouts/15/DocIdRedir.aspx?ID=U47JMPN4QEAR-1806752177-35391</Url>
      <Description>U47JMPN4QEAR-1806752177-35391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2D63206-BBE0-41F0-93FA-CAC2F9CB9F0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F0EF4AD1-8E57-460C-BC70-A40D5165387F}"/>
</file>

<file path=customXml/itemProps3.xml><?xml version="1.0" encoding="utf-8"?>
<ds:datastoreItem xmlns:ds="http://schemas.openxmlformats.org/officeDocument/2006/customXml" ds:itemID="{062BEEB0-8610-483F-A2FB-D4875684FFFB}">
  <ds:schemaRefs>
    <ds:schemaRef ds:uri="http://schemas.microsoft.com/sharepoint/v3/contenttype/forms"/>
  </ds:schemaRefs>
</ds:datastoreItem>
</file>

<file path=customXml/itemProps4.xml><?xml version="1.0" encoding="utf-8"?>
<ds:datastoreItem xmlns:ds="http://schemas.openxmlformats.org/officeDocument/2006/customXml" ds:itemID="{CCE30284-3866-4662-8917-49AA9C6F69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c316e4af-2996-4ded-aa4e-1f7ce24ebe72</vt:lpwstr>
  </property>
</Properties>
</file>