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2" documentId="8_{91E3BE3A-044A-4810-B24D-082EC219A908}" xr6:coauthVersionLast="47" xr6:coauthVersionMax="47" xr10:uidLastSave="{79A08C45-2732-49A4-8903-40FBA45A885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5"/>
  <c r="L64" i="3"/>
  <c r="B56" i="8"/>
  <c r="L56" i="8"/>
  <c r="D64" i="5"/>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C69" i="7"/>
  <c r="D12" i="7" s="1"/>
  <c r="D63" i="8"/>
  <c r="D70" i="5"/>
  <c r="F14" i="5" s="1"/>
  <c r="C70" i="5"/>
  <c r="Q13" i="5" s="1"/>
  <c r="B70" i="3"/>
  <c r="M70" i="3" s="1"/>
  <c r="L69" i="7"/>
  <c r="B70" i="5"/>
  <c r="F33" i="5" s="1"/>
  <c r="C63" i="8"/>
  <c r="E63" i="8" s="1"/>
  <c r="D69" i="8" s="1"/>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5" l="1"/>
  <c r="O13" i="5"/>
  <c r="O14" i="5"/>
  <c r="D15" i="3"/>
  <c r="Q12" i="7"/>
  <c r="D15" i="7"/>
  <c r="F34" i="3"/>
  <c r="F33" i="3"/>
  <c r="B69" i="6"/>
  <c r="M69" i="6" s="1"/>
  <c r="D14" i="5"/>
  <c r="E70" i="5"/>
  <c r="Q15" i="7"/>
  <c r="Q14" i="5"/>
  <c r="D13" i="5"/>
  <c r="C69" i="6"/>
  <c r="D12" i="6" s="1"/>
  <c r="D69" i="3"/>
  <c r="E69" i="3" s="1"/>
  <c r="M70" i="5"/>
  <c r="L69" i="3"/>
  <c r="Q12" i="3" s="1"/>
  <c r="C70" i="8"/>
  <c r="Q13" i="8" s="1"/>
  <c r="F34" i="5"/>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2" i="7"/>
  <c r="F35" i="6"/>
  <c r="Q15" i="6"/>
  <c r="D15" i="6"/>
  <c r="Q12" i="6"/>
  <c r="F32" i="6"/>
  <c r="R15" i="7"/>
  <c r="S15" i="7" s="1"/>
  <c r="U15" i="7" s="1"/>
  <c r="J15" i="7" s="1"/>
  <c r="M15" i="7" s="1"/>
  <c r="T14" i="5"/>
  <c r="R12" i="7"/>
  <c r="S12" i="7" s="1"/>
  <c r="K14" i="5"/>
  <c r="L14" i="5" s="1"/>
  <c r="Q15" i="16" s="1"/>
  <c r="T12" i="7"/>
  <c r="R13" i="8"/>
  <c r="S13" i="8" s="1"/>
  <c r="E70" i="8"/>
  <c r="Q14" i="8"/>
  <c r="R14" i="8" s="1"/>
  <c r="S14" i="8" s="1"/>
  <c r="D14" i="8"/>
  <c r="D13" i="8"/>
  <c r="R14" i="3"/>
  <c r="S14" i="3" s="1"/>
  <c r="U14" i="3" s="1"/>
  <c r="J14" i="3" s="1"/>
  <c r="M14" i="3" s="1"/>
  <c r="G14" i="3" s="1"/>
  <c r="I15" i="16" s="1"/>
  <c r="K13" i="3"/>
  <c r="O15" i="3"/>
  <c r="K15" i="7"/>
  <c r="F15" i="3"/>
  <c r="F12" i="3"/>
  <c r="Q15" i="3"/>
  <c r="O12" i="3"/>
  <c r="R12" i="3" s="1"/>
  <c r="S12" i="3" s="1"/>
  <c r="U12" i="3" s="1"/>
  <c r="J12" i="3" s="1"/>
  <c r="O15" i="6"/>
  <c r="T15" i="6" s="1"/>
  <c r="T14" i="6"/>
  <c r="R13" i="6"/>
  <c r="S13" i="6" s="1"/>
  <c r="U13" i="6" s="1"/>
  <c r="J13" i="6" s="1"/>
  <c r="M13" i="6" s="1"/>
  <c r="G13" i="6" s="1"/>
  <c r="G13" i="9" s="1"/>
  <c r="K14" i="6"/>
  <c r="R14" i="6"/>
  <c r="S14" i="6" s="1"/>
  <c r="U14" i="6" s="1"/>
  <c r="J14" i="6" s="1"/>
  <c r="M14" i="6" s="1"/>
  <c r="G14" i="6" s="1"/>
  <c r="M15" i="13"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4" i="8" l="1"/>
  <c r="K14" i="8"/>
  <c r="L13" i="3"/>
  <c r="P14" i="16" s="1"/>
  <c r="K12" i="6"/>
  <c r="E14" i="9"/>
  <c r="L15" i="7"/>
  <c r="S16" i="16" s="1"/>
  <c r="U12" i="7"/>
  <c r="J12" i="7" s="1"/>
  <c r="M12" i="7" s="1"/>
  <c r="L13" i="6"/>
  <c r="R14" i="16" s="1"/>
  <c r="U13" i="8"/>
  <c r="J13" i="8" s="1"/>
  <c r="M13" i="8" s="1"/>
  <c r="G13" i="8" s="1"/>
  <c r="K14" i="16" s="1"/>
  <c r="I15" i="13"/>
  <c r="N30" i="3"/>
  <c r="L14" i="3"/>
  <c r="P15" i="16" s="1"/>
  <c r="K15" i="3"/>
  <c r="T12" i="3"/>
  <c r="T15" i="3"/>
  <c r="M14" i="13"/>
  <c r="R15" i="3"/>
  <c r="S15" i="3" s="1"/>
  <c r="U15" i="3" s="1"/>
  <c r="J15" i="3" s="1"/>
  <c r="M15" i="3" s="1"/>
  <c r="G15" i="3" s="1"/>
  <c r="I16" i="16" s="1"/>
  <c r="K12" i="3"/>
  <c r="L12" i="3" s="1"/>
  <c r="P13" i="16" s="1"/>
  <c r="R15" i="6"/>
  <c r="S15" i="6" s="1"/>
  <c r="U15" i="6" s="1"/>
  <c r="J15" i="6" s="1"/>
  <c r="M15" i="6" s="1"/>
  <c r="G15" i="6" s="1"/>
  <c r="K15" i="6"/>
  <c r="R12" i="6"/>
  <c r="S12" i="6" s="1"/>
  <c r="U12" i="6" s="1"/>
  <c r="J12" i="6" s="1"/>
  <c r="M12" i="6" s="1"/>
  <c r="G12" i="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Y16" i="13" l="1"/>
  <c r="Q15" i="9"/>
  <c r="V14" i="13"/>
  <c r="N14" i="9"/>
  <c r="V15" i="13"/>
  <c r="N13" i="9"/>
  <c r="P13" i="9"/>
  <c r="L12" i="7"/>
  <c r="S13" i="16" s="1"/>
  <c r="X14" i="13"/>
  <c r="U11" i="7"/>
  <c r="J11" i="7" s="1"/>
  <c r="L11" i="7" s="1"/>
  <c r="S12" i="16" s="1"/>
  <c r="I16" i="13"/>
  <c r="L15" i="3"/>
  <c r="P16" i="16" s="1"/>
  <c r="Q14" i="13"/>
  <c r="L13" i="8"/>
  <c r="T14" i="16" s="1"/>
  <c r="I13" i="9"/>
  <c r="U12" i="8"/>
  <c r="J12" i="8" s="1"/>
  <c r="M12" i="8" s="1"/>
  <c r="G12" i="8" s="1"/>
  <c r="K13" i="16" s="1"/>
  <c r="U10" i="7"/>
  <c r="J10" i="7" s="1"/>
  <c r="L10" i="7" s="1"/>
  <c r="S11" i="16" s="1"/>
  <c r="E15" i="9"/>
  <c r="L15" i="6"/>
  <c r="R16" i="16" s="1"/>
  <c r="E13" i="9"/>
  <c r="I14" i="13"/>
  <c r="L12" i="6"/>
  <c r="R13" i="16" s="1"/>
  <c r="M14" i="8"/>
  <c r="G14" i="8" s="1"/>
  <c r="K15" i="16" s="1"/>
  <c r="L14" i="8"/>
  <c r="T15" i="16" s="1"/>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Q12" i="9"/>
  <c r="Y13" i="13"/>
  <c r="V16" i="13"/>
  <c r="M10" i="7"/>
  <c r="N15" i="9"/>
  <c r="X16" i="13"/>
  <c r="L12" i="8"/>
  <c r="T13" i="16" s="1"/>
  <c r="R13" i="9"/>
  <c r="Z14" i="13"/>
  <c r="P15" i="9"/>
  <c r="R14" i="9"/>
  <c r="P12" i="9"/>
  <c r="X13" i="13"/>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<sst xmlns="http://schemas.openxmlformats.org/spreadsheetml/2006/main" count="654" uniqueCount="141">
  <si>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</si>
  <si>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</si>
  <si>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</si>
  <si>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</si>
  <si>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</si>
  <si>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</si>
  <si>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</si>
  <si>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</si>
  <si>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</si>
  <si>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</si>
  <si>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</si>
  <si>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</si>
  <si>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</si>
  <si>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</si>
  <si>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</si>
  <si>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</si>
  <si>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</si>
  <si>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</si>
  <si>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</si>
  <si>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</si>
  <si>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</si>
  <si>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</si>
  <si>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</si>
  <si>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</si>
  <si>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</si>
  <si>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</si>
  <si>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</si>
  <si>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</si>
  <si>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</si>
  <si>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</si>
  <si>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</si>
  <si>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</si>
  <si>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</si>
  <si>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</si>
  <si>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</si>
  <si>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</si>
  <si>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</si>
  <si>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</si>
  <si>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</si>
  <si>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</si>
  <si>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</si>
  <si>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</si>
  <si>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</si>
  <si>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</si>
  <si>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</si>
  <si>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</si>
  <si>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</si>
  <si>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</si>
  <si>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</si>
  <si>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</si>
  <si>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</si>
  <si>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</si>
  <si>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</si>
  <si>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</si>
  <si>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</si>
  <si>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</si>
  <si>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</si>
  <si>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</si>
  <si>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</si>
  <si>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</si>
  <si>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</si>
  <si>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</si>
  <si>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</si>
  <si>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</si>
  <si>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</si>
  <si>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</si>
  <si>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</si>
  <si>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</si>
  <si>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</si>
  <si>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</si>
  <si>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</si>
  <si>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</si>
  <si>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</si>
  <si>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</si>
  <si>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</si>
  <si>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</si>
  <si>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</si>
  <si>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</si>
  <si>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</si>
  <si>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</si>
  <si>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</si>
  <si>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</si>
  <si>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</si>
  <si>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</si>
  <si>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</si>
  <si>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</si>
  <si>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</si>
  <si>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</si>
  <si>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</si>
  <si>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</si>
  <si>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</si>
  <si>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</si>
  <si>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</si>
  <si>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</si>
  <si>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</si>
  <si>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</si>
  <si>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</si>
  <si>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</si>
  <si>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</si>
  <si>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</si>
  <si>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</si>
  <si>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</si>
  <si>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</si>
  <si>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</si>
  <si>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</si>
  <si>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</si>
  <si>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</si>
  <si>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</si>
  <si>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</si>
  <si>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</si>
  <si>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</si>
  <si>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</si>
  <si>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</si>
  <si>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</si>
  <si>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</si>
  <si>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</si>
  <si>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</si>
  <si>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</si>
  <si>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</si>
  <si>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</si>
  <si>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</si>
  <si>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</si>
  <si>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</si>
  <si>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</si>
  <si>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</si>
  <si>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</si>
  <si>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</si>
  <si>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</si>
  <si>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</si>
  <si>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</si>
  <si>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</si>
  <si>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</si>
  <si>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</si>
  <si>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</si>
  <si>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</si>
  <si>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</si>
  <si>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Presque Isle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</si>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</sst>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Presque Isle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N=26</c:v>
                </c:pt>
                <c:pt idx="3">
                  <c:v>Petitions, total N=29</c:v>
                </c:pt>
                <c:pt idx="4">
                  <c:v>Detentions, total N=0</c:v>
                </c:pt>
                <c:pt idx="5">
                  <c:v>Referrals, total N=40</c:v>
                </c:pt>
                <c:pt idx="6">
                  <c:v>Arrests, total N=4</c:v>
                </c:pt>
                <c:pt idx="7">
                  <c:v>Population, total N=916</c:v>
                </c:pt>
              </c:strCache>
            </c:strRef>
          </c:cat>
          <c:val>
            <c:numRef>
              <c:f>'Stacked 100%'!$B$7:$B$14</c:f>
              <c:numCache>
                <c:formatCode>0%</c:formatCode>
                <c:ptCount val="8"/>
                <c:pt idx="0">
                  <c:v>0</c:v>
                </c:pt>
                <c:pt idx="1">
                  <c:v>0</c:v>
                </c:pt>
                <c:pt idx="2">
                  <c:v>0</c:v>
                </c:pt>
                <c:pt idx="3">
                  <c:v>0</c:v>
                </c:pt>
                <c:pt idx="4">
                  <c:v>0</c:v>
                </c:pt>
                <c:pt idx="5">
                  <c:v>0</c:v>
                </c:pt>
                <c:pt idx="6">
                  <c:v>0</c:v>
                </c:pt>
                <c:pt idx="7">
                  <c:v>1.8558951965065504E-2</c:v>
                </c:pt>
              </c:numCache>
            </c:numRef>
          </c:val>
          <c:extLst>
            <c:ext xmlns:c16="http://schemas.microsoft.com/office/drawing/2014/chart" uri="{C3380CC4-5D6E-409C-BE32-E72D297353CC}">
              <c16:uniqueId val="{00000000-9E8F-46B6-90B5-6D8DD543112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N=26</c:v>
                </c:pt>
                <c:pt idx="3">
                  <c:v>Petitions, total N=29</c:v>
                </c:pt>
                <c:pt idx="4">
                  <c:v>Detentions, total N=0</c:v>
                </c:pt>
                <c:pt idx="5">
                  <c:v>Referrals, total N=40</c:v>
                </c:pt>
                <c:pt idx="6">
                  <c:v>Arrests, total N=4</c:v>
                </c:pt>
                <c:pt idx="7">
                  <c:v>Population, total N=916</c:v>
                </c:pt>
              </c:strCache>
            </c:strRef>
          </c:cat>
          <c:val>
            <c:numRef>
              <c:f>'Stacked 100%'!$C$7:$C$14</c:f>
              <c:numCache>
                <c:formatCode>0%</c:formatCode>
                <c:ptCount val="8"/>
                <c:pt idx="0">
                  <c:v>0</c:v>
                </c:pt>
                <c:pt idx="1">
                  <c:v>0</c:v>
                </c:pt>
                <c:pt idx="2">
                  <c:v>0</c:v>
                </c:pt>
                <c:pt idx="3">
                  <c:v>0</c:v>
                </c:pt>
                <c:pt idx="4">
                  <c:v>0</c:v>
                </c:pt>
                <c:pt idx="5">
                  <c:v>0</c:v>
                </c:pt>
                <c:pt idx="6">
                  <c:v>0</c:v>
                </c:pt>
                <c:pt idx="7">
                  <c:v>4.4759825327510917E-2</c:v>
                </c:pt>
              </c:numCache>
            </c:numRef>
          </c:val>
          <c:extLst>
            <c:ext xmlns:c16="http://schemas.microsoft.com/office/drawing/2014/chart" uri="{C3380CC4-5D6E-409C-BE32-E72D297353CC}">
              <c16:uniqueId val="{00000001-9E8F-46B6-90B5-6D8DD543112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N=26</c:v>
                </c:pt>
                <c:pt idx="3">
                  <c:v>Petitions, total N=29</c:v>
                </c:pt>
                <c:pt idx="4">
                  <c:v>Detentions, total N=0</c:v>
                </c:pt>
                <c:pt idx="5">
                  <c:v>Referrals, total N=40</c:v>
                </c:pt>
                <c:pt idx="6">
                  <c:v>Arrests, total N=4</c:v>
                </c:pt>
                <c:pt idx="7">
                  <c:v>Population, total N=916</c:v>
                </c:pt>
              </c:strCache>
            </c:strRef>
          </c:cat>
          <c:val>
            <c:numRef>
              <c:f>'Stacked 100%'!$H$7:$H$14</c:f>
              <c:numCache>
                <c:formatCode>0%</c:formatCode>
                <c:ptCount val="8"/>
                <c:pt idx="0">
                  <c:v>0</c:v>
                </c:pt>
                <c:pt idx="1">
                  <c:v>0</c:v>
                </c:pt>
                <c:pt idx="2">
                  <c:v>0</c:v>
                </c:pt>
                <c:pt idx="3">
                  <c:v>0</c:v>
                </c:pt>
                <c:pt idx="4">
                  <c:v>0</c:v>
                </c:pt>
                <c:pt idx="5">
                  <c:v>6.2500000000000001E-4</c:v>
                </c:pt>
                <c:pt idx="6">
                  <c:v>6.25E-2</c:v>
                </c:pt>
                <c:pt idx="7">
                  <c:v>2.6219942411471941E-5</c:v>
                </c:pt>
              </c:numCache>
            </c:numRef>
          </c:val>
          <c:extLst>
            <c:ext xmlns:c16="http://schemas.microsoft.com/office/drawing/2014/chart" uri="{C3380CC4-5D6E-409C-BE32-E72D297353CC}">
              <c16:uniqueId val="{00000002-9E8F-46B6-90B5-6D8DD543112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N=26</c:v>
                </c:pt>
                <c:pt idx="3">
                  <c:v>Petitions, total N=29</c:v>
                </c:pt>
                <c:pt idx="4">
                  <c:v>Detentions, total N=0</c:v>
                </c:pt>
                <c:pt idx="5">
                  <c:v>Referrals, total N=40</c:v>
                </c:pt>
                <c:pt idx="6">
                  <c:v>Arrests, total N=4</c:v>
                </c:pt>
                <c:pt idx="7">
                  <c:v>Population, total N=916</c:v>
                </c:pt>
              </c:strCache>
            </c:strRef>
          </c:cat>
          <c:val>
            <c:numRef>
              <c:f>'Stacked 100%'!$I$7:$I$14</c:f>
              <c:numCache>
                <c:formatCode>0%</c:formatCode>
                <c:ptCount val="8"/>
                <c:pt idx="0">
                  <c:v>0</c:v>
                </c:pt>
                <c:pt idx="1">
                  <c:v>0</c:v>
                </c:pt>
                <c:pt idx="2">
                  <c:v>0.88461538461538458</c:v>
                </c:pt>
                <c:pt idx="3">
                  <c:v>0.89655172413793105</c:v>
                </c:pt>
                <c:pt idx="4">
                  <c:v>0</c:v>
                </c:pt>
                <c:pt idx="5">
                  <c:v>0.85</c:v>
                </c:pt>
                <c:pt idx="6">
                  <c:v>0.75</c:v>
                </c:pt>
                <c:pt idx="7">
                  <c:v>0.9126637554585153</c:v>
                </c:pt>
              </c:numCache>
            </c:numRef>
          </c:val>
          <c:extLst>
            <c:ext xmlns:c16="http://schemas.microsoft.com/office/drawing/2014/chart" uri="{C3380CC4-5D6E-409C-BE32-E72D297353CC}">
              <c16:uniqueId val="{00000003-9E8F-46B6-90B5-6D8DD543112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N=26</c:v>
                </c:pt>
                <c:pt idx="3">
                  <c:v>Petitions, total N=29</c:v>
                </c:pt>
                <c:pt idx="4">
                  <c:v>Detentions, total N=0</c:v>
                </c:pt>
                <c:pt idx="5">
                  <c:v>Referrals, total N=40</c:v>
                </c:pt>
                <c:pt idx="6">
                  <c:v>Arrests, total N=4</c:v>
                </c:pt>
                <c:pt idx="7">
                  <c:v>Population, total N=916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E8F-46B6-90B5-6D8DD543112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4" sqref="K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916</v>
      </c>
      <c r="C6" s="11">
        <v>836</v>
      </c>
      <c r="D6" s="11">
        <v>17</v>
      </c>
      <c r="E6" s="11">
        <v>41</v>
      </c>
      <c r="F6" s="11">
        <v>12</v>
      </c>
      <c r="G6" s="11"/>
      <c r="H6" s="11">
        <v>10</v>
      </c>
      <c r="I6" s="11"/>
      <c r="J6" s="91">
        <f>SUM(D6:I6)</f>
        <v>80</v>
      </c>
      <c r="K6" s="92"/>
    </row>
    <row r="7" spans="1:11" ht="15.75" customHeight="1" thickBot="1">
      <c r="A7" s="10" t="s">
        <v>8</v>
      </c>
      <c r="B7" s="11">
        <f t="shared" ref="B7:B15" si="0">SUM(C7:I7)+K7</f>
        <v>4</v>
      </c>
      <c r="C7" s="11">
        <v>3</v>
      </c>
      <c r="D7" s="11"/>
      <c r="E7" s="11"/>
      <c r="F7" s="11"/>
      <c r="G7" s="11"/>
      <c r="H7" s="11">
        <v>1</v>
      </c>
      <c r="I7" s="11"/>
      <c r="J7" s="91">
        <f t="shared" ref="J7:J15" si="1">SUM(D7:I7)</f>
        <v>1</v>
      </c>
      <c r="K7" s="92"/>
    </row>
    <row r="8" spans="1:11" ht="15.75" customHeight="1" thickBot="1">
      <c r="A8" s="10" t="s">
        <v>9</v>
      </c>
      <c r="B8" s="11">
        <f t="shared" si="0"/>
        <v>40</v>
      </c>
      <c r="C8" s="11">
        <v>34</v>
      </c>
      <c r="D8" s="11"/>
      <c r="E8" s="11"/>
      <c r="F8" s="11"/>
      <c r="G8" s="11"/>
      <c r="H8" s="11">
        <v>1</v>
      </c>
      <c r="I8" s="11"/>
      <c r="J8" s="91">
        <f t="shared" si="1"/>
        <v>1</v>
      </c>
      <c r="K8" s="92">
        <v>5</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29</v>
      </c>
      <c r="C11" s="11">
        <v>26</v>
      </c>
      <c r="D11" s="11"/>
      <c r="E11" s="11"/>
      <c r="F11" s="11"/>
      <c r="G11" s="11"/>
      <c r="H11" s="11"/>
      <c r="I11" s="11"/>
      <c r="J11" s="91">
        <f t="shared" si="1"/>
        <v>0</v>
      </c>
      <c r="K11" s="92">
        <v>3</v>
      </c>
    </row>
    <row r="12" spans="1:11" ht="15.75" customHeight="1" thickBot="1">
      <c r="A12" s="10" t="s">
        <v>13</v>
      </c>
      <c r="B12" s="11">
        <f t="shared" si="0"/>
        <v>26</v>
      </c>
      <c r="C12" s="11">
        <v>23</v>
      </c>
      <c r="D12" s="11"/>
      <c r="E12" s="11"/>
      <c r="F12" s="11"/>
      <c r="G12" s="11"/>
      <c r="H12" s="11"/>
      <c r="I12" s="11"/>
      <c r="J12" s="91">
        <f t="shared" si="1"/>
        <v>0</v>
      </c>
      <c r="K12" s="92">
        <v>3</v>
      </c>
    </row>
    <row r="13" spans="1:11" ht="15.75" customHeight="1" thickBot="1">
      <c r="A13" s="10" t="s">
        <v>133</v>
      </c>
      <c r="B13" s="11">
        <f t="shared" si="0"/>
        <v>18</v>
      </c>
      <c r="C13" s="11">
        <v>17</v>
      </c>
      <c r="D13" s="11"/>
      <c r="E13" s="11"/>
      <c r="F13" s="11"/>
      <c r="G13" s="11"/>
      <c r="H13" s="11"/>
      <c r="I13" s="11"/>
      <c r="J13" s="91">
        <f t="shared" si="1"/>
        <v>0</v>
      </c>
      <c r="K13" s="92">
        <v>1</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833</v>
      </c>
      <c r="R7" s="42">
        <f t="shared" ref="R7:R15" si="5">SUM(N7:Q7)</f>
        <v>836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1133.3333333333335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-31</v>
      </c>
      <c r="R8" s="42">
        <f t="shared" si="5"/>
        <v>3.0499999999999972</v>
      </c>
      <c r="S8" s="30">
        <f t="shared" si="6"/>
        <v>8.8144999999999936</v>
      </c>
      <c r="T8" s="30">
        <f t="shared" si="7"/>
        <v>-157.845</v>
      </c>
      <c r="U8" s="31">
        <f t="shared" si="8"/>
        <v>-5.5842757135164206E-2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8</v>
      </c>
      <c r="R11" s="42">
        <f t="shared" si="5"/>
        <v>34</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88.461538461538453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0</v>
      </c>
      <c r="E42" s="56">
        <f>MAX(C42:D42)</f>
        <v>0.83599999999999997</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0</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0</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0</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0</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Entry'!J6</f>
        <v>80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Entry'!J7</f>
        <v>1</v>
      </c>
      <c r="F7" s="34">
        <f>IF((AND($E$7&gt;0,$D$66&gt;0)),($E$7/$D$66),0)</f>
        <v>12.5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79</v>
      </c>
      <c r="P7" s="42">
        <f t="shared" ref="P7:P15" si="4">C7</f>
        <v>3</v>
      </c>
      <c r="Q7" s="42">
        <f>C6-C7</f>
        <v>833</v>
      </c>
      <c r="R7" s="42">
        <f t="shared" ref="R7:R15" si="5">SUM(N7:Q7)</f>
        <v>916</v>
      </c>
      <c r="S7" s="30">
        <f t="shared" ref="S7:S15" si="6">R7*((((N7*Q7)-(O7*P7))^2))</f>
        <v>325377856</v>
      </c>
      <c r="T7" s="30">
        <f t="shared" ref="T7:T15" si="7">(N7+O7)*(P7+Q7)*(N7+P7)*(O7+Q7)</f>
        <v>243978240</v>
      </c>
      <c r="U7" s="31">
        <f t="shared" ref="U7:U15" si="8">IF((S7&gt;0),S7/T7,"- -")</f>
        <v>1.3336347372618149</v>
      </c>
    </row>
    <row r="8" spans="2:21" ht="18" customHeight="1">
      <c r="B8" s="32" t="str">
        <f>'Data Entry'!A8</f>
        <v>3. Refer to Juvenile Court</v>
      </c>
      <c r="C8" s="33">
        <f>'Data Entry'!C8</f>
        <v>34</v>
      </c>
      <c r="D8" s="34">
        <f>IF((AND(C67&gt;0,C8&gt;0)),(C8/C67),0)</f>
        <v>1133.3333333333335</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34</v>
      </c>
      <c r="Q8" s="42">
        <f>(C$67*L67)-C8</f>
        <v>-31</v>
      </c>
      <c r="R8" s="42">
        <f t="shared" si="5"/>
        <v>4.0499999999999972</v>
      </c>
      <c r="S8" s="30">
        <f t="shared" si="6"/>
        <v>4330.6244999999981</v>
      </c>
      <c r="T8" s="30">
        <f t="shared" si="7"/>
        <v>-3412.2375000000002</v>
      </c>
      <c r="U8" s="31">
        <f t="shared" si="8"/>
        <v>-1.2691450990735544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34</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26</v>
      </c>
      <c r="Q11" s="42">
        <f>(C$68*L68)-C11</f>
        <v>8</v>
      </c>
      <c r="R11" s="42">
        <f t="shared" si="5"/>
        <v>35</v>
      </c>
      <c r="S11" s="30">
        <f t="shared" si="6"/>
        <v>23660</v>
      </c>
      <c r="T11" s="30">
        <f t="shared" si="7"/>
        <v>7956</v>
      </c>
      <c r="U11" s="31">
        <f t="shared" si="8"/>
        <v>2.9738562091503269</v>
      </c>
    </row>
    <row r="12" spans="2:21" ht="18" customHeight="1">
      <c r="B12" s="32" t="str">
        <f>'Data Entry'!A12</f>
        <v>7. Cases Resulting in Delinquent Findings</v>
      </c>
      <c r="C12" s="33">
        <f>'Data Entry'!C12</f>
        <v>23</v>
      </c>
      <c r="D12" s="34">
        <f>IF(((AND(C69&gt;0,C12&gt;0))),(C12/(C69)),0)</f>
        <v>88.461538461538453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0.08</v>
      </c>
      <c r="E42" s="56">
        <f>MAX(C42:D42)</f>
        <v>0.83599999999999997</v>
      </c>
      <c r="G42" s="1" t="str">
        <f>B42</f>
        <v>per 1000 youth</v>
      </c>
      <c r="L42" s="57">
        <v>1000</v>
      </c>
      <c r="M42" s="57"/>
      <c r="R42" s="49"/>
    </row>
    <row r="43" spans="2:18" ht="15" hidden="1" customHeight="1">
      <c r="B43" s="49" t="s">
        <v>87</v>
      </c>
      <c r="C43" s="56">
        <f>C7/100</f>
        <v>0.03</v>
      </c>
      <c r="D43" s="56">
        <f>E7/100</f>
        <v>0.01</v>
      </c>
      <c r="E43" s="56">
        <f>MAX(C43:D43,0)</f>
        <v>0.03</v>
      </c>
      <c r="G43" s="1" t="str">
        <f>B43</f>
        <v>per 100 arrests</v>
      </c>
      <c r="L43" s="57">
        <v>100</v>
      </c>
      <c r="M43" s="57"/>
      <c r="R43" s="49"/>
    </row>
    <row r="44" spans="2:18" ht="15" hidden="1" customHeight="1">
      <c r="B44" s="49" t="s">
        <v>88</v>
      </c>
      <c r="C44" s="56">
        <f>C8/100</f>
        <v>0.34</v>
      </c>
      <c r="D44" s="56">
        <f>E8/100</f>
        <v>0.01</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0.08</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0.01</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0.01</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0.08</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0.01</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0.01</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0.08</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0.01</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0.01</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0.08</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0.01</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0.01</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Presque Isle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20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916</v>
      </c>
      <c r="D3" s="57">
        <f>'Data Entry'!C6</f>
        <v>836</v>
      </c>
      <c r="E3" s="57">
        <f>'Data Entry'!D6</f>
        <v>17</v>
      </c>
      <c r="F3" s="57">
        <f>'Data Entry'!E6</f>
        <v>41</v>
      </c>
      <c r="G3" s="57">
        <f>'Data Entry'!F6</f>
        <v>12</v>
      </c>
      <c r="H3" s="57">
        <f>'Data Entry'!G6</f>
        <v>0</v>
      </c>
      <c r="I3" s="57">
        <f>'Data Entry'!H6</f>
        <v>10</v>
      </c>
      <c r="J3" s="57">
        <f>'Data Entry'!I6</f>
        <v>0</v>
      </c>
      <c r="K3" s="57">
        <f>'Data Entry'!J6</f>
        <v>80</v>
      </c>
    </row>
    <row r="4" spans="2:11" ht="15" customHeight="1">
      <c r="B4" s="16" t="s">
        <v>8</v>
      </c>
      <c r="C4" s="1">
        <f>IF((C$3&gt;0),(1000*('Data Entry'!B7/'Data Entry'!B$6)), 0)</f>
        <v>4.3668122270742353</v>
      </c>
      <c r="D4" s="1">
        <f>IF((D$3&gt;0),(1000*('Data Entry'!C7/'Data Entry'!C$6)), 0)</f>
        <v>3.5885167464114835</v>
      </c>
      <c r="E4" s="1">
        <f>IF((E$3&gt;0),(1000*('Data Entry'!D7/'Data Entry'!D$6)), 0)</f>
        <v>0</v>
      </c>
      <c r="F4" s="1">
        <f>IF((F$3&gt;0),(1000*('Data Entry'!E7/'Data Entry'!E$6)), 0)</f>
        <v>0</v>
      </c>
      <c r="G4" s="1">
        <f>IF((G$3&gt;0),(1000*('Data Entry'!F7/'Data Entry'!F$6)), 0)</f>
        <v>0</v>
      </c>
      <c r="H4" s="1">
        <f>IF((H$3&gt;0),(1000*('Data Entry'!G7/'Data Entry'!G$6)), 0)</f>
        <v>0</v>
      </c>
      <c r="I4" s="1">
        <f>IF((I$3&gt;0),(1000*('Data Entry'!H7/'Data Entry'!H$6)), 0)</f>
        <v>100</v>
      </c>
      <c r="J4" s="1">
        <f>IF((J$3&gt;0),(1000*('Data Entry'!I7/'Data Entry'!I$6)), 0)</f>
        <v>0</v>
      </c>
      <c r="K4" s="1">
        <f>IF((K$3&gt;0),(1000*('Data Entry'!J7/'Data Entry'!J$6)), 0)</f>
        <v>12.5</v>
      </c>
    </row>
    <row r="5" spans="2:11" ht="15" customHeight="1">
      <c r="B5" s="16" t="s">
        <v>9</v>
      </c>
      <c r="C5" s="1">
        <f>IF((C$3&gt;0),(1000*('Data Entry'!B8/'Data Entry'!B$6)), 0)</f>
        <v>43.668122270742359</v>
      </c>
      <c r="D5" s="1">
        <f>IF((D$3&gt;0),(1000*('Data Entry'!C8/'Data Entry'!C$6)), 0)</f>
        <v>40.669856459330141</v>
      </c>
      <c r="E5" s="1">
        <f>IF((E$3&gt;0),(1000*('Data Entry'!D8/'Data Entry'!D$6)), 0)</f>
        <v>0</v>
      </c>
      <c r="F5" s="1">
        <f>IF((F$3&gt;0),(1000*('Data Entry'!E8/'Data Entry'!E$6)), 0)</f>
        <v>0</v>
      </c>
      <c r="G5" s="1">
        <f>IF((G$3&gt;0),(1000*('Data Entry'!F8/'Data Entry'!F$6)), 0)</f>
        <v>0</v>
      </c>
      <c r="H5" s="1">
        <f>IF((H$3&gt;0),(1000*('Data Entry'!G8/'Data Entry'!G$6)), 0)</f>
        <v>0</v>
      </c>
      <c r="I5" s="1">
        <f>IF((I$3&gt;0),(1000*('Data Entry'!H8/'Data Entry'!H$6)), 0)</f>
        <v>100</v>
      </c>
      <c r="J5" s="1">
        <f>IF((J$3&gt;0),(1000*('Data Entry'!I8/'Data Entry'!I$6)), 0)</f>
        <v>0</v>
      </c>
      <c r="K5" s="1">
        <f>IF((K$3&gt;0),(1000*('Data Entry'!J8/'Data Entry'!J$6)), 0)</f>
        <v>12.5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31.659388646288207</v>
      </c>
      <c r="D8" s="1">
        <f>IF((D$3&gt;0),(1000*('Data Entry'!C11/'Data Entry'!C$6)), 0)</f>
        <v>31.100478468899521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28.384279475982535</v>
      </c>
      <c r="D9" s="1">
        <f>IF((D$3&gt;0),(1000*('Data Entry'!C12/'Data Entry'!C$6)), 0)</f>
        <v>27.511961722488039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19.650655021834062</v>
      </c>
      <c r="D10" s="1">
        <f>IF((D$3&gt;0),(1000*('Data Entry'!C13/'Data Entry'!C$6)), 0)</f>
        <v>20.334928229665071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Presque Isle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27.866666666666664</v>
      </c>
      <c r="I19" s="72" t="str">
        <f t="shared" si="1"/>
        <v>--</v>
      </c>
      <c r="J19" s="73">
        <f t="shared" si="1"/>
        <v>3.4833333333333329</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2.4588235294117649</v>
      </c>
      <c r="I20" s="72" t="str">
        <f t="shared" si="2"/>
        <v>--</v>
      </c>
      <c r="J20" s="73">
        <f t="shared" si="2"/>
        <v>0.30735294117647061</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Presque Isle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836</v>
      </c>
      <c r="D7" s="104">
        <f>'Data Entry'!D6</f>
        <v>17</v>
      </c>
      <c r="E7" s="105"/>
      <c r="F7" s="106">
        <f>'Data Entry'!E6</f>
        <v>41</v>
      </c>
      <c r="G7" s="105"/>
      <c r="H7" s="106">
        <f>'Data Entry'!F6</f>
        <v>12</v>
      </c>
      <c r="I7" s="105"/>
      <c r="J7" s="106">
        <f>'Data Entry'!G6</f>
        <v>0</v>
      </c>
      <c r="K7" s="105"/>
      <c r="L7" s="106">
        <f>'Data Entry'!H6</f>
        <v>10</v>
      </c>
      <c r="M7" s="105"/>
      <c r="N7" s="106">
        <f>'Data Entry'!I6</f>
        <v>0</v>
      </c>
      <c r="O7" s="105"/>
      <c r="P7" s="106">
        <f>'Data Entry'!J6</f>
        <v>80</v>
      </c>
      <c r="Q7" s="107"/>
    </row>
    <row r="8" spans="2:26" s="1" customFormat="1" ht="15" customHeight="1">
      <c r="B8" s="142" t="s">
        <v>8</v>
      </c>
      <c r="C8" s="103">
        <f>'Data Entry'!C7</f>
        <v>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20</v>
      </c>
      <c r="Y8" s="1" t="e">
        <f>'Other - Mixed'!L7</f>
        <v>#VALUE!</v>
      </c>
      <c r="Z8" s="1">
        <f>'All Minorities'!L7</f>
        <v>40</v>
      </c>
    </row>
    <row r="9" spans="2:26" s="1" customFormat="1" ht="15" customHeight="1">
      <c r="B9" s="142" t="s">
        <v>134</v>
      </c>
      <c r="C9" s="103">
        <f>'Data Entry'!C8</f>
        <v>34</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23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17</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Presque Isle</v>
      </c>
    </row>
    <row r="6" spans="1:12">
      <c r="A6" s="135" t="str">
        <f>CONCATENATE("Percentage of Minorities at Stages of the Juvenile Justice System, ", A5, " 2022")</f>
        <v>Percentage of Minorities at Stages of the Juvenile Justice System, County: Presque Isle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10.45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10.45</v>
      </c>
    </row>
    <row r="9" spans="1:12">
      <c r="A9" s="128" t="str">
        <f>CONCATENATE("Delinquent Findings, total N=", 'Data Entry'!B12)</f>
        <v>Delinquent Findings, total N=26</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0.88461538461538458</v>
      </c>
      <c r="K9" s="96" t="str">
        <f t="shared" si="0"/>
        <v>Delinquent Findings, total N=26</v>
      </c>
      <c r="L9">
        <f>I14/(SUM(B14:G14))</f>
        <v>10.45</v>
      </c>
    </row>
    <row r="10" spans="1:12">
      <c r="A10" s="128" t="str">
        <f>CONCATENATE("Petitions, total N=", 'Data Entry'!B11)</f>
        <v>Petitions, total N=29</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0.89655172413793105</v>
      </c>
      <c r="K10" s="96" t="str">
        <f t="shared" si="0"/>
        <v>Petitions, total N=29</v>
      </c>
      <c r="L10">
        <f>I14/(SUM(B14:G14))</f>
        <v>10.45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10.45</v>
      </c>
    </row>
    <row r="12" spans="1:12">
      <c r="A12" s="128" t="str">
        <f>CONCATENATE("Referrals, total N=", 'Data Entry'!B8)</f>
        <v>Referrals, total N=40</v>
      </c>
      <c r="B12" s="150">
        <f>'Data Entry'!D8/'Data Entry'!B8</f>
        <v>0</v>
      </c>
      <c r="C12" s="150">
        <f>'Data Entry'!E8/'Data Entry'!B8</f>
        <v>0</v>
      </c>
      <c r="D12" s="150">
        <f>'Data Entry'!F8/'Data Entry'!B8</f>
        <v>0</v>
      </c>
      <c r="E12" s="150">
        <f>'Data Entry'!G8/'Data Entry'!B8</f>
        <v>0</v>
      </c>
      <c r="F12" s="150">
        <f>'Data Entry'!H8/'Data Entry'!B8</f>
        <v>2.5000000000000001E-2</v>
      </c>
      <c r="G12" s="150">
        <f>'Data Entry'!I8/'Data Entry'!B8</f>
        <v>0</v>
      </c>
      <c r="H12" s="150">
        <f>SUM(D12:G12)/'Data Entry'!B8</f>
        <v>6.2500000000000001E-4</v>
      </c>
      <c r="I12" s="150">
        <f>'Data Entry'!C8/'Data Entry'!B8</f>
        <v>0.85</v>
      </c>
      <c r="K12" s="96" t="str">
        <f t="shared" si="0"/>
        <v>Referrals, total N=40</v>
      </c>
      <c r="L12">
        <f>I14/(SUM(B14:G14))</f>
        <v>10.45</v>
      </c>
    </row>
    <row r="13" spans="1:12">
      <c r="A13" s="128" t="str">
        <f>CONCATENATE("Arrests, total N=", 'Data Entry'!B7)</f>
        <v>Arrests, total N=4</v>
      </c>
      <c r="B13" s="150">
        <f>'Data Entry'!D7/'Data Entry'!B7</f>
        <v>0</v>
      </c>
      <c r="C13" s="150">
        <f>'Data Entry'!E7/'Data Entry'!B7</f>
        <v>0</v>
      </c>
      <c r="D13" s="150">
        <f>'Data Entry'!F7/'Data Entry'!B7</f>
        <v>0</v>
      </c>
      <c r="E13" s="150">
        <f>'Data Entry'!G7/'Data Entry'!B7</f>
        <v>0</v>
      </c>
      <c r="F13" s="150">
        <f>'Data Entry'!H7/'Data Entry'!B7</f>
        <v>0.25</v>
      </c>
      <c r="G13" s="150">
        <f>'Data Entry'!I7/'Data Entry'!B7</f>
        <v>0</v>
      </c>
      <c r="H13" s="150">
        <f>SUM(D13:G13)/'Data Entry'!B7</f>
        <v>6.25E-2</v>
      </c>
      <c r="I13" s="150">
        <f>'Data Entry'!C7/'Data Entry'!B7</f>
        <v>0.75</v>
      </c>
      <c r="K13" s="96" t="str">
        <f t="shared" si="0"/>
        <v>Arrests, total N=4</v>
      </c>
      <c r="L13">
        <f>I14/(SUM(B14:G14))</f>
        <v>10.45</v>
      </c>
    </row>
    <row r="14" spans="1:12">
      <c r="A14" s="128" t="str">
        <f>CONCATENATE("Population, total N=", 'Data Entry'!B6)</f>
        <v>Population, total N=916</v>
      </c>
      <c r="B14" s="150">
        <f>'Data Entry'!D6/'Data Entry'!B6</f>
        <v>1.8558951965065504E-2</v>
      </c>
      <c r="C14" s="150">
        <f>'Data Entry'!E6/'Data Entry'!B6</f>
        <v>4.4759825327510917E-2</v>
      </c>
      <c r="D14" s="150">
        <f>'Data Entry'!F6/'Data Entry'!B6</f>
        <v>1.3100436681222707E-2</v>
      </c>
      <c r="E14" s="150">
        <f>'Data Entry'!G6/'Data Entry'!B6</f>
        <v>0</v>
      </c>
      <c r="F14" s="150">
        <f>'Data Entry'!H6/'Data Entry'!B6</f>
        <v>1.0917030567685589E-2</v>
      </c>
      <c r="G14" s="150">
        <f>'Data Entry'!I6/'Data Entry'!B6</f>
        <v>0</v>
      </c>
      <c r="H14" s="150">
        <f>SUM(D14:G14)/'Data Entry'!B6</f>
        <v>2.6219942411471941E-5</v>
      </c>
      <c r="I14" s="150">
        <f>'Data Entry'!C6/'Data Entry'!B6</f>
        <v>0.9126637554585153</v>
      </c>
      <c r="K14" s="96" t="str">
        <f t="shared" si="0"/>
        <v>Population, total N=916</v>
      </c>
      <c r="L14">
        <f>I14/(SUM(B14:G14))</f>
        <v>10.45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Presque Isle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836</v>
      </c>
      <c r="D7" s="104">
        <f>'Data Entry'!D6</f>
        <v>17</v>
      </c>
      <c r="E7" s="105"/>
      <c r="F7" s="106">
        <f>'Data Entry'!E6</f>
        <v>41</v>
      </c>
      <c r="G7" s="105"/>
      <c r="H7" s="106">
        <f>'Data Entry'!F6</f>
        <v>12</v>
      </c>
      <c r="I7" s="105"/>
      <c r="J7" s="106">
        <f>'Data Entry'!J6</f>
        <v>80</v>
      </c>
      <c r="K7" s="107"/>
    </row>
    <row r="8" spans="2:30" s="1" customFormat="1" ht="15" customHeight="1">
      <c r="B8" s="121" t="s">
        <v>8</v>
      </c>
      <c r="C8" s="103">
        <f>'Data Entry'!C7</f>
        <v>3</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20</v>
      </c>
      <c r="S8" s="1" t="e">
        <f>'Other - Mixed'!L7</f>
        <v>#VALUE!</v>
      </c>
      <c r="T8" s="1">
        <f>'All Minorities'!L7</f>
        <v>40</v>
      </c>
    </row>
    <row r="9" spans="2:30" s="1" customFormat="1" ht="15" customHeight="1">
      <c r="B9" s="121" t="s">
        <v>134</v>
      </c>
      <c r="C9" s="103">
        <f>'Data Entry'!C8</f>
        <v>34</v>
      </c>
      <c r="D9" s="108">
        <f>'Data Entry'!D8</f>
        <v>0</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26</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23</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17</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Entry'!D6</f>
        <v>17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17</v>
      </c>
      <c r="P7" s="42">
        <f t="shared" ref="P7:P15" si="2">C7</f>
        <v>3</v>
      </c>
      <c r="Q7" s="42">
        <f>C6-C7</f>
        <v>833</v>
      </c>
      <c r="R7" s="42">
        <f t="shared" ref="R7:R15" si="3">SUM(N7:Q7)</f>
        <v>853</v>
      </c>
      <c r="S7" s="30">
        <f t="shared" ref="S7:S15" si="4">R7*((((N7*Q7)-(O7*P7))^2))</f>
        <v>2218653</v>
      </c>
      <c r="T7" s="30">
        <f t="shared" ref="T7:T15" si="5">(N7+O7)*(P7+Q7)*(N7+P7)*(O7+Q7)</f>
        <v>36240600</v>
      </c>
      <c r="U7" s="31">
        <f t="shared" ref="U7:U15" si="6">IF((S7&gt;0),S7/T7,"- -")</f>
        <v>6.1220095693779904E-2</v>
      </c>
    </row>
    <row r="8" spans="2:21" ht="18" customHeight="1">
      <c r="B8" s="32" t="str">
        <f>'Data Entry'!A8</f>
        <v>3. Refer to Juvenile Court</v>
      </c>
      <c r="C8" s="33">
        <f>'Data Entry'!C8</f>
        <v>34</v>
      </c>
      <c r="D8" s="34">
        <f>IF((AND(C67&gt;0,C8&gt;0)),(C8/C67),0)</f>
        <v>1133.3333333333335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34</v>
      </c>
      <c r="Q8" s="42">
        <f>(C$67*L67)-C8</f>
        <v>-31</v>
      </c>
      <c r="R8" s="42">
        <f t="shared" si="3"/>
        <v>3.0499999999999972</v>
      </c>
      <c r="S8" s="30">
        <f t="shared" si="4"/>
        <v>8.8144999999999936</v>
      </c>
      <c r="T8" s="30">
        <f t="shared" si="5"/>
        <v>-157.845</v>
      </c>
      <c r="U8" s="31">
        <f t="shared" si="6"/>
        <v>-5.5842757135164206E-2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34</v>
      </c>
      <c r="R9" s="42">
        <f t="shared" si="3"/>
        <v>34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34</v>
      </c>
      <c r="R10" s="42">
        <f t="shared" si="3"/>
        <v>34</v>
      </c>
      <c r="S10" s="30">
        <f t="shared" si="4"/>
        <v>0</v>
      </c>
      <c r="T10" s="30">
        <f t="shared" si="5"/>
        <v>0</v>
      </c>
      <c r="U10" s="31" t="str">
        <f t="shared" si="6"/>
        <v>- -</v>
      </c>
    </row>
    <row r="11" spans="2:21" ht="18" customHeight="1">
      <c r="B11" s="32" t="str">
        <f>'Data Entry'!A11</f>
        <v>6. Cases Petitioned (Charge Filed)</v>
      </c>
      <c r="C11" s="33">
        <f>'Data Entry'!C11</f>
        <v>26</v>
      </c>
      <c r="D11" s="34">
        <f>IF(((AND(C68&gt;0,C11&gt;0))),(C11/(C68)),0)</f>
        <v>76.470588235294116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26</v>
      </c>
      <c r="Q11" s="42">
        <f>(C$68*L68)-C11</f>
        <v>8</v>
      </c>
      <c r="R11" s="42">
        <f t="shared" si="3"/>
        <v>34</v>
      </c>
      <c r="S11" s="30">
        <f t="shared" si="4"/>
        <v>0</v>
      </c>
      <c r="T11" s="30">
        <f t="shared" si="5"/>
        <v>0</v>
      </c>
      <c r="U11" s="31" t="str">
        <f t="shared" si="6"/>
        <v>- -</v>
      </c>
    </row>
    <row r="12" spans="2:21" ht="18" customHeight="1">
      <c r="B12" s="32" t="str">
        <f>'Data Entry'!A12</f>
        <v>7. Cases Resulting in Delinquent Findings</v>
      </c>
      <c r="C12" s="33">
        <f>'Data Entry'!C12</f>
        <v>23</v>
      </c>
      <c r="D12" s="34">
        <f>IF(((AND(C69&gt;0,C12&gt;0))),(C12/(C69)),0)</f>
        <v>88.461538461538453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23</v>
      </c>
      <c r="Q12" s="42">
        <f>(C69*L69)-C12</f>
        <v>3</v>
      </c>
      <c r="R12" s="42">
        <f t="shared" si="3"/>
        <v>26</v>
      </c>
      <c r="S12" s="30">
        <f t="shared" si="4"/>
        <v>0</v>
      </c>
      <c r="T12" s="30">
        <f t="shared" si="5"/>
        <v>0</v>
      </c>
      <c r="U12" s="31" t="str">
        <f t="shared" si="6"/>
        <v>- -</v>
      </c>
    </row>
    <row r="13" spans="2:21" ht="18" customHeight="1">
      <c r="B13" s="32" t="str">
        <f>'Data Entry'!A13</f>
        <v>8. Cases Resulting in Probation Placement</v>
      </c>
      <c r="C13" s="33">
        <f>'Data Entry'!C13</f>
        <v>17</v>
      </c>
      <c r="D13" s="34">
        <f>IF(((AND(C70&gt;0,C13&gt;0))),(C13/(C70)),0)</f>
        <v>73.91304347826086</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17</v>
      </c>
      <c r="Q13" s="42">
        <f>(C70*L70)-C13</f>
        <v>6</v>
      </c>
      <c r="R13" s="42">
        <f t="shared" si="3"/>
        <v>23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23</v>
      </c>
      <c r="R14" s="42">
        <f t="shared" si="3"/>
        <v>23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26</v>
      </c>
      <c r="R15" s="42">
        <f t="shared" si="3"/>
        <v>26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1.7000000000000001E-2</v>
      </c>
      <c r="E42" s="56">
        <f>MAX(C42:D42)</f>
        <v>0.83599999999999997</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1.7000000000000001E-2</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1.7000000000000001E-2</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1.7000000000000001E-2</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1.7000000000000001E-2</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Entry'!F6</f>
        <v>12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v>
      </c>
      <c r="P7" s="42">
        <f t="shared" ref="P7:P15" si="4">C7</f>
        <v>3</v>
      </c>
      <c r="Q7" s="42">
        <f>C6-C7</f>
        <v>833</v>
      </c>
      <c r="R7" s="42">
        <f t="shared" ref="R7:R15" si="5">SUM(N7:Q7)</f>
        <v>848</v>
      </c>
      <c r="S7" s="30">
        <f t="shared" ref="S7:S15" si="6">R7*((((N7*Q7)-(O7*P7))^2))</f>
        <v>1099008</v>
      </c>
      <c r="T7" s="30">
        <f t="shared" ref="T7:T15" si="7">(N7+O7)*(P7+Q7)*(N7+P7)*(O7+Q7)</f>
        <v>25431120</v>
      </c>
      <c r="U7" s="31">
        <f t="shared" ref="U7:U15" si="8">IF((S7&gt;0),S7/T7,"- -")</f>
        <v>4.3215084510631066E-2</v>
      </c>
    </row>
    <row r="8" spans="2:21" ht="18" customHeight="1">
      <c r="B8" s="32" t="str">
        <f>'Data Entry'!A8</f>
        <v>3. Refer to Juvenile Court</v>
      </c>
      <c r="C8" s="33">
        <f>'Data Entry'!C8</f>
        <v>34</v>
      </c>
      <c r="D8" s="34">
        <f>IF((AND(C67&gt;0,C8&gt;0)),(C8/C67),0)</f>
        <v>1133.3333333333335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34</v>
      </c>
      <c r="Q8" s="42">
        <f>(C$67*L67)-C8</f>
        <v>-31</v>
      </c>
      <c r="R8" s="42">
        <f t="shared" si="5"/>
        <v>3.0499999999999972</v>
      </c>
      <c r="S8" s="30">
        <f t="shared" si="6"/>
        <v>8.8144999999999936</v>
      </c>
      <c r="T8" s="30">
        <f t="shared" si="7"/>
        <v>-157.845</v>
      </c>
      <c r="U8" s="31">
        <f t="shared" si="8"/>
        <v>-5.5842757135164206E-2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8</v>
      </c>
      <c r="R11" s="42">
        <f t="shared" si="5"/>
        <v>34</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88.461538461538453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1.2E-2</v>
      </c>
      <c r="E42" s="56">
        <f>MAX(C42:D42)</f>
        <v>0.83599999999999997</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1.2E-2</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1.2E-2</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1.2E-2</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1.2E-2</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Entry'!E6</f>
        <v>41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41</v>
      </c>
      <c r="P7" s="42">
        <f t="shared" ref="P7:P15" si="4">C7</f>
        <v>3</v>
      </c>
      <c r="Q7" s="42">
        <f>C6-C7</f>
        <v>833</v>
      </c>
      <c r="R7" s="42">
        <f t="shared" ref="R7:R15" si="5">SUM(N7:Q7)</f>
        <v>877</v>
      </c>
      <c r="S7" s="30">
        <f t="shared" ref="S7:S15" si="6">R7*((((N7*Q7)-(O7*P7))^2))</f>
        <v>13268133</v>
      </c>
      <c r="T7" s="30">
        <f t="shared" ref="T7:T15" si="7">(N7+O7)*(P7+Q7)*(N7+P7)*(O7+Q7)</f>
        <v>89871672</v>
      </c>
      <c r="U7" s="31">
        <f t="shared" ref="U7:U15" si="8">IF((S7&gt;0),S7/T7,"- -")</f>
        <v>0.14763420669418501</v>
      </c>
    </row>
    <row r="8" spans="2:21" ht="18" customHeight="1">
      <c r="B8" s="32" t="str">
        <f>'Data Entry'!A8</f>
        <v>3. Refer to Juvenile Court</v>
      </c>
      <c r="C8" s="33">
        <f>'Data Entry'!C8</f>
        <v>34</v>
      </c>
      <c r="D8" s="34">
        <f>IF((AND(C67&gt;0,C8&gt;0)),(C8/C67),0)</f>
        <v>1133.3333333333335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34</v>
      </c>
      <c r="Q8" s="42">
        <f>(C$67*L67)-C8</f>
        <v>-31</v>
      </c>
      <c r="R8" s="42">
        <f t="shared" si="5"/>
        <v>3.0499999999999972</v>
      </c>
      <c r="S8" s="30">
        <f t="shared" si="6"/>
        <v>8.8144999999999936</v>
      </c>
      <c r="T8" s="30">
        <f t="shared" si="7"/>
        <v>-157.845</v>
      </c>
      <c r="U8" s="31">
        <f t="shared" si="8"/>
        <v>-5.5842757135164206E-2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8</v>
      </c>
      <c r="R11" s="42">
        <f t="shared" si="5"/>
        <v>34</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88.461538461538453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4.1000000000000002E-2</v>
      </c>
      <c r="E42" s="56">
        <f>MAX(C42:D42)</f>
        <v>0.83599999999999997</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4.1000000000000002E-2</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4.1000000000000002E-2</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4.1000000000000002E-2</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4.1000000000000002E-2</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833</v>
      </c>
      <c r="R7" s="42">
        <f t="shared" ref="R7:R15" si="5">SUM(N7:Q7)</f>
        <v>836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1133.3333333333335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-31</v>
      </c>
      <c r="R8" s="42">
        <f t="shared" si="5"/>
        <v>3.0499999999999972</v>
      </c>
      <c r="S8" s="30">
        <f t="shared" si="6"/>
        <v>8.8144999999999936</v>
      </c>
      <c r="T8" s="30">
        <f t="shared" si="7"/>
        <v>-157.845</v>
      </c>
      <c r="U8" s="31">
        <f t="shared" si="8"/>
        <v>-5.5842757135164206E-2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8</v>
      </c>
      <c r="R11" s="42">
        <f t="shared" si="5"/>
        <v>34</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88.461538461538453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0</v>
      </c>
      <c r="E42" s="56">
        <f>MAX(C42:D42)</f>
        <v>0.83599999999999997</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0</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0</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0</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0</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836</v>
      </c>
      <c r="D6" s="34"/>
      <c r="E6" s="33">
        <f>'Data Entry'!H6</f>
        <v>10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3.5885167464114835</v>
      </c>
      <c r="E7" s="33">
        <f>'Data Entry'!H7</f>
        <v>1</v>
      </c>
      <c r="F7" s="34">
        <f>IF((AND($E$7&gt;0,$D$66&gt;0)),($E$7/$D$66),0)</f>
        <v>100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9</v>
      </c>
      <c r="P7" s="42">
        <f t="shared" ref="P7:P15" si="4">C7</f>
        <v>3</v>
      </c>
      <c r="Q7" s="42">
        <f>C6-C7</f>
        <v>833</v>
      </c>
      <c r="R7" s="42">
        <f t="shared" ref="R7:R15" si="5">SUM(N7:Q7)</f>
        <v>846</v>
      </c>
      <c r="S7" s="30">
        <f t="shared" ref="S7:S15" si="6">R7*((((N7*Q7)-(O7*P7))^2))</f>
        <v>549592056</v>
      </c>
      <c r="T7" s="30">
        <f t="shared" ref="T7:T15" si="7">(N7+O7)*(P7+Q7)*(N7+P7)*(O7+Q7)</f>
        <v>28156480</v>
      </c>
      <c r="U7" s="31">
        <f t="shared" ref="U7:U15" si="8">IF((S7&gt;0),S7/T7,"- -")</f>
        <v>19.519203252679311</v>
      </c>
    </row>
    <row r="8" spans="2:21" ht="18" customHeight="1">
      <c r="B8" s="32" t="str">
        <f>'Data Entry'!A8</f>
        <v>3. Refer to Juvenile Court</v>
      </c>
      <c r="C8" s="33">
        <f>'Data Entry'!C8</f>
        <v>34</v>
      </c>
      <c r="D8" s="34">
        <f>IF((AND(C67&gt;0,C8&gt;0)),(C8/C67),0)</f>
        <v>1133.3333333333335</v>
      </c>
      <c r="E8" s="33">
        <f>'Data Entry'!H8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34</v>
      </c>
      <c r="Q8" s="42">
        <f>(C$67*L67)-C8</f>
        <v>-31</v>
      </c>
      <c r="R8" s="42">
        <f t="shared" si="5"/>
        <v>4.0499999999999972</v>
      </c>
      <c r="S8" s="30">
        <f t="shared" si="6"/>
        <v>4330.6244999999981</v>
      </c>
      <c r="T8" s="30">
        <f t="shared" si="7"/>
        <v>-3412.2375000000002</v>
      </c>
      <c r="U8" s="31">
        <f t="shared" si="8"/>
        <v>-1.2691450990735544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34</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76.470588235294116</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26</v>
      </c>
      <c r="Q11" s="42">
        <f>(C$68*L68)-C11</f>
        <v>8</v>
      </c>
      <c r="R11" s="42">
        <f t="shared" si="5"/>
        <v>35</v>
      </c>
      <c r="S11" s="30">
        <f t="shared" si="6"/>
        <v>23660</v>
      </c>
      <c r="T11" s="30">
        <f t="shared" si="7"/>
        <v>7956</v>
      </c>
      <c r="U11" s="31">
        <f t="shared" si="8"/>
        <v>2.9738562091503269</v>
      </c>
    </row>
    <row r="12" spans="2:21" ht="18" customHeight="1">
      <c r="B12" s="32" t="str">
        <f>'Data Entry'!A12</f>
        <v>7. Cases Resulting in Delinquent Findings</v>
      </c>
      <c r="C12" s="33">
        <f>'Data Entry'!C12</f>
        <v>23</v>
      </c>
      <c r="D12" s="34">
        <f>IF(((AND(C69&gt;0,C12&gt;0))),(C12/(C69)),0)</f>
        <v>88.461538461538453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3</v>
      </c>
      <c r="R12" s="42">
        <f t="shared" si="5"/>
        <v>26</v>
      </c>
      <c r="S12" s="30">
        <f t="shared" si="6"/>
        <v>0</v>
      </c>
      <c r="T12" s="30">
        <f t="shared" si="7"/>
        <v>0</v>
      </c>
      <c r="U12" s="31" t="str">
        <f t="shared" si="8"/>
        <v>- -</v>
      </c>
    </row>
    <row r="13" spans="2:21" ht="18" customHeight="1">
      <c r="B13" s="32" t="str">
        <f>'Data Entry'!A13</f>
        <v>8. Cases Resulting in Probation Placement</v>
      </c>
      <c r="C13" s="33">
        <f>'Data Entry'!C13</f>
        <v>17</v>
      </c>
      <c r="D13" s="34">
        <f>IF(((AND(C70&gt;0,C13&gt;0))),(C13/(C70)),0)</f>
        <v>73.91304347826086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17</v>
      </c>
      <c r="Q13" s="42">
        <f>(C70*L70)-C13</f>
        <v>6</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23</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0.83599999999999997</v>
      </c>
      <c r="D42" s="56">
        <f>E6/1000</f>
        <v>0.01</v>
      </c>
      <c r="E42" s="56">
        <f>MAX(C42:D42)</f>
        <v>0.83599999999999997</v>
      </c>
      <c r="G42" s="1" t="str">
        <f>B42</f>
        <v>per 1000 youth</v>
      </c>
      <c r="L42" s="57">
        <v>1000</v>
      </c>
      <c r="M42" s="57"/>
      <c r="R42" s="49"/>
    </row>
    <row r="43" spans="2:18" ht="15" hidden="1" customHeight="1">
      <c r="B43" s="49" t="s">
        <v>87</v>
      </c>
      <c r="C43" s="56">
        <f>C7/100</f>
        <v>0.03</v>
      </c>
      <c r="D43" s="56">
        <f>E7/100</f>
        <v>0.01</v>
      </c>
      <c r="E43" s="56">
        <f>MAX(C43:D43,0)</f>
        <v>0.03</v>
      </c>
      <c r="G43" s="1" t="str">
        <f>B43</f>
        <v>per 100 arrests</v>
      </c>
      <c r="L43" s="57">
        <v>100</v>
      </c>
      <c r="M43" s="57"/>
      <c r="R43" s="49"/>
    </row>
    <row r="44" spans="2:18" ht="15" hidden="1" customHeight="1">
      <c r="B44" s="49" t="s">
        <v>88</v>
      </c>
      <c r="C44" s="56">
        <f>C8/100</f>
        <v>0.34</v>
      </c>
      <c r="D44" s="56">
        <f>E8/100</f>
        <v>0.01</v>
      </c>
      <c r="E44" s="56">
        <f>MAX(C44:D44,0)</f>
        <v>0.34</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0.83599999999999997</v>
      </c>
      <c r="D48" s="56">
        <f>D42</f>
        <v>0.01</v>
      </c>
      <c r="E48" s="56">
        <f>MAX(C48:D48)</f>
        <v>0.83599999999999997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0.01</v>
      </c>
      <c r="E49" s="49">
        <f>MAX(C49:D49)</f>
        <v>0.03</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0.01</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0.83599999999999997</v>
      </c>
      <c r="D54" s="56">
        <f>D48</f>
        <v>0.01</v>
      </c>
      <c r="E54" s="56">
        <f>MAX(C54:D54)</f>
        <v>0.83599999999999997</v>
      </c>
      <c r="G54" s="1" t="str">
        <f>G48</f>
        <v>per 1000 youth</v>
      </c>
      <c r="L54" s="58">
        <f>L48</f>
        <v>1000</v>
      </c>
      <c r="M54" s="58"/>
    </row>
    <row r="55" spans="2:18" ht="15" hidden="1" customHeight="1">
      <c r="B55" s="49" t="str">
        <f t="shared" ref="B55:D56" si="10">IF(($E49&gt;0),B49,B48)</f>
        <v>per 100 arrests</v>
      </c>
      <c r="C55" s="49">
        <f t="shared" si="10"/>
        <v>0.03</v>
      </c>
      <c r="D55" s="49">
        <f t="shared" si="10"/>
        <v>0.01</v>
      </c>
      <c r="E55" s="49">
        <f>MAX(C55:D55)</f>
        <v>0.03</v>
      </c>
      <c r="G55" s="1" t="str">
        <f>G49</f>
        <v>per 100 arrests</v>
      </c>
      <c r="L55" s="58">
        <f>IF(($E49&gt;0),L49,L48)</f>
        <v>100</v>
      </c>
      <c r="M55" s="58"/>
    </row>
    <row r="56" spans="2:18" ht="15" hidden="1" customHeight="1">
      <c r="B56" s="49" t="str">
        <f t="shared" si="10"/>
        <v>per 100 referrals</v>
      </c>
      <c r="C56" s="49">
        <f t="shared" si="10"/>
        <v>0.34</v>
      </c>
      <c r="D56" s="49">
        <f t="shared" si="10"/>
        <v>0.01</v>
      </c>
      <c r="E56" s="49">
        <f>MAX(C56:D56)</f>
        <v>0.34</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0.83599999999999997</v>
      </c>
      <c r="D60" s="56">
        <f>D54</f>
        <v>0.01</v>
      </c>
      <c r="E60" s="56">
        <f>MAX(C60:D60)</f>
        <v>0.83599999999999997</v>
      </c>
      <c r="G60" s="1" t="str">
        <f>G54</f>
        <v>per 1000 youth</v>
      </c>
      <c r="L60" s="58">
        <f>L54</f>
        <v>1000</v>
      </c>
      <c r="M60" s="58"/>
    </row>
    <row r="61" spans="2:18" ht="15" hidden="1" customHeight="1">
      <c r="B61" s="49" t="str">
        <f t="shared" ref="B61:D62" si="11">IF(($E55&gt;0),B55,B54)</f>
        <v>per 100 arrests</v>
      </c>
      <c r="C61" s="49">
        <f t="shared" si="11"/>
        <v>0.03</v>
      </c>
      <c r="D61" s="49">
        <f t="shared" si="11"/>
        <v>0.01</v>
      </c>
      <c r="E61" s="49">
        <f>MAX(C61:D61)</f>
        <v>0.03</v>
      </c>
      <c r="G61" s="1" t="str">
        <f>G55</f>
        <v>per 100 arrests</v>
      </c>
      <c r="L61" s="58">
        <f>IF(($E55&gt;0),L55,L54)</f>
        <v>100</v>
      </c>
      <c r="M61" s="58"/>
    </row>
    <row r="62" spans="2:18" ht="15" hidden="1" customHeight="1">
      <c r="B62" s="49" t="str">
        <f t="shared" si="11"/>
        <v>per 100 referrals</v>
      </c>
      <c r="C62" s="49">
        <f t="shared" si="11"/>
        <v>0.34</v>
      </c>
      <c r="D62" s="49">
        <f t="shared" si="11"/>
        <v>0.01</v>
      </c>
      <c r="E62" s="49">
        <f>MAX(C62:D62)</f>
        <v>0.34</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0.83599999999999997</v>
      </c>
      <c r="D66" s="56">
        <f>D60</f>
        <v>0.01</v>
      </c>
      <c r="E66" s="56">
        <f>MAX(C66:D66)</f>
        <v>0.83599999999999997</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0.01</v>
      </c>
      <c r="E67" s="49">
        <f>MAX(C67:D67)</f>
        <v>0.03</v>
      </c>
      <c r="G67" s="1" t="str">
        <f>G61</f>
        <v>per 100 arrests</v>
      </c>
      <c r="L67" s="58">
        <f>IF(($E61&gt;0),L61,L60)</f>
        <v>100</v>
      </c>
      <c r="M67" s="58">
        <f>IF((B67=G67),1,2)</f>
        <v>1</v>
      </c>
    </row>
    <row r="68" spans="2:13" ht="15" hidden="1" customHeight="1">
      <c r="B68" s="49" t="str">
        <f t="shared" si="12"/>
        <v>per 100 referrals</v>
      </c>
      <c r="C68" s="49">
        <f t="shared" si="12"/>
        <v>0.34</v>
      </c>
      <c r="D68" s="49">
        <f t="shared" si="12"/>
        <v>0.01</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U47JMPN4QEAR-1806752177-30500</_dlc_DocId>
    <_dlc_DocIdUrl xmlns="ac3811b5-0f3e-49e2-ba69-f2ffa0c782af">
      <Url>https://michiganphi.sharepoint.com/sites/CMDMC/_layouts/15/DocIdRedir.aspx?ID=U47JMPN4QEAR-1806752177-30500</Url>
      <Description>U47JMPN4QEAR-1806752177-30500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2D63206-BBE0-41F0-93FA-CAC2F9CB9F0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062BEEB0-8610-483F-A2FB-D4875684FFFB}">
  <ds:schemaRefs>
    <ds:schemaRef ds:uri="http://schemas.microsoft.com/sharepoint/v3/contenttype/forms"/>
  </ds:schemaRefs>
</ds:datastoreItem>
</file>

<file path=customXml/itemProps3.xml><?xml version="1.0" encoding="utf-8"?>
<ds:datastoreItem xmlns:ds="http://schemas.openxmlformats.org/officeDocument/2006/customXml" ds:itemID="{F374B4BA-A157-48CD-8E83-4EE7D6FA4CBB}"/>
</file>

<file path=customXml/itemProps4.xml><?xml version="1.0" encoding="utf-8"?>
<ds:datastoreItem xmlns:ds="http://schemas.openxmlformats.org/officeDocument/2006/customXml" ds:itemID="{8CD4F7A7-2986-4FF5-8D59-1AF11EF43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1f4d2ae4-fb91-4ce3-b555-2b1470972ec6</vt:lpwstr>
  </property>
</Properties>
</file>