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E3CEC592-3788-48AD-B160-692032229398}"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4" l="1"/>
  <c r="F27" i="4"/>
  <c r="F27" i="5"/>
  <c r="M66" i="5"/>
  <c r="F27" i="2"/>
  <c r="M66" i="2"/>
  <c r="F27" i="8"/>
  <c r="M66" i="8"/>
  <c r="F27" i="6"/>
  <c r="M66" i="6"/>
  <c r="F27" i="3"/>
  <c r="M66" i="3"/>
  <c r="M66" i="7"/>
  <c r="F27" i="7"/>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N9" i="3"/>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7" l="1"/>
  <c r="E46" i="3"/>
  <c r="B52" i="3"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64" i="4"/>
  <c r="D56" i="7"/>
  <c r="B56" i="7"/>
  <c r="C56" i="7"/>
  <c r="L56" i="7"/>
  <c r="D61" i="3"/>
  <c r="L61" i="3"/>
  <c r="C61" i="3"/>
  <c r="B61" i="3"/>
  <c r="L58" i="2"/>
  <c r="C58" i="2"/>
  <c r="B58" i="2"/>
  <c r="D58" i="2"/>
  <c r="C66" i="3"/>
  <c r="E60" i="3"/>
  <c r="D57" i="5"/>
  <c r="L57" i="5"/>
  <c r="B57" i="5"/>
  <c r="C57" i="5"/>
  <c r="C66" i="6"/>
  <c r="E60" i="6"/>
  <c r="C66" i="2"/>
  <c r="E60" i="2"/>
  <c r="E56" i="6"/>
  <c r="E55" i="6"/>
  <c r="E55" i="7"/>
  <c r="E58" i="7"/>
  <c r="L64" i="5" l="1"/>
  <c r="L64" i="3"/>
  <c r="B56" i="8"/>
  <c r="L56" i="8"/>
  <c r="D64" i="5"/>
  <c r="C57" i="8"/>
  <c r="C64" i="5"/>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C64" i="8"/>
  <c r="B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Q8" i="13" l="1"/>
  <c r="I7" i="9"/>
  <c r="E64" i="5"/>
  <c r="C63" i="3"/>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L70" i="5" s="1"/>
  <c r="F8" i="5"/>
  <c r="C69" i="7" l="1"/>
  <c r="D12" i="7" s="1"/>
  <c r="D63" i="8"/>
  <c r="D70" i="5"/>
  <c r="F14" i="5" s="1"/>
  <c r="C70" i="5"/>
  <c r="Q13" i="5" s="1"/>
  <c r="B70" i="3"/>
  <c r="M70" i="3" s="1"/>
  <c r="L69" i="7"/>
  <c r="B70" i="5"/>
  <c r="F33" i="5" s="1"/>
  <c r="C63" i="8"/>
  <c r="E63" i="8" s="1"/>
  <c r="D69" i="8" s="1"/>
  <c r="D70" i="6"/>
  <c r="F13" i="6" s="1"/>
  <c r="L63" i="8"/>
  <c r="L70" i="8" s="1"/>
  <c r="E63" i="3"/>
  <c r="C69" i="3" s="1"/>
  <c r="D12" i="3"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O13" i="5"/>
  <c r="O14" i="5"/>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5" i="3" l="1"/>
  <c r="Q12" i="7"/>
  <c r="D15" i="7"/>
  <c r="F34" i="3"/>
  <c r="F33" i="3"/>
  <c r="B69" i="6"/>
  <c r="M69" i="6" s="1"/>
  <c r="D14" i="5"/>
  <c r="E70" i="5"/>
  <c r="Q15" i="7"/>
  <c r="Q14" i="5"/>
  <c r="R14" i="5" s="1"/>
  <c r="S14" i="5" s="1"/>
  <c r="U14" i="5" s="1"/>
  <c r="J14" i="5" s="1"/>
  <c r="M14" i="5" s="1"/>
  <c r="D13" i="5"/>
  <c r="C69" i="6"/>
  <c r="D12" i="6" s="1"/>
  <c r="D69" i="3"/>
  <c r="E69" i="3" s="1"/>
  <c r="M70" i="5"/>
  <c r="L69" i="3"/>
  <c r="Q12" i="3" s="1"/>
  <c r="C70" i="8"/>
  <c r="Q13" i="8" s="1"/>
  <c r="F34" i="5"/>
  <c r="D13" i="3"/>
  <c r="O13" i="6"/>
  <c r="F14" i="6"/>
  <c r="E70" i="6"/>
  <c r="E69" i="7"/>
  <c r="D13" i="6"/>
  <c r="O13" i="3"/>
  <c r="F14" i="3"/>
  <c r="O14" i="6"/>
  <c r="B69" i="3"/>
  <c r="M69" i="3" s="1"/>
  <c r="Q14" i="3"/>
  <c r="F12" i="7"/>
  <c r="O12" i="7"/>
  <c r="D14" i="6"/>
  <c r="O15" i="7"/>
  <c r="Q13" i="3"/>
  <c r="Q13" i="6"/>
  <c r="Q14" i="6"/>
  <c r="E70" i="3"/>
  <c r="O14" i="3"/>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F34" i="8"/>
  <c r="F33" i="8"/>
  <c r="C70" i="2"/>
  <c r="D14" i="2" s="1"/>
  <c r="D70" i="2"/>
  <c r="O14" i="2" s="1"/>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K12" i="7" l="1"/>
  <c r="F35" i="6"/>
  <c r="Q15" i="6"/>
  <c r="D15" i="6"/>
  <c r="Q12" i="6"/>
  <c r="F32" i="6"/>
  <c r="R15" i="7"/>
  <c r="S15" i="7" s="1"/>
  <c r="U15" i="7" s="1"/>
  <c r="J15" i="7" s="1"/>
  <c r="M15" i="7" s="1"/>
  <c r="T14" i="5"/>
  <c r="R12" i="7"/>
  <c r="S12" i="7" s="1"/>
  <c r="K14" i="5"/>
  <c r="T12" i="7"/>
  <c r="R13" i="8"/>
  <c r="S13" i="8" s="1"/>
  <c r="E70" i="8"/>
  <c r="Q14" i="8"/>
  <c r="R14" i="8" s="1"/>
  <c r="S14" i="8" s="1"/>
  <c r="D14" i="8"/>
  <c r="D13" i="8"/>
  <c r="R14" i="3"/>
  <c r="S14" i="3" s="1"/>
  <c r="U14" i="3" s="1"/>
  <c r="J14" i="3" s="1"/>
  <c r="M14" i="3" s="1"/>
  <c r="G14" i="3" s="1"/>
  <c r="I15" i="16" s="1"/>
  <c r="K13" i="3"/>
  <c r="O15" i="3"/>
  <c r="K15" i="7"/>
  <c r="F15" i="3"/>
  <c r="F12" i="3"/>
  <c r="Q15" i="3"/>
  <c r="O12" i="3"/>
  <c r="R12" i="3" s="1"/>
  <c r="S12" i="3" s="1"/>
  <c r="U12" i="3" s="1"/>
  <c r="J12" i="3" s="1"/>
  <c r="O15" i="6"/>
  <c r="T15" i="6" s="1"/>
  <c r="T14" i="6"/>
  <c r="R13" i="6"/>
  <c r="S13" i="6" s="1"/>
  <c r="U13" i="6" s="1"/>
  <c r="J13" i="6" s="1"/>
  <c r="M13" i="6" s="1"/>
  <c r="G13" i="6" s="1"/>
  <c r="G13" i="9" s="1"/>
  <c r="K14" i="6"/>
  <c r="R14" i="6"/>
  <c r="S14" i="6" s="1"/>
  <c r="U14" i="6" s="1"/>
  <c r="J14" i="6" s="1"/>
  <c r="M14" i="6" s="1"/>
  <c r="G14" i="6" s="1"/>
  <c r="M15" i="13" s="1"/>
  <c r="K13" i="6"/>
  <c r="F32" i="3"/>
  <c r="F35" i="3"/>
  <c r="T13" i="6"/>
  <c r="T13" i="8"/>
  <c r="O12" i="6"/>
  <c r="E69" i="6"/>
  <c r="T13" i="3"/>
  <c r="K14" i="3"/>
  <c r="T14" i="3"/>
  <c r="R13" i="3"/>
  <c r="S13" i="3" s="1"/>
  <c r="U13" i="3" s="1"/>
  <c r="J13" i="3" s="1"/>
  <c r="T15" i="7"/>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13" i="3" l="1"/>
  <c r="P14" i="16" s="1"/>
  <c r="K12" i="6"/>
  <c r="E14" i="9"/>
  <c r="L15" i="7"/>
  <c r="S16" i="16" s="1"/>
  <c r="U12" i="7"/>
  <c r="J12" i="7" s="1"/>
  <c r="M12" i="7" s="1"/>
  <c r="L13" i="6"/>
  <c r="R14" i="16" s="1"/>
  <c r="U13" i="8"/>
  <c r="J13" i="8" s="1"/>
  <c r="M13" i="8" s="1"/>
  <c r="G13" i="8" s="1"/>
  <c r="K14" i="16" s="1"/>
  <c r="I15" i="13"/>
  <c r="N30" i="3"/>
  <c r="L14" i="3"/>
  <c r="P15" i="16" s="1"/>
  <c r="K15" i="3"/>
  <c r="T12" i="3"/>
  <c r="T15" i="3"/>
  <c r="M14" i="13"/>
  <c r="R15" i="3"/>
  <c r="S15" i="3" s="1"/>
  <c r="U15" i="3" s="1"/>
  <c r="J15" i="3" s="1"/>
  <c r="M15" i="3" s="1"/>
  <c r="G15" i="3" s="1"/>
  <c r="I16" i="16" s="1"/>
  <c r="K12" i="3"/>
  <c r="R15" i="6"/>
  <c r="S15" i="6" s="1"/>
  <c r="U15" i="6" s="1"/>
  <c r="J15" i="6" s="1"/>
  <c r="M15" i="6" s="1"/>
  <c r="G15" i="6" s="1"/>
  <c r="K15" i="6"/>
  <c r="R12" i="6"/>
  <c r="S12" i="6" s="1"/>
  <c r="U12" i="6" s="1"/>
  <c r="J12" i="6" s="1"/>
  <c r="M12" i="6" s="1"/>
  <c r="G12" i="6" s="1"/>
  <c r="M13" i="3"/>
  <c r="G13" i="3" s="1"/>
  <c r="I14" i="16" s="1"/>
  <c r="U14" i="8"/>
  <c r="J14" i="8" s="1"/>
  <c r="N30" i="8" s="1"/>
  <c r="T12" i="6"/>
  <c r="M13" i="9"/>
  <c r="U14" i="13"/>
  <c r="U12" i="13"/>
  <c r="M11" i="9"/>
  <c r="R12" i="8"/>
  <c r="S12" i="8" s="1"/>
  <c r="T13" i="2"/>
  <c r="U8" i="6"/>
  <c r="J8" i="6" s="1"/>
  <c r="M8" i="6" s="1"/>
  <c r="G8" i="6" s="1"/>
  <c r="M9" i="13" s="1"/>
  <c r="R13" i="2"/>
  <c r="S13" i="2" s="1"/>
  <c r="U13" i="2" s="1"/>
  <c r="J13" i="2" s="1"/>
  <c r="M13" i="2" s="1"/>
  <c r="G13" i="2" s="1"/>
  <c r="E14" i="16" s="1"/>
  <c r="T15" i="8"/>
  <c r="V11" i="13"/>
  <c r="G14" i="9"/>
  <c r="T12" i="8"/>
  <c r="K12" i="8"/>
  <c r="R10" i="7"/>
  <c r="S10" i="7" s="1"/>
  <c r="T11" i="7"/>
  <c r="T10" i="7"/>
  <c r="L8" i="2"/>
  <c r="N9" i="16" s="1"/>
  <c r="K13" i="2"/>
  <c r="R15" i="5"/>
  <c r="S15" i="5" s="1"/>
  <c r="U15" i="5" s="1"/>
  <c r="J15" i="5" s="1"/>
  <c r="M15" i="5" s="1"/>
  <c r="K11" i="7"/>
  <c r="K15" i="8"/>
  <c r="T9" i="7"/>
  <c r="N10" i="9"/>
  <c r="N30" i="6"/>
  <c r="R11" i="7"/>
  <c r="S11" i="7" s="1"/>
  <c r="L14" i="6"/>
  <c r="R15" i="16" s="1"/>
  <c r="K12" i="5"/>
  <c r="L12" i="5" s="1"/>
  <c r="Q13" i="16" s="1"/>
  <c r="T12" i="5"/>
  <c r="K10" i="7"/>
  <c r="R14" i="2"/>
  <c r="S14" i="2" s="1"/>
  <c r="U14" i="2" s="1"/>
  <c r="J14" i="2" s="1"/>
  <c r="M14" i="2" s="1"/>
  <c r="G14" i="2" s="1"/>
  <c r="E15" i="16" s="1"/>
  <c r="D13" i="9"/>
  <c r="G14" i="13"/>
  <c r="K9" i="7"/>
  <c r="T14" i="2"/>
  <c r="V12" i="13"/>
  <c r="U10" i="13"/>
  <c r="N11" i="9"/>
  <c r="T15" i="5"/>
  <c r="W14" i="13"/>
  <c r="L13" i="7"/>
  <c r="S14" i="16" s="1"/>
  <c r="M9" i="3"/>
  <c r="G9" i="3" s="1"/>
  <c r="I10" i="13" s="1"/>
  <c r="G12" i="13"/>
  <c r="G12" i="16"/>
  <c r="N9" i="9"/>
  <c r="P10" i="16"/>
  <c r="M14" i="7"/>
  <c r="N30" i="7"/>
  <c r="L14" i="7"/>
  <c r="S15" i="16" s="1"/>
  <c r="L8" i="7"/>
  <c r="S9" i="16" s="1"/>
  <c r="O13" i="9"/>
  <c r="M9" i="9"/>
  <c r="M10" i="9"/>
  <c r="O14" i="9"/>
  <c r="V10" i="13"/>
  <c r="W15" i="13"/>
  <c r="U12" i="2"/>
  <c r="J12" i="2" s="1"/>
  <c r="L12" i="2" s="1"/>
  <c r="N13" i="16" s="1"/>
  <c r="D11"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Q15" i="9" l="1"/>
  <c r="V14" i="13"/>
  <c r="N14" i="9"/>
  <c r="V15" i="13"/>
  <c r="N13" i="9"/>
  <c r="P13" i="9"/>
  <c r="L12" i="7"/>
  <c r="S13" i="16" s="1"/>
  <c r="X14" i="13"/>
  <c r="U11" i="7"/>
  <c r="J11" i="7" s="1"/>
  <c r="L11" i="7" s="1"/>
  <c r="S12" i="16" s="1"/>
  <c r="I16" i="13"/>
  <c r="L15" i="3"/>
  <c r="P16" i="16" s="1"/>
  <c r="Q14" i="13"/>
  <c r="L13" i="8"/>
  <c r="T14" i="16" s="1"/>
  <c r="I13" i="9"/>
  <c r="U12" i="8"/>
  <c r="J12" i="8" s="1"/>
  <c r="M12" i="8" s="1"/>
  <c r="G12" i="8" s="1"/>
  <c r="K13" i="16" s="1"/>
  <c r="U10" i="7"/>
  <c r="J10" i="7" s="1"/>
  <c r="L10" i="7" s="1"/>
  <c r="S11" i="16" s="1"/>
  <c r="E15" i="9"/>
  <c r="L15" i="6"/>
  <c r="R16" i="16" s="1"/>
  <c r="E13" i="9"/>
  <c r="I14" i="13"/>
  <c r="L12" i="6"/>
  <c r="R13" i="16" s="1"/>
  <c r="M14" i="8"/>
  <c r="G14" i="8" s="1"/>
  <c r="K15" i="16" s="1"/>
  <c r="L14" i="8"/>
  <c r="T15" i="16" s="1"/>
  <c r="L8" i="6"/>
  <c r="R9" i="16" s="1"/>
  <c r="L15" i="5"/>
  <c r="Q16" i="16" s="1"/>
  <c r="T9" i="13"/>
  <c r="L8" i="9"/>
  <c r="X15" i="13"/>
  <c r="P14" i="9"/>
  <c r="G8" i="9"/>
  <c r="Q14" i="9"/>
  <c r="Y15" i="13"/>
  <c r="Y14" i="13"/>
  <c r="E9" i="13"/>
  <c r="Q13" i="9"/>
  <c r="L10" i="2"/>
  <c r="N11" i="16" s="1"/>
  <c r="L11" i="6"/>
  <c r="R12" i="16" s="1"/>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M11" i="7" l="1"/>
  <c r="Q12" i="9"/>
  <c r="Y13" i="13"/>
  <c r="V16" i="13"/>
  <c r="M10" i="7"/>
  <c r="N15" i="9"/>
  <c r="X16" i="13"/>
  <c r="L12" i="8"/>
  <c r="T13" i="16" s="1"/>
  <c r="R13" i="9"/>
  <c r="Z14" i="13"/>
  <c r="P15" i="9"/>
  <c r="R14" i="9"/>
  <c r="P12" i="9"/>
  <c r="X13" i="13"/>
  <c r="I14" i="9"/>
  <c r="Q15" i="13"/>
  <c r="Z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Z13" i="13" l="1"/>
  <c r="R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<sst xmlns="http://schemas.openxmlformats.org/spreadsheetml/2006/main" count="654" uniqueCount="141">
  <si>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</si>
  <si>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</si>
  <si>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</si>
  <si>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</si>
  <si>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</si>
  <si>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</si>
  <si>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</si>
  <si>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</si>
  <si>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</si>
  <si>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</si>
  <si>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</si>
  <si>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</si>
  <si>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</si>
  <si>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</si>
  <si>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</si>
  <si>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</si>
  <si>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</si>
  <si>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</si>
  <si>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</si>
  <si>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</si>
  <si>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</si>
  <si>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</si>
  <si>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</si>
  <si>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</si>
  <si>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</si>
  <si>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</si>
  <si>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</si>
  <si>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</si>
  <si>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</si>
  <si>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</si>
  <si>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</si>
  <si>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</si>
  <si>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</si>
  <si>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</si>
  <si>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</si>
  <si>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</si>
  <si>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</si>
  <si>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</si>
  <si>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</si>
  <si>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</si>
  <si>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</si>
  <si>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</si>
  <si>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</si>
  <si>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</si>
  <si>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</si>
  <si>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</si>
  <si>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</si>
  <si>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</si>
  <si>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</si>
  <si>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</si>
  <si>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</si>
  <si>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</si>
  <si>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</si>
  <si>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</si>
  <si>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</si>
  <si>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</si>
  <si>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</si>
  <si>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</si>
  <si>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</si>
  <si>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</si>
  <si>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</si>
  <si>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</si>
  <si>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</si>
  <si>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</si>
  <si>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</si>
  <si>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</si>
  <si>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</si>
  <si>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</si>
  <si>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</si>
  <si>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</si>
  <si>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</si>
  <si>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</si>
  <si>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</si>
  <si>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</si>
  <si>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</si>
  <si>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</si>
  <si>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</si>
  <si>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</si>
  <si>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</si>
  <si>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</si>
  <si>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</si>
  <si>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</si>
  <si>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</si>
  <si>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</si>
  <si>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</si>
  <si>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</si>
  <si>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</si>
  <si>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</si>
  <si>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</si>
  <si>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</si>
  <si>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</si>
  <si>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</si>
  <si>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</si>
  <si>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</si>
  <si>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</si>
  <si>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</si>
  <si>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</si>
  <si>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</si>
  <si>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</si>
  <si>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</si>
  <si>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</si>
  <si>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</si>
  <si>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</si>
  <si>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</si>
  <si>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</si>
  <si>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</si>
  <si>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</si>
  <si>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</si>
  <si>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</si>
  <si>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</si>
  <si>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</si>
  <si>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</si>
  <si>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</si>
  <si>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</si>
  <si>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</si>
  <si>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</si>
  <si>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</si>
  <si>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</si>
  <si>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</si>
  <si>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</si>
  <si>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</si>
  <si>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</si>
  <si>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</si>
  <si>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</si>
  <si>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</si>
  <si>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</si>
  <si>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</si>
  <si>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</si>
  <si>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</si>
  <si>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</si>
  <si>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</si>
  <si>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</si>
  <si>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</si>
  <si>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</si>
  <si>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</si>
  <si>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</si>
  <si>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</si>
  <si>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Presque Isle</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</si>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</sst>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Presque Isle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N=14</c:v>
                </c:pt>
                <c:pt idx="3">
                  <c:v>Petitions, total N=16</c:v>
                </c:pt>
                <c:pt idx="4">
                  <c:v>Detentions, total N=0</c:v>
                </c:pt>
                <c:pt idx="5">
                  <c:v>Referrals, total N=19</c:v>
                </c:pt>
                <c:pt idx="6">
                  <c:v>Arrests, total N=3</c:v>
                </c:pt>
                <c:pt idx="7">
                  <c:v>Population, total N=794</c:v>
                </c:pt>
              </c:strCache>
            </c:strRef>
          </c:cat>
          <c:val>
            <c:numRef>
              <c:f>'Stacked 100%'!$B$7:$B$14</c:f>
              <c:numCache>
                <c:formatCode>0%</c:formatCode>
                <c:ptCount val="8"/>
                <c:pt idx="0">
                  <c:v>0</c:v>
                </c:pt>
                <c:pt idx="1">
                  <c:v>0</c:v>
                </c:pt>
                <c:pt idx="2">
                  <c:v>0</c:v>
                </c:pt>
                <c:pt idx="3">
                  <c:v>0</c:v>
                </c:pt>
                <c:pt idx="4">
                  <c:v>0</c:v>
                </c:pt>
                <c:pt idx="5">
                  <c:v>0</c:v>
                </c:pt>
                <c:pt idx="6">
                  <c:v>0</c:v>
                </c:pt>
                <c:pt idx="7">
                  <c:v>2.0151133501259445E-2</c:v>
                </c:pt>
              </c:numCache>
            </c:numRef>
          </c:val>
          <c:extLst>
            <c:ext xmlns:c16="http://schemas.microsoft.com/office/drawing/2014/chart" uri="{C3380CC4-5D6E-409C-BE32-E72D297353CC}">
              <c16:uniqueId val="{00000000-9E8F-46B6-90B5-6D8DD5431127}"/>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N=14</c:v>
                </c:pt>
                <c:pt idx="3">
                  <c:v>Petitions, total N=16</c:v>
                </c:pt>
                <c:pt idx="4">
                  <c:v>Detentions, total N=0</c:v>
                </c:pt>
                <c:pt idx="5">
                  <c:v>Referrals, total N=19</c:v>
                </c:pt>
                <c:pt idx="6">
                  <c:v>Arrests, total N=3</c:v>
                </c:pt>
                <c:pt idx="7">
                  <c:v>Population, total N=794</c:v>
                </c:pt>
              </c:strCache>
            </c:strRef>
          </c:cat>
          <c:val>
            <c:numRef>
              <c:f>'Stacked 100%'!$C$7:$C$14</c:f>
              <c:numCache>
                <c:formatCode>0%</c:formatCode>
                <c:ptCount val="8"/>
                <c:pt idx="0">
                  <c:v>0</c:v>
                </c:pt>
                <c:pt idx="1">
                  <c:v>0</c:v>
                </c:pt>
                <c:pt idx="2">
                  <c:v>0</c:v>
                </c:pt>
                <c:pt idx="3">
                  <c:v>0</c:v>
                </c:pt>
                <c:pt idx="4">
                  <c:v>0</c:v>
                </c:pt>
                <c:pt idx="5">
                  <c:v>0</c:v>
                </c:pt>
                <c:pt idx="6">
                  <c:v>0</c:v>
                </c:pt>
                <c:pt idx="7">
                  <c:v>4.7858942065491183E-2</c:v>
                </c:pt>
              </c:numCache>
            </c:numRef>
          </c:val>
          <c:extLst>
            <c:ext xmlns:c16="http://schemas.microsoft.com/office/drawing/2014/chart" uri="{C3380CC4-5D6E-409C-BE32-E72D297353CC}">
              <c16:uniqueId val="{00000001-9E8F-46B6-90B5-6D8DD5431127}"/>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N=14</c:v>
                </c:pt>
                <c:pt idx="3">
                  <c:v>Petitions, total N=16</c:v>
                </c:pt>
                <c:pt idx="4">
                  <c:v>Detentions, total N=0</c:v>
                </c:pt>
                <c:pt idx="5">
                  <c:v>Referrals, total N=19</c:v>
                </c:pt>
                <c:pt idx="6">
                  <c:v>Arrests, total N=3</c:v>
                </c:pt>
                <c:pt idx="7">
                  <c:v>Population, total N=794</c:v>
                </c:pt>
              </c:strCache>
            </c:strRef>
          </c:cat>
          <c:val>
            <c:numRef>
              <c:f>'Stacked 100%'!$H$7:$H$14</c:f>
              <c:numCache>
                <c:formatCode>0%</c:formatCode>
                <c:ptCount val="8"/>
                <c:pt idx="0">
                  <c:v>0</c:v>
                </c:pt>
                <c:pt idx="1">
                  <c:v>0</c:v>
                </c:pt>
                <c:pt idx="2">
                  <c:v>5.1020408163265302E-3</c:v>
                </c:pt>
                <c:pt idx="3">
                  <c:v>7.8125E-3</c:v>
                </c:pt>
                <c:pt idx="4">
                  <c:v>0</c:v>
                </c:pt>
                <c:pt idx="5">
                  <c:v>5.5401662049861496E-3</c:v>
                </c:pt>
                <c:pt idx="6">
                  <c:v>0</c:v>
                </c:pt>
                <c:pt idx="7">
                  <c:v>3.3310280504285928E-5</c:v>
                </c:pt>
              </c:numCache>
            </c:numRef>
          </c:val>
          <c:extLst>
            <c:ext xmlns:c16="http://schemas.microsoft.com/office/drawing/2014/chart" uri="{C3380CC4-5D6E-409C-BE32-E72D297353CC}">
              <c16:uniqueId val="{00000002-9E8F-46B6-90B5-6D8DD5431127}"/>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N=14</c:v>
                </c:pt>
                <c:pt idx="3">
                  <c:v>Petitions, total N=16</c:v>
                </c:pt>
                <c:pt idx="4">
                  <c:v>Detentions, total N=0</c:v>
                </c:pt>
                <c:pt idx="5">
                  <c:v>Referrals, total N=19</c:v>
                </c:pt>
                <c:pt idx="6">
                  <c:v>Arrests, total N=3</c:v>
                </c:pt>
                <c:pt idx="7">
                  <c:v>Population, total N=794</c:v>
                </c:pt>
              </c:strCache>
            </c:strRef>
          </c:cat>
          <c:val>
            <c:numRef>
              <c:f>'Stacked 100%'!$I$7:$I$14</c:f>
              <c:numCache>
                <c:formatCode>0%</c:formatCode>
                <c:ptCount val="8"/>
                <c:pt idx="0">
                  <c:v>0</c:v>
                </c:pt>
                <c:pt idx="1">
                  <c:v>0</c:v>
                </c:pt>
                <c:pt idx="2">
                  <c:v>0.7142857142857143</c:v>
                </c:pt>
                <c:pt idx="3">
                  <c:v>0.6875</c:v>
                </c:pt>
                <c:pt idx="4">
                  <c:v>0</c:v>
                </c:pt>
                <c:pt idx="5">
                  <c:v>0.68421052631578949</c:v>
                </c:pt>
                <c:pt idx="6">
                  <c:v>0.66666666666666663</c:v>
                </c:pt>
                <c:pt idx="7">
                  <c:v>0.90554156171284639</c:v>
                </c:pt>
              </c:numCache>
            </c:numRef>
          </c:val>
          <c:extLst>
            <c:ext xmlns:c16="http://schemas.microsoft.com/office/drawing/2014/chart" uri="{C3380CC4-5D6E-409C-BE32-E72D297353CC}">
              <c16:uniqueId val="{00000003-9E8F-46B6-90B5-6D8DD5431127}"/>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N=14</c:v>
                </c:pt>
                <c:pt idx="3">
                  <c:v>Petitions, total N=16</c:v>
                </c:pt>
                <c:pt idx="4">
                  <c:v>Detentions, total N=0</c:v>
                </c:pt>
                <c:pt idx="5">
                  <c:v>Referrals, total N=19</c:v>
                </c:pt>
                <c:pt idx="6">
                  <c:v>Arrests, total N=3</c:v>
                </c:pt>
                <c:pt idx="7">
                  <c:v>Population, total N=794</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9E8F-46B6-90B5-6D8DD5431127}"/>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I14" sqref="I14"/>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794</v>
      </c>
      <c r="C6" s="11">
        <v>719</v>
      </c>
      <c r="D6" s="11">
        <v>16</v>
      </c>
      <c r="E6" s="11">
        <v>38</v>
      </c>
      <c r="F6" s="11">
        <v>11</v>
      </c>
      <c r="G6" s="11"/>
      <c r="H6" s="11">
        <v>10</v>
      </c>
      <c r="I6" s="11"/>
      <c r="J6" s="91">
        <f>SUM(D6:I6)</f>
        <v>75</v>
      </c>
      <c r="K6" s="92"/>
    </row>
    <row r="7" spans="1:11" ht="15.75" customHeight="1" thickBot="1" x14ac:dyDescent="0.25">
      <c r="A7" s="10" t="s">
        <v>8</v>
      </c>
      <c r="B7" s="11">
        <f t="shared" ref="B7:B15" si="0">SUM(C7:I7)+K7</f>
        <v>3</v>
      </c>
      <c r="C7" s="11">
        <v>2</v>
      </c>
      <c r="D7" s="11"/>
      <c r="E7" s="11"/>
      <c r="F7" s="11"/>
      <c r="G7" s="11"/>
      <c r="H7" s="11"/>
      <c r="I7" s="11"/>
      <c r="J7" s="91">
        <f t="shared" ref="J7:J15" si="1">SUM(D7:I7)</f>
        <v>0</v>
      </c>
      <c r="K7" s="92">
        <v>1</v>
      </c>
    </row>
    <row r="8" spans="1:11" ht="15.75" customHeight="1" thickBot="1" x14ac:dyDescent="0.25">
      <c r="A8" s="10" t="s">
        <v>9</v>
      </c>
      <c r="B8" s="11">
        <f t="shared" si="0"/>
        <v>19</v>
      </c>
      <c r="C8" s="11">
        <v>13</v>
      </c>
      <c r="D8" s="11"/>
      <c r="E8" s="11"/>
      <c r="F8" s="11"/>
      <c r="G8" s="11"/>
      <c r="H8" s="11"/>
      <c r="I8" s="11">
        <v>2</v>
      </c>
      <c r="J8" s="91">
        <f t="shared" si="1"/>
        <v>2</v>
      </c>
      <c r="K8" s="92">
        <v>4</v>
      </c>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16</v>
      </c>
      <c r="C11" s="11">
        <v>11</v>
      </c>
      <c r="D11" s="11"/>
      <c r="E11" s="11"/>
      <c r="F11" s="11"/>
      <c r="G11" s="11"/>
      <c r="H11" s="11"/>
      <c r="I11" s="11">
        <v>2</v>
      </c>
      <c r="J11" s="91">
        <f t="shared" si="1"/>
        <v>2</v>
      </c>
      <c r="K11" s="92">
        <v>3</v>
      </c>
    </row>
    <row r="12" spans="1:11" ht="15.75" customHeight="1" thickBot="1" x14ac:dyDescent="0.25">
      <c r="A12" s="10" t="s">
        <v>13</v>
      </c>
      <c r="B12" s="11">
        <f t="shared" si="0"/>
        <v>14</v>
      </c>
      <c r="C12" s="11">
        <v>10</v>
      </c>
      <c r="D12" s="11"/>
      <c r="E12" s="11"/>
      <c r="F12" s="11"/>
      <c r="G12" s="11"/>
      <c r="H12" s="11"/>
      <c r="I12" s="11">
        <v>1</v>
      </c>
      <c r="J12" s="91">
        <f t="shared" si="1"/>
        <v>1</v>
      </c>
      <c r="K12" s="92">
        <v>3</v>
      </c>
    </row>
    <row r="13" spans="1:11" ht="15.75" customHeight="1" thickBot="1" x14ac:dyDescent="0.25">
      <c r="A13" s="10" t="s">
        <v>133</v>
      </c>
      <c r="B13" s="11">
        <f t="shared" si="0"/>
        <v>7</v>
      </c>
      <c r="C13" s="11">
        <v>4</v>
      </c>
      <c r="D13" s="11"/>
      <c r="E13" s="11"/>
      <c r="F13" s="11"/>
      <c r="G13" s="11"/>
      <c r="H13" s="11"/>
      <c r="I13" s="11">
        <v>1</v>
      </c>
      <c r="J13" s="91">
        <f t="shared" si="1"/>
        <v>1</v>
      </c>
      <c r="K13" s="92">
        <v>2</v>
      </c>
    </row>
    <row r="14" spans="1:11" ht="26.25" customHeight="1" thickBot="1" x14ac:dyDescent="0.25">
      <c r="A14" s="10" t="s">
        <v>123</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Presque Isle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719</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2.781641168289291</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v>
      </c>
      <c r="Q7" s="42">
        <f>C6-C7</f>
        <v>717</v>
      </c>
      <c r="R7" s="42">
        <f t="shared" ref="R7:R15" si="5">SUM(N7:Q7)</f>
        <v>719</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13</v>
      </c>
      <c r="D8" s="34">
        <f>IF((AND(C67&gt;0,C8&gt;0)),(C8/C67),0)</f>
        <v>650</v>
      </c>
      <c r="E8" s="33">
        <f>'Data Entry'!I8</f>
        <v>2</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2</v>
      </c>
      <c r="O8" s="42">
        <f>((D67*L67)-E8)+0.05</f>
        <v>-1.95</v>
      </c>
      <c r="P8" s="42">
        <f t="shared" si="4"/>
        <v>13</v>
      </c>
      <c r="Q8" s="42">
        <f>(C$67*L67)-C8</f>
        <v>-11</v>
      </c>
      <c r="R8" s="42">
        <f t="shared" si="5"/>
        <v>2.0500000000000007</v>
      </c>
      <c r="S8" s="30">
        <f t="shared" si="6"/>
        <v>23.00612499999998</v>
      </c>
      <c r="T8" s="30">
        <f t="shared" si="7"/>
        <v>-19.425000000000015</v>
      </c>
      <c r="U8" s="31">
        <f t="shared" si="8"/>
        <v>-1.1843564993564974</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v>
      </c>
      <c r="P9" s="42">
        <f t="shared" si="4"/>
        <v>0</v>
      </c>
      <c r="Q9" s="42">
        <f>(C$68*L68)-C9</f>
        <v>13</v>
      </c>
      <c r="R9" s="42">
        <f t="shared" si="5"/>
        <v>15</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v>
      </c>
      <c r="P10" s="42">
        <f t="shared" si="4"/>
        <v>0</v>
      </c>
      <c r="Q10" s="42">
        <f>(C$68*L68)-C10</f>
        <v>13</v>
      </c>
      <c r="R10" s="42">
        <f t="shared" si="5"/>
        <v>15</v>
      </c>
      <c r="S10" s="30">
        <f t="shared" si="6"/>
        <v>0</v>
      </c>
      <c r="T10" s="30">
        <f t="shared" si="7"/>
        <v>0</v>
      </c>
      <c r="U10" s="31" t="str">
        <f t="shared" si="8"/>
        <v>- -</v>
      </c>
    </row>
    <row r="11" spans="2:21" ht="18" customHeight="1" x14ac:dyDescent="0.25">
      <c r="B11" s="32" t="str">
        <f>'Data Entry'!A11</f>
        <v>6. Cases Petitioned (Charge Filed)</v>
      </c>
      <c r="C11" s="33">
        <f>'Data Entry'!C11</f>
        <v>11</v>
      </c>
      <c r="D11" s="34">
        <f>IF(((AND(C68&gt;0,C11&gt;0))),(C11/(C68)),0)</f>
        <v>84.615384615384613</v>
      </c>
      <c r="E11" s="33">
        <f>'Data Entry'!I11</f>
        <v>2</v>
      </c>
      <c r="F11" s="34">
        <f>IF(((AND($E$11&gt;0,$D$68&gt;0))),($E$11/($D$68)),0)</f>
        <v>100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2</v>
      </c>
      <c r="O11" s="42">
        <f>(D$68*L68)-E11</f>
        <v>0</v>
      </c>
      <c r="P11" s="42">
        <f t="shared" si="4"/>
        <v>11</v>
      </c>
      <c r="Q11" s="42">
        <f>(C$68*L68)-C11</f>
        <v>2</v>
      </c>
      <c r="R11" s="42">
        <f t="shared" si="5"/>
        <v>15</v>
      </c>
      <c r="S11" s="30">
        <f t="shared" si="6"/>
        <v>240</v>
      </c>
      <c r="T11" s="30">
        <f t="shared" si="7"/>
        <v>676</v>
      </c>
      <c r="U11" s="31">
        <f t="shared" si="8"/>
        <v>0.35502958579881655</v>
      </c>
    </row>
    <row r="12" spans="2:21" ht="18" customHeight="1" x14ac:dyDescent="0.25">
      <c r="B12" s="32" t="str">
        <f>'Data Entry'!A12</f>
        <v>7. Cases Resulting in Delinquent Findings</v>
      </c>
      <c r="C12" s="33">
        <f>'Data Entry'!C12</f>
        <v>10</v>
      </c>
      <c r="D12" s="34">
        <f>IF(((AND(C69&gt;0,C12&gt;0))),(C12/(C69)),0)</f>
        <v>90.909090909090907</v>
      </c>
      <c r="E12" s="33">
        <f>'Data Entry'!I12</f>
        <v>1</v>
      </c>
      <c r="F12" s="34">
        <f>IF(((AND($D$69&gt;0,$E$12&gt;0))),(E12/(D69)),0)</f>
        <v>50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v>
      </c>
      <c r="O12" s="42">
        <f>(D69*L69)-E12</f>
        <v>1</v>
      </c>
      <c r="P12" s="42">
        <f t="shared" si="4"/>
        <v>10</v>
      </c>
      <c r="Q12" s="42">
        <f>(C69*L69)-C12</f>
        <v>1</v>
      </c>
      <c r="R12" s="42">
        <f t="shared" si="5"/>
        <v>13</v>
      </c>
      <c r="S12" s="30">
        <f t="shared" si="6"/>
        <v>1053</v>
      </c>
      <c r="T12" s="30">
        <f t="shared" si="7"/>
        <v>484</v>
      </c>
      <c r="U12" s="31">
        <f t="shared" si="8"/>
        <v>2.1756198347107438</v>
      </c>
    </row>
    <row r="13" spans="2:21" ht="18" customHeight="1" x14ac:dyDescent="0.25">
      <c r="B13" s="32" t="str">
        <f>'Data Entry'!A13</f>
        <v>8. Cases Resulting in Probation Placement</v>
      </c>
      <c r="C13" s="33">
        <f>'Data Entry'!C13</f>
        <v>4</v>
      </c>
      <c r="D13" s="34">
        <f>IF(((AND(C70&gt;0,C13&gt;0))),(C13/(C70)),0)</f>
        <v>40</v>
      </c>
      <c r="E13" s="33">
        <f>'Data Entry'!I13</f>
        <v>1</v>
      </c>
      <c r="F13" s="34">
        <f>IF(((AND($D$70&gt;0,$E$13&gt;0))),($E$13/($D$70)),0)</f>
        <v>100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1</v>
      </c>
      <c r="O13" s="42">
        <f>(D70*L70)-E13</f>
        <v>0</v>
      </c>
      <c r="P13" s="42">
        <f t="shared" si="4"/>
        <v>4</v>
      </c>
      <c r="Q13" s="42">
        <f>(C70*L70)-C13</f>
        <v>6</v>
      </c>
      <c r="R13" s="42">
        <f t="shared" si="5"/>
        <v>11</v>
      </c>
      <c r="S13" s="30">
        <f t="shared" si="6"/>
        <v>396</v>
      </c>
      <c r="T13" s="30">
        <f t="shared" si="7"/>
        <v>300</v>
      </c>
      <c r="U13" s="31">
        <f t="shared" si="8"/>
        <v>1.32</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10</v>
      </c>
      <c r="R14" s="42">
        <f t="shared" si="5"/>
        <v>11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11</v>
      </c>
      <c r="R15" s="42">
        <f t="shared" si="5"/>
        <v>13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0.71899999999999997</v>
      </c>
      <c r="D42" s="56">
        <f>E6/1000</f>
        <v>0</v>
      </c>
      <c r="E42" s="56">
        <f>MAX(C42:D42)</f>
        <v>0.71899999999999997</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0.13</v>
      </c>
      <c r="D44" s="56">
        <f>E8/100</f>
        <v>0.02</v>
      </c>
      <c r="E44" s="56">
        <f>MAX(C44:D44,0)</f>
        <v>0.13</v>
      </c>
      <c r="G44" s="1" t="str">
        <f>B44</f>
        <v>per 100 referrals</v>
      </c>
      <c r="L44" s="57">
        <v>100</v>
      </c>
      <c r="M44" s="57"/>
      <c r="R44" s="49"/>
    </row>
    <row r="45" spans="2:18" ht="15" hidden="1" customHeight="1" x14ac:dyDescent="0.25">
      <c r="B45" s="49" t="s">
        <v>89</v>
      </c>
      <c r="C45" s="49">
        <f>C11/100</f>
        <v>0.11</v>
      </c>
      <c r="D45" s="49">
        <f>E11/100</f>
        <v>0.02</v>
      </c>
      <c r="E45" s="56">
        <f>MAX(C45:D45,0)</f>
        <v>0.11</v>
      </c>
      <c r="G45" s="1" t="str">
        <f>B45</f>
        <v>per 100 youth petitioned</v>
      </c>
      <c r="L45" s="57">
        <v>100</v>
      </c>
      <c r="M45" s="57"/>
      <c r="R45" s="49"/>
    </row>
    <row r="46" spans="2:18" ht="15" hidden="1" customHeight="1" x14ac:dyDescent="0.25">
      <c r="B46" s="49" t="s">
        <v>90</v>
      </c>
      <c r="C46" s="49">
        <f>C12/100</f>
        <v>0.1</v>
      </c>
      <c r="D46" s="49">
        <f>E12/100</f>
        <v>0.01</v>
      </c>
      <c r="E46" s="56">
        <f>MAX(C46:D46)</f>
        <v>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0.71899999999999997</v>
      </c>
      <c r="D48" s="56">
        <f>D42</f>
        <v>0</v>
      </c>
      <c r="E48" s="56">
        <f>MAX(C48:D48)</f>
        <v>0.71899999999999997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0.13</v>
      </c>
      <c r="D50" s="49">
        <f t="shared" si="9"/>
        <v>0.02</v>
      </c>
      <c r="E50" s="49">
        <f>MAX(C50:D50)</f>
        <v>0.13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0.11</v>
      </c>
      <c r="D51" s="49">
        <f>IF(($E45&gt;0),D45,D44)</f>
        <v>0.02</v>
      </c>
      <c r="E51" s="49">
        <f>MAX(C51:D51)</f>
        <v>0.11</v>
      </c>
      <c r="G51" s="1" t="str">
        <f>G45</f>
        <v>per 100 youth petitioned</v>
      </c>
      <c r="L51" s="58">
        <f>IF(($E45&gt;0),L45,L44)</f>
        <v>100</v>
      </c>
      <c r="M51" s="58"/>
    </row>
    <row r="52" spans="2:18" ht="15" hidden="1" customHeight="1" x14ac:dyDescent="0.25">
      <c r="B52" s="49" t="str">
        <f>IF(($E46&gt;0),B46,B45)</f>
        <v>per 100 youth found delinquent</v>
      </c>
      <c r="C52" s="49">
        <f>IF(($E46&gt;0),C46,C45)</f>
        <v>0.1</v>
      </c>
      <c r="D52" s="49">
        <f>IF(($E46&gt;0),D46,D45)</f>
        <v>0.01</v>
      </c>
      <c r="E52" s="56">
        <f>MAX(C52:D52)</f>
        <v>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0.71899999999999997</v>
      </c>
      <c r="D54" s="56">
        <f>D48</f>
        <v>0</v>
      </c>
      <c r="E54" s="56">
        <f>MAX(C54:D54)</f>
        <v>0.71899999999999997</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referrals</v>
      </c>
      <c r="C56" s="49">
        <f t="shared" si="10"/>
        <v>0.13</v>
      </c>
      <c r="D56" s="49">
        <f t="shared" si="10"/>
        <v>0.02</v>
      </c>
      <c r="E56" s="49">
        <f>MAX(C56:D56)</f>
        <v>0.13</v>
      </c>
      <c r="G56" s="1" t="str">
        <f>G50</f>
        <v>per 100 referrals</v>
      </c>
      <c r="L56" s="58">
        <f>IF(($E50&gt;0),L50,L49)</f>
        <v>100</v>
      </c>
      <c r="M56" s="58"/>
    </row>
    <row r="57" spans="2:18" ht="15" hidden="1" customHeight="1" x14ac:dyDescent="0.25">
      <c r="B57" s="49" t="str">
        <f>IF(($E51&gt;0),B51,B49)</f>
        <v>per 100 youth petitioned</v>
      </c>
      <c r="C57" s="49">
        <f>IF(($E51&gt;0),C51,C50)</f>
        <v>0.11</v>
      </c>
      <c r="D57" s="49">
        <f>IF(($E51&gt;0),D51,D50)</f>
        <v>0.02</v>
      </c>
      <c r="E57" s="49">
        <f>MAX(C57:D57)</f>
        <v>0.11</v>
      </c>
      <c r="G57" s="1" t="str">
        <f>G51</f>
        <v>per 100 youth petitioned</v>
      </c>
      <c r="L57" s="58">
        <f>IF(($E51&gt;0),L51,L50)</f>
        <v>100</v>
      </c>
      <c r="M57" s="58"/>
    </row>
    <row r="58" spans="2:18" ht="15" hidden="1" customHeight="1" x14ac:dyDescent="0.25">
      <c r="B58" s="49" t="str">
        <f>IF(($E52&gt;0),B52,B51)</f>
        <v>per 100 youth found delinquent</v>
      </c>
      <c r="C58" s="49">
        <f>IF(($E52&gt;0),C52,C51)</f>
        <v>0.1</v>
      </c>
      <c r="D58" s="49">
        <f>IF(($E52&gt;0),D52,D51)</f>
        <v>0.01</v>
      </c>
      <c r="E58" s="56">
        <f>MAX(C58:D58)</f>
        <v>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0.71899999999999997</v>
      </c>
      <c r="D60" s="56">
        <f>D54</f>
        <v>0</v>
      </c>
      <c r="E60" s="56">
        <f>MAX(C60:D60)</f>
        <v>0.71899999999999997</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referrals</v>
      </c>
      <c r="C62" s="49">
        <f t="shared" si="11"/>
        <v>0.13</v>
      </c>
      <c r="D62" s="49">
        <f t="shared" si="11"/>
        <v>0.02</v>
      </c>
      <c r="E62" s="49">
        <f>MAX(C62:D62)</f>
        <v>0.13</v>
      </c>
      <c r="G62" s="1" t="str">
        <f>G56</f>
        <v>per 100 referrals</v>
      </c>
      <c r="L62" s="58">
        <f>IF(($E56&gt;0),L56,L55)</f>
        <v>100</v>
      </c>
      <c r="M62" s="58"/>
    </row>
    <row r="63" spans="2:18" ht="15" hidden="1" customHeight="1" x14ac:dyDescent="0.25">
      <c r="B63" s="49" t="str">
        <f>IF(($E57&gt;0),B57,B55)</f>
        <v>per 100 youth petitioned</v>
      </c>
      <c r="C63" s="49">
        <f>IF(($E57&gt;0),C57,C56)</f>
        <v>0.11</v>
      </c>
      <c r="D63" s="49">
        <f>IF(($E57&gt;0),D57,D56)</f>
        <v>0.02</v>
      </c>
      <c r="E63" s="49">
        <f>MAX(C63:D63)</f>
        <v>0.11</v>
      </c>
      <c r="G63" s="1" t="str">
        <f>G57</f>
        <v>per 100 youth petitioned</v>
      </c>
      <c r="L63" s="58">
        <f>IF(($E57&gt;0),L57,L56)</f>
        <v>100</v>
      </c>
      <c r="M63" s="58"/>
    </row>
    <row r="64" spans="2:18" ht="15" hidden="1" customHeight="1" x14ac:dyDescent="0.25">
      <c r="B64" s="49" t="str">
        <f>IF(($E58&gt;0),B58,B57)</f>
        <v>per 100 youth found delinquent</v>
      </c>
      <c r="C64" s="49">
        <f>IF(($E58&gt;0),C58,C57)</f>
        <v>0.1</v>
      </c>
      <c r="D64" s="49">
        <f>IF(($E58&gt;0),D58,D57)</f>
        <v>0.01</v>
      </c>
      <c r="E64" s="56">
        <f>MAX(C64:D64)</f>
        <v>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0.71899999999999997</v>
      </c>
      <c r="D66" s="56">
        <f>D60</f>
        <v>0</v>
      </c>
      <c r="E66" s="56">
        <f>MAX(C66:D66)</f>
        <v>0.71899999999999997</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referrals</v>
      </c>
      <c r="C68" s="49">
        <f t="shared" si="12"/>
        <v>0.13</v>
      </c>
      <c r="D68" s="49">
        <f t="shared" si="12"/>
        <v>0.02</v>
      </c>
      <c r="E68" s="49">
        <f>MAX(C68:D68)</f>
        <v>0.13</v>
      </c>
      <c r="G68" s="1" t="str">
        <f>G62</f>
        <v>per 100 referrals</v>
      </c>
      <c r="L68" s="58">
        <f>IF(($E62&gt;0),L62,L61)</f>
        <v>100</v>
      </c>
      <c r="M68" s="58">
        <f>IF((B68=G68),1,2)</f>
        <v>1</v>
      </c>
    </row>
    <row r="69" spans="2:13" ht="15" hidden="1" customHeight="1" x14ac:dyDescent="0.25">
      <c r="B69" s="49" t="str">
        <f>IF(($E63&gt;0),B63,B61)</f>
        <v>per 100 youth petitioned</v>
      </c>
      <c r="C69" s="49">
        <f>IF(($E63&gt;0),C63,C62)</f>
        <v>0.11</v>
      </c>
      <c r="D69" s="49">
        <f>IF(($E63&gt;0),D63,D62)</f>
        <v>0.02</v>
      </c>
      <c r="E69" s="49">
        <f>MAX(C69:D69)</f>
        <v>0.11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v>
      </c>
      <c r="D70" s="49">
        <f>IF(($E64&gt;0),D64,D63)</f>
        <v>0.01</v>
      </c>
      <c r="E70" s="56">
        <f>MAX(C70:D70)</f>
        <v>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Presque Isle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719</v>
      </c>
      <c r="D6" s="34"/>
      <c r="E6" s="33">
        <f>'Data Entry'!J6</f>
        <v>75</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2.781641168289291</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75</v>
      </c>
      <c r="P7" s="42">
        <f t="shared" ref="P7:P15" si="4">C7</f>
        <v>2</v>
      </c>
      <c r="Q7" s="42">
        <f>C6-C7</f>
        <v>717</v>
      </c>
      <c r="R7" s="42">
        <f t="shared" ref="R7:R15" si="5">SUM(N7:Q7)</f>
        <v>794</v>
      </c>
      <c r="S7" s="30">
        <f t="shared" ref="S7:S15" si="6">R7*((((N7*Q7)-(O7*P7))^2))</f>
        <v>17865000</v>
      </c>
      <c r="T7" s="30">
        <f t="shared" ref="T7:T15" si="7">(N7+O7)*(P7+Q7)*(N7+P7)*(O7+Q7)</f>
        <v>85417200</v>
      </c>
      <c r="U7" s="31">
        <f t="shared" ref="U7:U15" si="8">IF((S7&gt;0),S7/T7,"- -")</f>
        <v>0.20914991360053947</v>
      </c>
    </row>
    <row r="8" spans="2:21" ht="18" customHeight="1" x14ac:dyDescent="0.25">
      <c r="B8" s="32" t="str">
        <f>'Data Entry'!A8</f>
        <v>3. Refer to Juvenile Court</v>
      </c>
      <c r="C8" s="33">
        <f>'Data Entry'!C8</f>
        <v>13</v>
      </c>
      <c r="D8" s="34">
        <f>IF((AND(C67&gt;0,C8&gt;0)),(C8/C67),0)</f>
        <v>650</v>
      </c>
      <c r="E8" s="33">
        <f>'Data Entry'!J8</f>
        <v>2</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2</v>
      </c>
      <c r="O8" s="42">
        <f>((D67*L67)-E8)+0.05</f>
        <v>-1.95</v>
      </c>
      <c r="P8" s="42">
        <f t="shared" si="4"/>
        <v>13</v>
      </c>
      <c r="Q8" s="42">
        <f>(C$67*L67)-C8</f>
        <v>-11</v>
      </c>
      <c r="R8" s="42">
        <f t="shared" si="5"/>
        <v>2.0500000000000007</v>
      </c>
      <c r="S8" s="30">
        <f t="shared" si="6"/>
        <v>23.00612499999998</v>
      </c>
      <c r="T8" s="30">
        <f t="shared" si="7"/>
        <v>-19.425000000000015</v>
      </c>
      <c r="U8" s="31">
        <f t="shared" si="8"/>
        <v>-1.1843564993564974</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v>
      </c>
      <c r="P9" s="42">
        <f t="shared" si="4"/>
        <v>0</v>
      </c>
      <c r="Q9" s="42">
        <f>(C$68*L68)-C9</f>
        <v>13</v>
      </c>
      <c r="R9" s="42">
        <f t="shared" si="5"/>
        <v>15</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v>
      </c>
      <c r="P10" s="42">
        <f t="shared" si="4"/>
        <v>0</v>
      </c>
      <c r="Q10" s="42">
        <f>(C$68*L68)-C10</f>
        <v>13</v>
      </c>
      <c r="R10" s="42">
        <f t="shared" si="5"/>
        <v>15</v>
      </c>
      <c r="S10" s="30">
        <f t="shared" si="6"/>
        <v>0</v>
      </c>
      <c r="T10" s="30">
        <f t="shared" si="7"/>
        <v>0</v>
      </c>
      <c r="U10" s="31" t="str">
        <f t="shared" si="8"/>
        <v>- -</v>
      </c>
    </row>
    <row r="11" spans="2:21" ht="18" customHeight="1" x14ac:dyDescent="0.25">
      <c r="B11" s="32" t="str">
        <f>'Data Entry'!A11</f>
        <v>6. Cases Petitioned (Charge Filed)</v>
      </c>
      <c r="C11" s="33">
        <f>'Data Entry'!C11</f>
        <v>11</v>
      </c>
      <c r="D11" s="34">
        <f>IF(((AND(C68&gt;0,C11&gt;0))),(C11/(C68)),0)</f>
        <v>84.615384615384613</v>
      </c>
      <c r="E11" s="33">
        <f>'Data Entry'!J11</f>
        <v>2</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0</v>
      </c>
      <c r="P11" s="42">
        <f t="shared" si="4"/>
        <v>11</v>
      </c>
      <c r="Q11" s="42">
        <f>(C$68*L68)-C11</f>
        <v>2</v>
      </c>
      <c r="R11" s="42">
        <f t="shared" si="5"/>
        <v>15</v>
      </c>
      <c r="S11" s="30">
        <f t="shared" si="6"/>
        <v>240</v>
      </c>
      <c r="T11" s="30">
        <f t="shared" si="7"/>
        <v>676</v>
      </c>
      <c r="U11" s="31">
        <f t="shared" si="8"/>
        <v>0.35502958579881655</v>
      </c>
    </row>
    <row r="12" spans="2:21" ht="18" customHeight="1" x14ac:dyDescent="0.25">
      <c r="B12" s="32" t="str">
        <f>'Data Entry'!A12</f>
        <v>7. Cases Resulting in Delinquent Findings</v>
      </c>
      <c r="C12" s="33">
        <f>'Data Entry'!C12</f>
        <v>10</v>
      </c>
      <c r="D12" s="34">
        <f>IF(((AND(C69&gt;0,C12&gt;0))),(C12/(C69)),0)</f>
        <v>90.909090909090907</v>
      </c>
      <c r="E12" s="33">
        <f>'Data Entry'!J12</f>
        <v>1</v>
      </c>
      <c r="F12" s="34">
        <f>IF(((AND($D$69&gt;0,$E$12&gt;0))),(E12/(D69)),0)</f>
        <v>50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1</v>
      </c>
      <c r="P12" s="42">
        <f t="shared" si="4"/>
        <v>10</v>
      </c>
      <c r="Q12" s="42">
        <f>(C69*L69)-C12</f>
        <v>1</v>
      </c>
      <c r="R12" s="42">
        <f t="shared" si="5"/>
        <v>13</v>
      </c>
      <c r="S12" s="30">
        <f t="shared" si="6"/>
        <v>1053</v>
      </c>
      <c r="T12" s="30">
        <f t="shared" si="7"/>
        <v>484</v>
      </c>
      <c r="U12" s="31">
        <f t="shared" si="8"/>
        <v>2.1756198347107438</v>
      </c>
    </row>
    <row r="13" spans="2:21" ht="18" customHeight="1" x14ac:dyDescent="0.25">
      <c r="B13" s="32" t="str">
        <f>'Data Entry'!A13</f>
        <v>8. Cases Resulting in Probation Placement</v>
      </c>
      <c r="C13" s="33">
        <f>'Data Entry'!C13</f>
        <v>4</v>
      </c>
      <c r="D13" s="34">
        <f>IF(((AND(C70&gt;0,C13&gt;0))),(C13/(C70)),0)</f>
        <v>40</v>
      </c>
      <c r="E13" s="33">
        <f>'Data Entry'!J13</f>
        <v>1</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1</v>
      </c>
      <c r="O13" s="42">
        <f>(D70*L70)-E13</f>
        <v>0</v>
      </c>
      <c r="P13" s="42">
        <f t="shared" si="4"/>
        <v>4</v>
      </c>
      <c r="Q13" s="42">
        <f>(C70*L70)-C13</f>
        <v>6</v>
      </c>
      <c r="R13" s="42">
        <f t="shared" si="5"/>
        <v>11</v>
      </c>
      <c r="S13" s="30">
        <f t="shared" si="6"/>
        <v>396</v>
      </c>
      <c r="T13" s="30">
        <f t="shared" si="7"/>
        <v>300</v>
      </c>
      <c r="U13" s="31">
        <f t="shared" si="8"/>
        <v>1.32</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10</v>
      </c>
      <c r="R14" s="42">
        <f t="shared" si="5"/>
        <v>11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11</v>
      </c>
      <c r="R15" s="42">
        <f t="shared" si="5"/>
        <v>13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0.71899999999999997</v>
      </c>
      <c r="D42" s="56">
        <f>E6/1000</f>
        <v>7.4999999999999997E-2</v>
      </c>
      <c r="E42" s="56">
        <f>MAX(C42:D42)</f>
        <v>0.71899999999999997</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0.13</v>
      </c>
      <c r="D44" s="56">
        <f>E8/100</f>
        <v>0.02</v>
      </c>
      <c r="E44" s="56">
        <f>MAX(C44:D44,0)</f>
        <v>0.13</v>
      </c>
      <c r="G44" s="1" t="str">
        <f>B44</f>
        <v>per 100 referrals</v>
      </c>
      <c r="L44" s="57">
        <v>100</v>
      </c>
      <c r="M44" s="57"/>
      <c r="R44" s="49"/>
    </row>
    <row r="45" spans="2:18" ht="15" hidden="1" customHeight="1" x14ac:dyDescent="0.25">
      <c r="B45" s="49" t="s">
        <v>89</v>
      </c>
      <c r="C45" s="49">
        <f>C11/100</f>
        <v>0.11</v>
      </c>
      <c r="D45" s="49">
        <f>E11/100</f>
        <v>0.02</v>
      </c>
      <c r="E45" s="56">
        <f>MAX(C45:D45,0)</f>
        <v>0.11</v>
      </c>
      <c r="G45" s="1" t="str">
        <f>B45</f>
        <v>per 100 youth petitioned</v>
      </c>
      <c r="L45" s="57">
        <v>100</v>
      </c>
      <c r="M45" s="57"/>
      <c r="R45" s="49"/>
    </row>
    <row r="46" spans="2:18" ht="15" hidden="1" customHeight="1" x14ac:dyDescent="0.25">
      <c r="B46" s="49" t="s">
        <v>90</v>
      </c>
      <c r="C46" s="49">
        <f>C12/100</f>
        <v>0.1</v>
      </c>
      <c r="D46" s="49">
        <f>E12/100</f>
        <v>0.01</v>
      </c>
      <c r="E46" s="56">
        <f>MAX(C46:D46)</f>
        <v>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0.71899999999999997</v>
      </c>
      <c r="D48" s="56">
        <f>D42</f>
        <v>7.4999999999999997E-2</v>
      </c>
      <c r="E48" s="56">
        <f>MAX(C48:D48)</f>
        <v>0.71899999999999997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0.13</v>
      </c>
      <c r="D50" s="49">
        <f t="shared" si="9"/>
        <v>0.02</v>
      </c>
      <c r="E50" s="49">
        <f>MAX(C50:D50)</f>
        <v>0.13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0.11</v>
      </c>
      <c r="D51" s="49">
        <f>IF(($E45&gt;0),D45,D44)</f>
        <v>0.02</v>
      </c>
      <c r="E51" s="49">
        <f>MAX(C51:D51)</f>
        <v>0.11</v>
      </c>
      <c r="G51" s="1" t="str">
        <f>G45</f>
        <v>per 100 youth petitioned</v>
      </c>
      <c r="L51" s="58">
        <f>IF(($E45&gt;0),L45,L44)</f>
        <v>100</v>
      </c>
      <c r="M51" s="58"/>
    </row>
    <row r="52" spans="2:18" ht="15" hidden="1" customHeight="1" x14ac:dyDescent="0.25">
      <c r="B52" s="49" t="str">
        <f>IF(($E46&gt;0),B46,B45)</f>
        <v>per 100 youth found delinquent</v>
      </c>
      <c r="C52" s="49">
        <f>IF(($E46&gt;0),C46,C45)</f>
        <v>0.1</v>
      </c>
      <c r="D52" s="49">
        <f>IF(($E46&gt;0),D46,D45)</f>
        <v>0.01</v>
      </c>
      <c r="E52" s="56">
        <f>MAX(C52:D52)</f>
        <v>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0.71899999999999997</v>
      </c>
      <c r="D54" s="56">
        <f>D48</f>
        <v>7.4999999999999997E-2</v>
      </c>
      <c r="E54" s="56">
        <f>MAX(C54:D54)</f>
        <v>0.71899999999999997</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referrals</v>
      </c>
      <c r="C56" s="49">
        <f t="shared" si="10"/>
        <v>0.13</v>
      </c>
      <c r="D56" s="49">
        <f t="shared" si="10"/>
        <v>0.02</v>
      </c>
      <c r="E56" s="49">
        <f>MAX(C56:D56)</f>
        <v>0.13</v>
      </c>
      <c r="G56" s="1" t="str">
        <f>G50</f>
        <v>per 100 referrals</v>
      </c>
      <c r="L56" s="58">
        <f>IF(($E50&gt;0),L50,L49)</f>
        <v>100</v>
      </c>
      <c r="M56" s="58"/>
    </row>
    <row r="57" spans="2:18" ht="15" hidden="1" customHeight="1" x14ac:dyDescent="0.25">
      <c r="B57" s="49" t="str">
        <f>IF(($E51&gt;0),B51,B49)</f>
        <v>per 100 youth petitioned</v>
      </c>
      <c r="C57" s="49">
        <f>IF(($E51&gt;0),C51,C50)</f>
        <v>0.11</v>
      </c>
      <c r="D57" s="49">
        <f>IF(($E51&gt;0),D51,D50)</f>
        <v>0.02</v>
      </c>
      <c r="E57" s="49">
        <f>MAX(C57:D57)</f>
        <v>0.11</v>
      </c>
      <c r="G57" s="1" t="str">
        <f>G51</f>
        <v>per 100 youth petitioned</v>
      </c>
      <c r="L57" s="58">
        <f>IF(($E51&gt;0),L51,L50)</f>
        <v>100</v>
      </c>
      <c r="M57" s="58"/>
    </row>
    <row r="58" spans="2:18" ht="15" hidden="1" customHeight="1" x14ac:dyDescent="0.25">
      <c r="B58" s="49" t="str">
        <f>IF(($E52&gt;0),B52,B51)</f>
        <v>per 100 youth found delinquent</v>
      </c>
      <c r="C58" s="49">
        <f>IF(($E52&gt;0),C52,C51)</f>
        <v>0.1</v>
      </c>
      <c r="D58" s="49">
        <f>IF(($E52&gt;0),D52,D51)</f>
        <v>0.01</v>
      </c>
      <c r="E58" s="56">
        <f>MAX(C58:D58)</f>
        <v>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0.71899999999999997</v>
      </c>
      <c r="D60" s="56">
        <f>D54</f>
        <v>7.4999999999999997E-2</v>
      </c>
      <c r="E60" s="56">
        <f>MAX(C60:D60)</f>
        <v>0.71899999999999997</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referrals</v>
      </c>
      <c r="C62" s="49">
        <f t="shared" si="11"/>
        <v>0.13</v>
      </c>
      <c r="D62" s="49">
        <f t="shared" si="11"/>
        <v>0.02</v>
      </c>
      <c r="E62" s="49">
        <f>MAX(C62:D62)</f>
        <v>0.13</v>
      </c>
      <c r="G62" s="1" t="str">
        <f>G56</f>
        <v>per 100 referrals</v>
      </c>
      <c r="L62" s="58">
        <f>IF(($E56&gt;0),L56,L55)</f>
        <v>100</v>
      </c>
      <c r="M62" s="58"/>
    </row>
    <row r="63" spans="2:18" ht="15" hidden="1" customHeight="1" x14ac:dyDescent="0.25">
      <c r="B63" s="49" t="str">
        <f>IF(($E57&gt;0),B57,B55)</f>
        <v>per 100 youth petitioned</v>
      </c>
      <c r="C63" s="49">
        <f>IF(($E57&gt;0),C57,C56)</f>
        <v>0.11</v>
      </c>
      <c r="D63" s="49">
        <f>IF(($E57&gt;0),D57,D56)</f>
        <v>0.02</v>
      </c>
      <c r="E63" s="49">
        <f>MAX(C63:D63)</f>
        <v>0.11</v>
      </c>
      <c r="G63" s="1" t="str">
        <f>G57</f>
        <v>per 100 youth petitioned</v>
      </c>
      <c r="L63" s="58">
        <f>IF(($E57&gt;0),L57,L56)</f>
        <v>100</v>
      </c>
      <c r="M63" s="58"/>
    </row>
    <row r="64" spans="2:18" ht="15" hidden="1" customHeight="1" x14ac:dyDescent="0.25">
      <c r="B64" s="49" t="str">
        <f>IF(($E58&gt;0),B58,B57)</f>
        <v>per 100 youth found delinquent</v>
      </c>
      <c r="C64" s="49">
        <f>IF(($E58&gt;0),C58,C57)</f>
        <v>0.1</v>
      </c>
      <c r="D64" s="49">
        <f>IF(($E58&gt;0),D58,D57)</f>
        <v>0.01</v>
      </c>
      <c r="E64" s="56">
        <f>MAX(C64:D64)</f>
        <v>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0.71899999999999997</v>
      </c>
      <c r="D66" s="56">
        <f>D60</f>
        <v>7.4999999999999997E-2</v>
      </c>
      <c r="E66" s="56">
        <f>MAX(C66:D66)</f>
        <v>0.71899999999999997</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referrals</v>
      </c>
      <c r="C68" s="49">
        <f t="shared" si="12"/>
        <v>0.13</v>
      </c>
      <c r="D68" s="49">
        <f t="shared" si="12"/>
        <v>0.02</v>
      </c>
      <c r="E68" s="49">
        <f>MAX(C68:D68)</f>
        <v>0.13</v>
      </c>
      <c r="G68" s="1" t="str">
        <f>G62</f>
        <v>per 100 referrals</v>
      </c>
      <c r="L68" s="58">
        <f>IF(($E62&gt;0),L62,L61)</f>
        <v>100</v>
      </c>
      <c r="M68" s="58">
        <f>IF((B68=G68),1,2)</f>
        <v>1</v>
      </c>
    </row>
    <row r="69" spans="2:13" ht="15" hidden="1" customHeight="1" x14ac:dyDescent="0.25">
      <c r="B69" s="49" t="str">
        <f>IF(($E63&gt;0),B63,B61)</f>
        <v>per 100 youth petitioned</v>
      </c>
      <c r="C69" s="49">
        <f>IF(($E63&gt;0),C63,C62)</f>
        <v>0.11</v>
      </c>
      <c r="D69" s="49">
        <f>IF(($E63&gt;0),D63,D62)</f>
        <v>0.02</v>
      </c>
      <c r="E69" s="49">
        <f>MAX(C69:D69)</f>
        <v>0.11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v>
      </c>
      <c r="D70" s="49">
        <f>IF(($E64&gt;0),D64,D63)</f>
        <v>0.01</v>
      </c>
      <c r="E70" s="56">
        <f>MAX(C70:D70)</f>
        <v>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Presque Isle</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40</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40</v>
      </c>
      <c r="O8" s="1">
        <f>Hawaiian!L8</f>
        <v>139</v>
      </c>
      <c r="P8" s="1">
        <f>'Am Indian'!L8</f>
        <v>40</v>
      </c>
      <c r="Q8" s="1">
        <f>'Other - Mixed'!L8</f>
        <v>139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f>'Other - Mixed'!L11</f>
        <v>139</v>
      </c>
      <c r="R11" s="1">
        <f>'All Minorities'!L11</f>
        <v>40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f>'Other - Mixed'!L12</f>
        <v>139</v>
      </c>
      <c r="R12" s="1">
        <f>'All Minorities'!L12</f>
        <v>40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f>'Other - Mixed'!L13</f>
        <v>139</v>
      </c>
      <c r="R13" s="1">
        <f>'All Minorities'!L13</f>
        <v>40</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794</v>
      </c>
      <c r="D3" s="57">
        <f>'Data Entry'!C6</f>
        <v>719</v>
      </c>
      <c r="E3" s="57">
        <f>'Data Entry'!D6</f>
        <v>16</v>
      </c>
      <c r="F3" s="57">
        <f>'Data Entry'!E6</f>
        <v>38</v>
      </c>
      <c r="G3" s="57">
        <f>'Data Entry'!F6</f>
        <v>11</v>
      </c>
      <c r="H3" s="57">
        <f>'Data Entry'!G6</f>
        <v>0</v>
      </c>
      <c r="I3" s="57">
        <f>'Data Entry'!H6</f>
        <v>10</v>
      </c>
      <c r="J3" s="57">
        <f>'Data Entry'!I6</f>
        <v>0</v>
      </c>
      <c r="K3" s="57">
        <f>'Data Entry'!J6</f>
        <v>75</v>
      </c>
    </row>
    <row r="4" spans="2:11" ht="15" customHeight="1" x14ac:dyDescent="0.25">
      <c r="B4" s="16" t="s">
        <v>8</v>
      </c>
      <c r="C4" s="1">
        <f>IF((C$3&gt;0),(1000*('Data Entry'!B7/'Data Entry'!B$6)), 0)</f>
        <v>3.7783375314861458</v>
      </c>
      <c r="D4" s="1">
        <f>IF((D$3&gt;0),(1000*('Data Entry'!C7/'Data Entry'!C$6)), 0)</f>
        <v>2.7816411682892905</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23.929471032745592</v>
      </c>
      <c r="D5" s="1">
        <f>IF((D$3&gt;0),(1000*('Data Entry'!C8/'Data Entry'!C$6)), 0)</f>
        <v>18.080667593880392</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26.666666666666668</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20.151133501259444</v>
      </c>
      <c r="D8" s="1">
        <f>IF((D$3&gt;0),(1000*('Data Entry'!C11/'Data Entry'!C$6)), 0)</f>
        <v>15.2990264255911</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26.666666666666668</v>
      </c>
    </row>
    <row r="9" spans="2:11" ht="15" customHeight="1" x14ac:dyDescent="0.25">
      <c r="B9" s="16" t="s">
        <v>13</v>
      </c>
      <c r="C9" s="1">
        <f>IF((C$3&gt;0),(1000*('Data Entry'!B12/'Data Entry'!B$6)), 0)</f>
        <v>17.632241813602015</v>
      </c>
      <c r="D9" s="1">
        <f>IF((D$3&gt;0),(1000*('Data Entry'!C12/'Data Entry'!C$6)), 0)</f>
        <v>13.908205841446454</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13.333333333333334</v>
      </c>
    </row>
    <row r="10" spans="2:11" ht="15" customHeight="1" x14ac:dyDescent="0.25">
      <c r="B10" s="16" t="s">
        <v>14</v>
      </c>
      <c r="C10" s="1">
        <f>IF((C$3&gt;0),(1000*('Data Entry'!B13/'Data Entry'!B$6)), 0)</f>
        <v>8.8161209068010074</v>
      </c>
      <c r="D10" s="1">
        <f>IF((D$3&gt;0),(1000*('Data Entry'!C13/'Data Entry'!C$6)), 0)</f>
        <v>5.5632823365785811</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13.333333333333334</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Presque Isle</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f t="shared" si="2"/>
        <v>1.4748717948717947</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t="str">
        <f t="shared" si="2"/>
        <v>--</v>
      </c>
      <c r="E23" s="72" t="str">
        <f t="shared" si="2"/>
        <v>--</v>
      </c>
      <c r="F23" s="72" t="str">
        <f t="shared" si="2"/>
        <v>--</v>
      </c>
      <c r="G23" s="72" t="str">
        <f t="shared" si="2"/>
        <v>--</v>
      </c>
      <c r="H23" s="72" t="str">
        <f t="shared" si="2"/>
        <v>--</v>
      </c>
      <c r="I23" s="72" t="str">
        <f t="shared" si="2"/>
        <v>--</v>
      </c>
      <c r="J23" s="73">
        <f t="shared" si="2"/>
        <v>1.7430303030303029</v>
      </c>
    </row>
    <row r="24" spans="2:10" ht="15" customHeight="1" x14ac:dyDescent="0.25">
      <c r="B24" s="71" t="s">
        <v>13</v>
      </c>
      <c r="C24" s="72">
        <f t="shared" si="2"/>
        <v>1</v>
      </c>
      <c r="D24" s="72" t="str">
        <f t="shared" si="2"/>
        <v>--</v>
      </c>
      <c r="E24" s="72" t="str">
        <f t="shared" si="2"/>
        <v>--</v>
      </c>
      <c r="F24" s="72" t="str">
        <f t="shared" si="2"/>
        <v>--</v>
      </c>
      <c r="G24" s="72" t="str">
        <f t="shared" si="2"/>
        <v>--</v>
      </c>
      <c r="H24" s="72" t="str">
        <f t="shared" si="2"/>
        <v>--</v>
      </c>
      <c r="I24" s="72" t="str">
        <f t="shared" si="2"/>
        <v>--</v>
      </c>
      <c r="J24" s="73">
        <f t="shared" si="2"/>
        <v>0.95866666666666667</v>
      </c>
    </row>
    <row r="25" spans="2:10" ht="15" customHeight="1" x14ac:dyDescent="0.25">
      <c r="B25" s="71" t="s">
        <v>14</v>
      </c>
      <c r="C25" s="72">
        <f t="shared" si="2"/>
        <v>1</v>
      </c>
      <c r="D25" s="72" t="str">
        <f t="shared" si="2"/>
        <v>--</v>
      </c>
      <c r="E25" s="72" t="str">
        <f t="shared" si="2"/>
        <v>--</v>
      </c>
      <c r="F25" s="72" t="str">
        <f t="shared" si="2"/>
        <v>--</v>
      </c>
      <c r="G25" s="72" t="str">
        <f t="shared" si="2"/>
        <v>--</v>
      </c>
      <c r="H25" s="72" t="str">
        <f t="shared" si="2"/>
        <v>--</v>
      </c>
      <c r="I25" s="72" t="str">
        <f t="shared" si="2"/>
        <v>--</v>
      </c>
      <c r="J25" s="73">
        <f t="shared" si="2"/>
        <v>2.3966666666666669</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Presque Isle</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719</v>
      </c>
      <c r="D7" s="105">
        <f>'Data Entry'!D6</f>
        <v>16</v>
      </c>
      <c r="E7" s="106"/>
      <c r="F7" s="107">
        <f>'Data Entry'!E6</f>
        <v>38</v>
      </c>
      <c r="G7" s="106"/>
      <c r="H7" s="107">
        <f>'Data Entry'!F6</f>
        <v>11</v>
      </c>
      <c r="I7" s="106"/>
      <c r="J7" s="107">
        <f>'Data Entry'!G6</f>
        <v>0</v>
      </c>
      <c r="K7" s="106"/>
      <c r="L7" s="107">
        <f>'Data Entry'!H6</f>
        <v>10</v>
      </c>
      <c r="M7" s="106"/>
      <c r="N7" s="107">
        <f>'Data Entry'!I6</f>
        <v>0</v>
      </c>
      <c r="O7" s="106"/>
      <c r="P7" s="107">
        <f>'Data Entry'!J6</f>
        <v>75</v>
      </c>
      <c r="Q7" s="108"/>
    </row>
    <row r="8" spans="2:26" s="1" customFormat="1" ht="15" customHeight="1" x14ac:dyDescent="0.3">
      <c r="B8" s="149" t="s">
        <v>8</v>
      </c>
      <c r="C8" s="104">
        <f>'Data Entry'!C7</f>
        <v>2</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f>'Black or African-American'!L7</f>
        <v>40</v>
      </c>
      <c r="U8" s="1">
        <f>Hispanic!L7</f>
        <v>40</v>
      </c>
      <c r="V8" s="1">
        <f>Asian!L7</f>
        <v>40</v>
      </c>
      <c r="W8" s="1" t="e">
        <f>Hawaiian!L7</f>
        <v>#VALUE!</v>
      </c>
      <c r="X8" s="1">
        <f>'Am Indian'!L7</f>
        <v>40</v>
      </c>
      <c r="Y8" s="1" t="e">
        <f>'Other - Mixed'!L7</f>
        <v>#VALUE!</v>
      </c>
      <c r="Z8" s="1">
        <f>'All Minorities'!L7</f>
        <v>40</v>
      </c>
    </row>
    <row r="9" spans="2:26" s="1" customFormat="1" ht="15" customHeight="1" x14ac:dyDescent="0.3">
      <c r="B9" s="149" t="s">
        <v>134</v>
      </c>
      <c r="C9" s="104">
        <f>'Data Entry'!C8</f>
        <v>13</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2</v>
      </c>
      <c r="O9" s="110" t="str">
        <f>'Other - Mixed'!G8</f>
        <v>*</v>
      </c>
      <c r="P9" s="111">
        <f>'Data Entry'!J8</f>
        <v>2</v>
      </c>
      <c r="Q9" s="112" t="str">
        <f>'All Minorities'!G8</f>
        <v>**</v>
      </c>
      <c r="R9"/>
      <c r="T9" s="1">
        <f>'Black or African-American'!L8</f>
        <v>40</v>
      </c>
      <c r="U9" s="1">
        <f>Hispanic!L8</f>
        <v>40</v>
      </c>
      <c r="V9" s="1">
        <f>Asian!L8</f>
        <v>40</v>
      </c>
      <c r="W9" s="1">
        <f>Hawaiian!L8</f>
        <v>139</v>
      </c>
      <c r="X9" s="1">
        <f>'Am Indian'!L8</f>
        <v>40</v>
      </c>
      <c r="Y9" s="1">
        <f>'Other - Mixed'!L8</f>
        <v>139</v>
      </c>
      <c r="Z9" s="1">
        <f>'All Minorities'!L8</f>
        <v>40</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11</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2</v>
      </c>
      <c r="O12" s="114" t="str">
        <f>'Other - Mixed'!G11</f>
        <v>*</v>
      </c>
      <c r="P12" s="115">
        <f>'Data Entry'!J11</f>
        <v>2</v>
      </c>
      <c r="Q12" s="116" t="str">
        <f>'All Minorities'!G11</f>
        <v>**</v>
      </c>
      <c r="R12"/>
      <c r="T12" s="1" t="e">
        <f>'Black or African-American'!L11</f>
        <v>#VALUE!</v>
      </c>
      <c r="U12" s="1" t="e">
        <f>Hispanic!L11</f>
        <v>#VALUE!</v>
      </c>
      <c r="V12" s="1" t="e">
        <f>Asian!L11</f>
        <v>#VALUE!</v>
      </c>
      <c r="W12" s="1" t="e">
        <f>Hawaiian!L11</f>
        <v>#VALUE!</v>
      </c>
      <c r="X12" s="1" t="e">
        <f>'Am Indian'!L11</f>
        <v>#VALUE!</v>
      </c>
      <c r="Y12" s="1">
        <f>'Other - Mixed'!L11</f>
        <v>139</v>
      </c>
      <c r="Z12" s="1">
        <f>'All Minorities'!L11</f>
        <v>40</v>
      </c>
    </row>
    <row r="13" spans="2:26" s="1" customFormat="1" ht="15" customHeight="1" x14ac:dyDescent="0.3">
      <c r="B13" s="149" t="s">
        <v>13</v>
      </c>
      <c r="C13" s="104">
        <f>'Data Entry'!C12</f>
        <v>10</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1</v>
      </c>
      <c r="O13" s="110" t="str">
        <f>'Other - Mixed'!G12</f>
        <v>*</v>
      </c>
      <c r="P13" s="111">
        <f>'Data Entry'!J12</f>
        <v>1</v>
      </c>
      <c r="Q13" s="112" t="str">
        <f>'All Minorities'!G12</f>
        <v>**</v>
      </c>
      <c r="R13"/>
      <c r="T13" s="1" t="e">
        <f>'Black or African-American'!L12</f>
        <v>#VALUE!</v>
      </c>
      <c r="U13" s="1" t="e">
        <f>Hispanic!L12</f>
        <v>#VALUE!</v>
      </c>
      <c r="V13" s="1" t="e">
        <f>Asian!L12</f>
        <v>#VALUE!</v>
      </c>
      <c r="W13" s="1" t="e">
        <f>Hawaiian!L12</f>
        <v>#VALUE!</v>
      </c>
      <c r="X13" s="1" t="e">
        <f>'Am Indian'!L12</f>
        <v>#VALUE!</v>
      </c>
      <c r="Y13" s="1">
        <f>'Other - Mixed'!L12</f>
        <v>139</v>
      </c>
      <c r="Z13" s="1">
        <f>'All Minorities'!L12</f>
        <v>40</v>
      </c>
    </row>
    <row r="14" spans="2:26" s="1" customFormat="1" ht="15" customHeight="1" x14ac:dyDescent="0.3">
      <c r="B14" s="149" t="s">
        <v>133</v>
      </c>
      <c r="C14" s="104">
        <f>'Data Entry'!C13</f>
        <v>4</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1</v>
      </c>
      <c r="O14" s="114" t="str">
        <f>'Other - Mixed'!G13</f>
        <v>*</v>
      </c>
      <c r="P14" s="115">
        <f>'Data Entry'!J13</f>
        <v>1</v>
      </c>
      <c r="Q14" s="116" t="str">
        <f>'All Minorities'!G13</f>
        <v>**</v>
      </c>
      <c r="R14"/>
      <c r="T14" s="1" t="e">
        <f>'Black or African-American'!L13</f>
        <v>#VALUE!</v>
      </c>
      <c r="U14" s="1" t="e">
        <f>Hispanic!L13</f>
        <v>#VALUE!</v>
      </c>
      <c r="V14" s="1" t="e">
        <f>Asian!L13</f>
        <v>#VALUE!</v>
      </c>
      <c r="W14" s="1" t="e">
        <f>Hawaiian!L13</f>
        <v>#VALUE!</v>
      </c>
      <c r="X14" s="1" t="e">
        <f>'Am Indian'!L13</f>
        <v>#VALUE!</v>
      </c>
      <c r="Y14" s="1">
        <f>'Other - Mixed'!L13</f>
        <v>139</v>
      </c>
      <c r="Z14" s="1">
        <f>'All Minorities'!L13</f>
        <v>40</v>
      </c>
    </row>
    <row r="15" spans="2:26" s="1" customFormat="1" ht="33" x14ac:dyDescent="0.3">
      <c r="B15" s="151"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Yes</v>
      </c>
      <c r="J17" s="133"/>
      <c r="K17" s="146" t="str">
        <f>'Data Entry'!G16</f>
        <v>No</v>
      </c>
      <c r="L17" s="133"/>
      <c r="M17" s="146" t="str">
        <f>'Data Entry'!H16</f>
        <v>Yes</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topLeftCell="A4"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Presque Isle</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Presque Isle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9.5866666666666678</v>
      </c>
    </row>
    <row r="8" spans="1:12" ht="25.5" customHeight="1" x14ac:dyDescent="0.2">
      <c r="A8" s="158" t="str">
        <f>CONCATENATE("Confinement, total N=", 'Data Entry'!B14)</f>
        <v>Confinement, total N=0</v>
      </c>
      <c r="B8" s="157" t="e">
        <f>'Data Entry'!D14/'Data Entry'!B14</f>
        <v>#DIV/0!</v>
      </c>
      <c r="C8" s="157" t="e">
        <f>'Data Entry'!E14/'Data Entry'!B14</f>
        <v>#DIV/0!</v>
      </c>
      <c r="D8" s="157" t="e">
        <f>'Data Entry'!F14/'Data Entry'!B14</f>
        <v>#DIV/0!</v>
      </c>
      <c r="E8" s="157" t="e">
        <f>'Data Entry'!G14/'Data Entry'!B14</f>
        <v>#DIV/0!</v>
      </c>
      <c r="F8" s="157" t="e">
        <f>'Data Entry'!H14/'Data Entry'!B14</f>
        <v>#DIV/0!</v>
      </c>
      <c r="G8" s="157" t="e">
        <f>'Data Entry'!I14/'Data Entry'!B14</f>
        <v>#DIV/0!</v>
      </c>
      <c r="H8" s="157" t="e">
        <f>SUM(D8:G8)/'Data Entry'!B14</f>
        <v>#DIV/0!</v>
      </c>
      <c r="I8" s="157" t="e">
        <f>'Data Entry'!C14/'Data Entry'!B14</f>
        <v>#DIV/0!</v>
      </c>
      <c r="K8" s="97" t="str">
        <f>A8</f>
        <v>Confinement, total N=0</v>
      </c>
      <c r="L8">
        <f>I14/(SUM(B14:G14))</f>
        <v>9.5866666666666678</v>
      </c>
    </row>
    <row r="9" spans="1:12" x14ac:dyDescent="0.2">
      <c r="A9" s="132" t="str">
        <f>CONCATENATE("Delinquent Findings, total N=", 'Data Entry'!B12)</f>
        <v>Delinquent Findings, total N=14</v>
      </c>
      <c r="B9" s="157">
        <f>'Data Entry'!D12/'Data Entry'!B12</f>
        <v>0</v>
      </c>
      <c r="C9" s="157">
        <f>'Data Entry'!E12/'Data Entry'!B12</f>
        <v>0</v>
      </c>
      <c r="D9" s="157">
        <f>'Data Entry'!F12/'Data Entry'!B12</f>
        <v>0</v>
      </c>
      <c r="E9" s="157">
        <f>'Data Entry'!G12/'Data Entry'!B12</f>
        <v>0</v>
      </c>
      <c r="F9" s="157">
        <f>'Data Entry'!H12/'Data Entry'!B12</f>
        <v>0</v>
      </c>
      <c r="G9" s="157">
        <f>'Data Entry'!I12/'Data Entry'!B12</f>
        <v>7.1428571428571425E-2</v>
      </c>
      <c r="H9" s="157">
        <f>SUM(D9:G9)/'Data Entry'!B12</f>
        <v>5.1020408163265302E-3</v>
      </c>
      <c r="I9" s="157">
        <f>'Data Entry'!C12/'Data Entry'!B12</f>
        <v>0.7142857142857143</v>
      </c>
      <c r="K9" s="97" t="str">
        <f t="shared" si="0"/>
        <v>Delinquent Findings, total N=14</v>
      </c>
      <c r="L9">
        <f>I14/(SUM(B14:G14))</f>
        <v>9.5866666666666678</v>
      </c>
    </row>
    <row r="10" spans="1:12" x14ac:dyDescent="0.2">
      <c r="A10" s="132" t="str">
        <f>CONCATENATE("Petitions, total N=", 'Data Entry'!B11)</f>
        <v>Petitions, total N=16</v>
      </c>
      <c r="B10" s="157">
        <f>'Data Entry'!D11/'Data Entry'!B11</f>
        <v>0</v>
      </c>
      <c r="C10" s="157">
        <f>'Data Entry'!E11/'Data Entry'!B11</f>
        <v>0</v>
      </c>
      <c r="D10" s="157">
        <f>'Data Entry'!F11/'Data Entry'!B11</f>
        <v>0</v>
      </c>
      <c r="E10" s="157">
        <f>'Data Entry'!G11/'Data Entry'!B11</f>
        <v>0</v>
      </c>
      <c r="F10" s="157">
        <f>'Data Entry'!H11/'Data Entry'!B11</f>
        <v>0</v>
      </c>
      <c r="G10" s="157">
        <f>'Data Entry'!I11/'Data Entry'!B11</f>
        <v>0.125</v>
      </c>
      <c r="H10" s="157">
        <f>SUM(D10:G10)/'Data Entry'!B11</f>
        <v>7.8125E-3</v>
      </c>
      <c r="I10" s="157">
        <f>'Data Entry'!C11/'Data Entry'!B11</f>
        <v>0.6875</v>
      </c>
      <c r="K10" s="97" t="str">
        <f t="shared" si="0"/>
        <v>Petitions, total N=16</v>
      </c>
      <c r="L10">
        <f>I14/(SUM(B14:G14))</f>
        <v>9.5866666666666678</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9.5866666666666678</v>
      </c>
    </row>
    <row r="12" spans="1:12" x14ac:dyDescent="0.2">
      <c r="A12" s="132" t="str">
        <f>CONCATENATE("Referrals, total N=", 'Data Entry'!B8)</f>
        <v>Referrals, total N=19</v>
      </c>
      <c r="B12" s="157">
        <f>'Data Entry'!D8/'Data Entry'!B8</f>
        <v>0</v>
      </c>
      <c r="C12" s="157">
        <f>'Data Entry'!E8/'Data Entry'!B8</f>
        <v>0</v>
      </c>
      <c r="D12" s="157">
        <f>'Data Entry'!F8/'Data Entry'!B8</f>
        <v>0</v>
      </c>
      <c r="E12" s="157">
        <f>'Data Entry'!G8/'Data Entry'!B8</f>
        <v>0</v>
      </c>
      <c r="F12" s="157">
        <f>'Data Entry'!H8/'Data Entry'!B8</f>
        <v>0</v>
      </c>
      <c r="G12" s="157">
        <f>'Data Entry'!I8/'Data Entry'!B8</f>
        <v>0.10526315789473684</v>
      </c>
      <c r="H12" s="157">
        <f>SUM(D12:G12)/'Data Entry'!B8</f>
        <v>5.5401662049861496E-3</v>
      </c>
      <c r="I12" s="157">
        <f>'Data Entry'!C8/'Data Entry'!B8</f>
        <v>0.68421052631578949</v>
      </c>
      <c r="K12" s="97" t="str">
        <f t="shared" si="0"/>
        <v>Referrals, total N=19</v>
      </c>
      <c r="L12">
        <f>I14/(SUM(B14:G14))</f>
        <v>9.5866666666666678</v>
      </c>
    </row>
    <row r="13" spans="1:12" x14ac:dyDescent="0.2">
      <c r="A13" s="132" t="str">
        <f>CONCATENATE("Arrests, total N=", 'Data Entry'!B7)</f>
        <v>Arrests, total N=3</v>
      </c>
      <c r="B13" s="157">
        <f>'Data Entry'!D7/'Data Entry'!B7</f>
        <v>0</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0.66666666666666663</v>
      </c>
      <c r="K13" s="97" t="str">
        <f t="shared" si="0"/>
        <v>Arrests, total N=3</v>
      </c>
      <c r="L13">
        <f>I14/(SUM(B14:G14))</f>
        <v>9.5866666666666678</v>
      </c>
    </row>
    <row r="14" spans="1:12" x14ac:dyDescent="0.2">
      <c r="A14" s="132" t="str">
        <f>CONCATENATE("Population, total N=", 'Data Entry'!B6)</f>
        <v>Population, total N=794</v>
      </c>
      <c r="B14" s="157">
        <f>'Data Entry'!D6/'Data Entry'!B6</f>
        <v>2.0151133501259445E-2</v>
      </c>
      <c r="C14" s="157">
        <f>'Data Entry'!E6/'Data Entry'!B6</f>
        <v>4.7858942065491183E-2</v>
      </c>
      <c r="D14" s="157">
        <f>'Data Entry'!F6/'Data Entry'!B6</f>
        <v>1.3853904282115869E-2</v>
      </c>
      <c r="E14" s="157">
        <f>'Data Entry'!G6/'Data Entry'!B6</f>
        <v>0</v>
      </c>
      <c r="F14" s="157">
        <f>'Data Entry'!H6/'Data Entry'!B6</f>
        <v>1.2594458438287154E-2</v>
      </c>
      <c r="G14" s="157">
        <f>'Data Entry'!I6/'Data Entry'!B6</f>
        <v>0</v>
      </c>
      <c r="H14" s="157">
        <f>SUM(D14:G14)/'Data Entry'!B6</f>
        <v>3.3310280504285928E-5</v>
      </c>
      <c r="I14" s="157">
        <f>'Data Entry'!C6/'Data Entry'!B6</f>
        <v>0.90554156171284639</v>
      </c>
      <c r="K14" s="97" t="str">
        <f t="shared" si="0"/>
        <v>Population, total N=794</v>
      </c>
      <c r="L14">
        <f>I14/(SUM(B14:G14))</f>
        <v>9.5866666666666678</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Presque Isle</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719</v>
      </c>
      <c r="D7" s="105">
        <f>'Data Entry'!D6</f>
        <v>16</v>
      </c>
      <c r="E7" s="106"/>
      <c r="F7" s="107">
        <f>'Data Entry'!E6</f>
        <v>38</v>
      </c>
      <c r="G7" s="106"/>
      <c r="H7" s="107">
        <f>'Data Entry'!F6</f>
        <v>11</v>
      </c>
      <c r="I7" s="106"/>
      <c r="J7" s="107">
        <f>'Data Entry'!J6</f>
        <v>75</v>
      </c>
      <c r="K7" s="108"/>
    </row>
    <row r="8" spans="2:30" s="1" customFormat="1" ht="15" customHeight="1" x14ac:dyDescent="0.3">
      <c r="B8" s="125" t="s">
        <v>8</v>
      </c>
      <c r="C8" s="104">
        <f>'Data Entry'!C7</f>
        <v>2</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f>'Black or African-American'!L7</f>
        <v>40</v>
      </c>
      <c r="O8" s="1">
        <f>Hispanic!L7</f>
        <v>40</v>
      </c>
      <c r="P8" s="1">
        <f>Asian!L7</f>
        <v>40</v>
      </c>
      <c r="Q8" s="1" t="e">
        <f>Hawaiian!L7</f>
        <v>#VALUE!</v>
      </c>
      <c r="R8" s="1">
        <f>'Am Indian'!L7</f>
        <v>40</v>
      </c>
      <c r="S8" s="1" t="e">
        <f>'Other - Mixed'!L7</f>
        <v>#VALUE!</v>
      </c>
      <c r="T8" s="1">
        <f>'All Minorities'!L7</f>
        <v>40</v>
      </c>
    </row>
    <row r="9" spans="2:30" s="1" customFormat="1" ht="15" customHeight="1" x14ac:dyDescent="0.3">
      <c r="B9" s="125" t="s">
        <v>134</v>
      </c>
      <c r="C9" s="104">
        <f>'Data Entry'!C8</f>
        <v>13</v>
      </c>
      <c r="D9" s="109">
        <f>'Data Entry'!D8</f>
        <v>0</v>
      </c>
      <c r="E9" s="110" t="str">
        <f>'Black or African-American'!$G8</f>
        <v>**</v>
      </c>
      <c r="F9" s="111">
        <f>'Data Entry'!E8</f>
        <v>0</v>
      </c>
      <c r="G9" s="110" t="str">
        <f>Hispanic!G8</f>
        <v>**</v>
      </c>
      <c r="H9" s="111">
        <f>'Data Entry'!F8</f>
        <v>0</v>
      </c>
      <c r="I9" s="110" t="str">
        <f>Asian!G8</f>
        <v>**</v>
      </c>
      <c r="J9" s="111">
        <f>'Data Entry'!J8</f>
        <v>2</v>
      </c>
      <c r="K9" s="112" t="str">
        <f>'All Minorities'!G8</f>
        <v>**</v>
      </c>
      <c r="L9"/>
      <c r="N9" s="1">
        <f>'Black or African-American'!L8</f>
        <v>40</v>
      </c>
      <c r="O9" s="1">
        <f>Hispanic!L8</f>
        <v>40</v>
      </c>
      <c r="P9" s="1">
        <f>Asian!L8</f>
        <v>40</v>
      </c>
      <c r="Q9" s="1">
        <f>Hawaiian!L8</f>
        <v>139</v>
      </c>
      <c r="R9" s="1">
        <f>'Am Indian'!L8</f>
        <v>40</v>
      </c>
      <c r="S9" s="1">
        <f>'Other - Mixed'!L8</f>
        <v>139</v>
      </c>
      <c r="T9" s="1">
        <f>'All Minorities'!L8</f>
        <v>40</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11</v>
      </c>
      <c r="D12" s="113">
        <f>'Data Entry'!D11</f>
        <v>0</v>
      </c>
      <c r="E12" s="114" t="str">
        <f>'Black or African-American'!$G11</f>
        <v>--</v>
      </c>
      <c r="F12" s="115">
        <f>'Data Entry'!E11</f>
        <v>0</v>
      </c>
      <c r="G12" s="114" t="str">
        <f>Hispanic!G11</f>
        <v>--</v>
      </c>
      <c r="H12" s="115">
        <f>'Data Entry'!F11</f>
        <v>0</v>
      </c>
      <c r="I12" s="114" t="str">
        <f>Asian!G11</f>
        <v>--</v>
      </c>
      <c r="J12" s="115">
        <f>'Data Entry'!J11</f>
        <v>2</v>
      </c>
      <c r="K12" s="116" t="str">
        <f>'All Minorities'!G11</f>
        <v>**</v>
      </c>
      <c r="L12"/>
      <c r="N12" s="1" t="e">
        <f>'Black or African-American'!L11</f>
        <v>#VALUE!</v>
      </c>
      <c r="O12" s="1" t="e">
        <f>Hispanic!L11</f>
        <v>#VALUE!</v>
      </c>
      <c r="P12" s="1" t="e">
        <f>Asian!L11</f>
        <v>#VALUE!</v>
      </c>
      <c r="Q12" s="1" t="e">
        <f>Hawaiian!L11</f>
        <v>#VALUE!</v>
      </c>
      <c r="R12" s="1" t="e">
        <f>'Am Indian'!L11</f>
        <v>#VALUE!</v>
      </c>
      <c r="S12" s="1">
        <f>'Other - Mixed'!L11</f>
        <v>139</v>
      </c>
      <c r="T12" s="1">
        <f>'All Minorities'!L11</f>
        <v>40</v>
      </c>
    </row>
    <row r="13" spans="2:30" s="1" customFormat="1" ht="15" customHeight="1" x14ac:dyDescent="0.3">
      <c r="B13" s="125" t="s">
        <v>13</v>
      </c>
      <c r="C13" s="104">
        <f>'Data Entry'!C12</f>
        <v>10</v>
      </c>
      <c r="D13" s="109">
        <f>'Data Entry'!D12</f>
        <v>0</v>
      </c>
      <c r="E13" s="110" t="str">
        <f>'Black or African-American'!$G12</f>
        <v>--</v>
      </c>
      <c r="F13" s="111">
        <f>'Data Entry'!E12</f>
        <v>0</v>
      </c>
      <c r="G13" s="110" t="str">
        <f>Hispanic!G12</f>
        <v>--</v>
      </c>
      <c r="H13" s="111">
        <f>'Data Entry'!F12</f>
        <v>0</v>
      </c>
      <c r="I13" s="110" t="str">
        <f>Asian!G12</f>
        <v>--</v>
      </c>
      <c r="J13" s="111">
        <f>'Data Entry'!J12</f>
        <v>1</v>
      </c>
      <c r="K13" s="112" t="str">
        <f>'All Minorities'!G12</f>
        <v>**</v>
      </c>
      <c r="L13"/>
      <c r="N13" s="1" t="e">
        <f>'Black or African-American'!L12</f>
        <v>#VALUE!</v>
      </c>
      <c r="O13" s="1" t="e">
        <f>Hispanic!L12</f>
        <v>#VALUE!</v>
      </c>
      <c r="P13" s="1" t="e">
        <f>Asian!L12</f>
        <v>#VALUE!</v>
      </c>
      <c r="Q13" s="1" t="e">
        <f>Hawaiian!L12</f>
        <v>#VALUE!</v>
      </c>
      <c r="R13" s="1" t="e">
        <f>'Am Indian'!L12</f>
        <v>#VALUE!</v>
      </c>
      <c r="S13" s="1">
        <f>'Other - Mixed'!L12</f>
        <v>139</v>
      </c>
      <c r="T13" s="1">
        <f>'All Minorities'!L12</f>
        <v>40</v>
      </c>
      <c r="W13" s="135"/>
      <c r="X13" s="135"/>
      <c r="Y13" s="135"/>
      <c r="Z13" s="135"/>
      <c r="AA13" s="135"/>
      <c r="AB13" s="135"/>
      <c r="AC13" s="135"/>
      <c r="AD13" s="135"/>
    </row>
    <row r="14" spans="2:30" s="1" customFormat="1" ht="15" customHeight="1" x14ac:dyDescent="0.3">
      <c r="B14" s="125" t="s">
        <v>14</v>
      </c>
      <c r="C14" s="104">
        <f>'Data Entry'!C13</f>
        <v>4</v>
      </c>
      <c r="D14" s="113">
        <f>'Data Entry'!D13</f>
        <v>0</v>
      </c>
      <c r="E14" s="114" t="str">
        <f>'Black or African-American'!$G13</f>
        <v>--</v>
      </c>
      <c r="F14" s="115">
        <f>'Data Entry'!E13</f>
        <v>0</v>
      </c>
      <c r="G14" s="114" t="str">
        <f>Hispanic!G13</f>
        <v>--</v>
      </c>
      <c r="H14" s="115">
        <f>'Data Entry'!F13</f>
        <v>0</v>
      </c>
      <c r="I14" s="114" t="str">
        <f>Asian!G13</f>
        <v>--</v>
      </c>
      <c r="J14" s="115">
        <f>'Data Entry'!J13</f>
        <v>1</v>
      </c>
      <c r="K14" s="116" t="str">
        <f>'All Minorities'!G13</f>
        <v>**</v>
      </c>
      <c r="L14"/>
      <c r="N14" s="1" t="e">
        <f>'Black or African-American'!L13</f>
        <v>#VALUE!</v>
      </c>
      <c r="O14" s="1" t="e">
        <f>Hispanic!L13</f>
        <v>#VALUE!</v>
      </c>
      <c r="P14" s="1" t="e">
        <f>Asian!L13</f>
        <v>#VALUE!</v>
      </c>
      <c r="Q14" s="1" t="e">
        <f>Hawaiian!L13</f>
        <v>#VALUE!</v>
      </c>
      <c r="R14" s="1" t="e">
        <f>'Am Indian'!L13</f>
        <v>#VALUE!</v>
      </c>
      <c r="S14" s="1">
        <f>'Other - Mixed'!L13</f>
        <v>139</v>
      </c>
      <c r="T14" s="1">
        <f>'All Minorities'!L13</f>
        <v>40</v>
      </c>
      <c r="W14" s="135"/>
      <c r="X14" s="135"/>
      <c r="Y14" s="135"/>
      <c r="Z14" s="135"/>
      <c r="AA14" s="135"/>
      <c r="AB14" s="135"/>
      <c r="AC14" s="135"/>
      <c r="AD14" s="135"/>
    </row>
    <row r="15" spans="2:30" s="1" customFormat="1" ht="33" x14ac:dyDescent="0.3">
      <c r="B15" s="130"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Yes</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Presque Isle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719</v>
      </c>
      <c r="D6" s="34"/>
      <c r="E6" s="33">
        <f>'Data Entry'!D6</f>
        <v>16</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2.781641168289291</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16</v>
      </c>
      <c r="P7" s="42">
        <f t="shared" ref="P7:P15" si="2">C7</f>
        <v>2</v>
      </c>
      <c r="Q7" s="42">
        <f>C6-C7</f>
        <v>717</v>
      </c>
      <c r="R7" s="42">
        <f t="shared" ref="R7:R15" si="3">SUM(N7:Q7)</f>
        <v>735</v>
      </c>
      <c r="S7" s="30">
        <f t="shared" ref="S7:S15" si="4">R7*((((N7*Q7)-(O7*P7))^2))</f>
        <v>752640</v>
      </c>
      <c r="T7" s="30">
        <f t="shared" ref="T7:T15" si="5">(N7+O7)*(P7+Q7)*(N7+P7)*(O7+Q7)</f>
        <v>16864864</v>
      </c>
      <c r="U7" s="31">
        <f t="shared" ref="U7:U15" si="6">IF((S7&gt;0),S7/T7,"- -")</f>
        <v>4.4627694596292032E-2</v>
      </c>
    </row>
    <row r="8" spans="2:21" ht="18" customHeight="1" x14ac:dyDescent="0.25">
      <c r="B8" s="32" t="str">
        <f>'Data Entry'!A8</f>
        <v>3. Refer to Juvenile Court</v>
      </c>
      <c r="C8" s="33">
        <f>'Data Entry'!C8</f>
        <v>13</v>
      </c>
      <c r="D8" s="34">
        <f>IF((AND(C67&gt;0,C8&gt;0)),(C8/C67),0)</f>
        <v>650</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13</v>
      </c>
      <c r="Q8" s="42">
        <f>(C$67*L67)-C8</f>
        <v>-11</v>
      </c>
      <c r="R8" s="42">
        <f t="shared" si="3"/>
        <v>2.0500000000000007</v>
      </c>
      <c r="S8" s="30">
        <f t="shared" si="4"/>
        <v>0.86612500000000037</v>
      </c>
      <c r="T8" s="30">
        <f t="shared" si="5"/>
        <v>-14.234999999999999</v>
      </c>
      <c r="U8" s="31">
        <f t="shared" si="6"/>
        <v>-6.0844748858447519E-2</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13</v>
      </c>
      <c r="R9" s="42">
        <f t="shared" si="3"/>
        <v>13</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13</v>
      </c>
      <c r="R10" s="42">
        <f t="shared" si="3"/>
        <v>13</v>
      </c>
      <c r="S10" s="30">
        <f t="shared" si="4"/>
        <v>0</v>
      </c>
      <c r="T10" s="30">
        <f t="shared" si="5"/>
        <v>0</v>
      </c>
      <c r="U10" s="31" t="str">
        <f t="shared" si="6"/>
        <v>- -</v>
      </c>
    </row>
    <row r="11" spans="2:21" ht="18" customHeight="1" x14ac:dyDescent="0.25">
      <c r="B11" s="32" t="str">
        <f>'Data Entry'!A11</f>
        <v>6. Cases Petitioned (Charge Filed)</v>
      </c>
      <c r="C11" s="33">
        <f>'Data Entry'!C11</f>
        <v>11</v>
      </c>
      <c r="D11" s="34">
        <f>IF(((AND(C68&gt;0,C11&gt;0))),(C11/(C68)),0)</f>
        <v>84.615384615384613</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11</v>
      </c>
      <c r="Q11" s="42">
        <f>(C$68*L68)-C11</f>
        <v>2</v>
      </c>
      <c r="R11" s="42">
        <f t="shared" si="3"/>
        <v>13</v>
      </c>
      <c r="S11" s="30">
        <f t="shared" si="4"/>
        <v>0</v>
      </c>
      <c r="T11" s="30">
        <f t="shared" si="5"/>
        <v>0</v>
      </c>
      <c r="U11" s="31" t="str">
        <f t="shared" si="6"/>
        <v>- -</v>
      </c>
    </row>
    <row r="12" spans="2:21" ht="18" customHeight="1" x14ac:dyDescent="0.25">
      <c r="B12" s="32" t="str">
        <f>'Data Entry'!A12</f>
        <v>7. Cases Resulting in Delinquent Findings</v>
      </c>
      <c r="C12" s="33">
        <f>'Data Entry'!C12</f>
        <v>10</v>
      </c>
      <c r="D12" s="34">
        <f>IF(((AND(C69&gt;0,C12&gt;0))),(C12/(C69)),0)</f>
        <v>90.909090909090907</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10</v>
      </c>
      <c r="Q12" s="42">
        <f>(C69*L69)-C12</f>
        <v>1</v>
      </c>
      <c r="R12" s="42">
        <f t="shared" si="3"/>
        <v>11</v>
      </c>
      <c r="S12" s="30">
        <f t="shared" si="4"/>
        <v>0</v>
      </c>
      <c r="T12" s="30">
        <f t="shared" si="5"/>
        <v>0</v>
      </c>
      <c r="U12" s="31" t="str">
        <f t="shared" si="6"/>
        <v>- -</v>
      </c>
    </row>
    <row r="13" spans="2:21" ht="18" customHeight="1" x14ac:dyDescent="0.25">
      <c r="B13" s="32" t="str">
        <f>'Data Entry'!A13</f>
        <v>8. Cases Resulting in Probation Placement</v>
      </c>
      <c r="C13" s="33">
        <f>'Data Entry'!C13</f>
        <v>4</v>
      </c>
      <c r="D13" s="34">
        <f>IF(((AND(C70&gt;0,C13&gt;0))),(C13/(C70)),0)</f>
        <v>40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4</v>
      </c>
      <c r="Q13" s="42">
        <f>(C70*L70)-C13</f>
        <v>6</v>
      </c>
      <c r="R13" s="42">
        <f t="shared" si="3"/>
        <v>10</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10</v>
      </c>
      <c r="R14" s="42">
        <f t="shared" si="3"/>
        <v>10</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11</v>
      </c>
      <c r="R15" s="42">
        <f t="shared" si="3"/>
        <v>11</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0.71899999999999997</v>
      </c>
      <c r="D42" s="56">
        <f>E6/1000</f>
        <v>1.6E-2</v>
      </c>
      <c r="E42" s="56">
        <f>MAX(C42:D42)</f>
        <v>0.71899999999999997</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0.13</v>
      </c>
      <c r="D44" s="56">
        <f>E8/100</f>
        <v>0</v>
      </c>
      <c r="E44" s="56">
        <f>MAX(C44:D44,0)</f>
        <v>0.13</v>
      </c>
      <c r="G44" s="1" t="str">
        <f>B44</f>
        <v>per 100 referrals</v>
      </c>
      <c r="L44" s="57">
        <v>100</v>
      </c>
      <c r="M44" s="57"/>
      <c r="R44" s="49"/>
    </row>
    <row r="45" spans="2:18" ht="15" hidden="1" customHeight="1" x14ac:dyDescent="0.25">
      <c r="B45" s="49" t="s">
        <v>89</v>
      </c>
      <c r="C45" s="49">
        <f>C11/100</f>
        <v>0.11</v>
      </c>
      <c r="D45" s="49">
        <f>E11/100</f>
        <v>0</v>
      </c>
      <c r="E45" s="56">
        <f>MAX(C45:D45,0)</f>
        <v>0.11</v>
      </c>
      <c r="G45" s="1" t="str">
        <f>B45</f>
        <v>per 100 youth petitioned</v>
      </c>
      <c r="L45" s="57">
        <v>100</v>
      </c>
      <c r="M45" s="57"/>
      <c r="R45" s="49"/>
    </row>
    <row r="46" spans="2:18" ht="15" hidden="1" customHeight="1" x14ac:dyDescent="0.25">
      <c r="B46" s="49" t="s">
        <v>90</v>
      </c>
      <c r="C46" s="49">
        <f>C12/100</f>
        <v>0.1</v>
      </c>
      <c r="D46" s="49">
        <f>E12/100</f>
        <v>0</v>
      </c>
      <c r="E46" s="56">
        <f>MAX(C46:D46)</f>
        <v>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0.71899999999999997</v>
      </c>
      <c r="D48" s="56">
        <f>D42</f>
        <v>1.6E-2</v>
      </c>
      <c r="E48" s="56">
        <f>MAX(C48:D48)</f>
        <v>0.71899999999999997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0.13</v>
      </c>
      <c r="D50" s="49">
        <f t="shared" si="9"/>
        <v>0</v>
      </c>
      <c r="E50" s="49">
        <f>MAX(C50:D50)</f>
        <v>0.13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0.11</v>
      </c>
      <c r="D51" s="49">
        <f>IF(($E45&gt;0),D45,D44)</f>
        <v>0</v>
      </c>
      <c r="E51" s="49">
        <f>MAX(C51:D51)</f>
        <v>0.11</v>
      </c>
      <c r="G51" s="1" t="str">
        <f>G45</f>
        <v>per 100 youth petitioned</v>
      </c>
      <c r="L51" s="58">
        <f>IF(($E45&gt;0),L45,L44)</f>
        <v>100</v>
      </c>
      <c r="M51" s="58"/>
    </row>
    <row r="52" spans="2:18" ht="15" hidden="1" customHeight="1" x14ac:dyDescent="0.25">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0.71899999999999997</v>
      </c>
      <c r="D54" s="56">
        <f>D48</f>
        <v>1.6E-2</v>
      </c>
      <c r="E54" s="56">
        <f>MAX(C54:D54)</f>
        <v>0.71899999999999997</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referrals</v>
      </c>
      <c r="C56" s="49">
        <f t="shared" si="10"/>
        <v>0.13</v>
      </c>
      <c r="D56" s="49">
        <f t="shared" si="10"/>
        <v>0</v>
      </c>
      <c r="E56" s="49">
        <f>MAX(C56:D56)</f>
        <v>0.13</v>
      </c>
      <c r="G56" s="1" t="str">
        <f>G50</f>
        <v>per 100 referrals</v>
      </c>
      <c r="L56" s="58">
        <f>IF(($E50&gt;0),L50,L49)</f>
        <v>100</v>
      </c>
      <c r="M56" s="58"/>
    </row>
    <row r="57" spans="2:18" ht="15" hidden="1" customHeight="1" x14ac:dyDescent="0.25">
      <c r="B57" s="49" t="str">
        <f>IF(($E51&gt;0),B51,B49)</f>
        <v>per 100 youth petitioned</v>
      </c>
      <c r="C57" s="49">
        <f>IF(($E51&gt;0),C51,C50)</f>
        <v>0.11</v>
      </c>
      <c r="D57" s="49">
        <f>IF(($E51&gt;0),D51,D50)</f>
        <v>0</v>
      </c>
      <c r="E57" s="49">
        <f>MAX(C57:D57)</f>
        <v>0.11</v>
      </c>
      <c r="G57" s="1" t="str">
        <f>G51</f>
        <v>per 100 youth petitioned</v>
      </c>
      <c r="L57" s="58">
        <f>IF(($E51&gt;0),L51,L50)</f>
        <v>100</v>
      </c>
      <c r="M57" s="58"/>
    </row>
    <row r="58" spans="2:18" ht="15" hidden="1" customHeight="1" x14ac:dyDescent="0.25">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0.71899999999999997</v>
      </c>
      <c r="D60" s="56">
        <f>D54</f>
        <v>1.6E-2</v>
      </c>
      <c r="E60" s="56">
        <f>MAX(C60:D60)</f>
        <v>0.71899999999999997</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referrals</v>
      </c>
      <c r="C62" s="49">
        <f t="shared" si="11"/>
        <v>0.13</v>
      </c>
      <c r="D62" s="49">
        <f t="shared" si="11"/>
        <v>0</v>
      </c>
      <c r="E62" s="49">
        <f>MAX(C62:D62)</f>
        <v>0.13</v>
      </c>
      <c r="G62" s="1" t="str">
        <f>G56</f>
        <v>per 100 referrals</v>
      </c>
      <c r="L62" s="58">
        <f>IF(($E56&gt;0),L56,L55)</f>
        <v>100</v>
      </c>
      <c r="M62" s="58"/>
    </row>
    <row r="63" spans="2:18" ht="15" hidden="1" customHeight="1" x14ac:dyDescent="0.25">
      <c r="B63" s="49" t="str">
        <f>IF(($E57&gt;0),B57,B55)</f>
        <v>per 100 youth petitioned</v>
      </c>
      <c r="C63" s="49">
        <f>IF(($E57&gt;0),C57,C56)</f>
        <v>0.11</v>
      </c>
      <c r="D63" s="49">
        <f>IF(($E57&gt;0),D57,D56)</f>
        <v>0</v>
      </c>
      <c r="E63" s="49">
        <f>MAX(C63:D63)</f>
        <v>0.11</v>
      </c>
      <c r="G63" s="1" t="str">
        <f>G57</f>
        <v>per 100 youth petitioned</v>
      </c>
      <c r="L63" s="58">
        <f>IF(($E57&gt;0),L57,L56)</f>
        <v>100</v>
      </c>
      <c r="M63" s="58"/>
    </row>
    <row r="64" spans="2:18" ht="15" hidden="1" customHeight="1" x14ac:dyDescent="0.25">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0.71899999999999997</v>
      </c>
      <c r="D66" s="56">
        <f>D60</f>
        <v>1.6E-2</v>
      </c>
      <c r="E66" s="56">
        <f>MAX(C66:D66)</f>
        <v>0.71899999999999997</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referrals</v>
      </c>
      <c r="C68" s="49">
        <f t="shared" si="12"/>
        <v>0.13</v>
      </c>
      <c r="D68" s="49">
        <f t="shared" si="12"/>
        <v>0</v>
      </c>
      <c r="E68" s="49">
        <f>MAX(C68:D68)</f>
        <v>0.13</v>
      </c>
      <c r="G68" s="1" t="str">
        <f>G62</f>
        <v>per 100 referrals</v>
      </c>
      <c r="L68" s="58">
        <f>IF(($E62&gt;0),L62,L61)</f>
        <v>100</v>
      </c>
      <c r="M68" s="58">
        <f>IF((B68=G68),1,2)</f>
        <v>1</v>
      </c>
    </row>
    <row r="69" spans="2:13" ht="15" hidden="1" customHeight="1" x14ac:dyDescent="0.25">
      <c r="B69" s="49" t="str">
        <f>IF(($E63&gt;0),B63,B61)</f>
        <v>per 100 youth petitioned</v>
      </c>
      <c r="C69" s="49">
        <f>IF(($E63&gt;0),C63,C62)</f>
        <v>0.11</v>
      </c>
      <c r="D69" s="49">
        <f>IF(($E63&gt;0),D63,D62)</f>
        <v>0</v>
      </c>
      <c r="E69" s="49">
        <f>MAX(C69:D69)</f>
        <v>0.11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Presque Isle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719</v>
      </c>
      <c r="D6" s="34"/>
      <c r="E6" s="33">
        <f>'Data Entry'!F6</f>
        <v>11</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2.781641168289291</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11</v>
      </c>
      <c r="P7" s="42">
        <f t="shared" ref="P7:P15" si="4">C7</f>
        <v>2</v>
      </c>
      <c r="Q7" s="42">
        <f>C6-C7</f>
        <v>717</v>
      </c>
      <c r="R7" s="42">
        <f t="shared" ref="R7:R15" si="5">SUM(N7:Q7)</f>
        <v>730</v>
      </c>
      <c r="S7" s="30">
        <f t="shared" ref="S7:S15" si="6">R7*((((N7*Q7)-(O7*P7))^2))</f>
        <v>353320</v>
      </c>
      <c r="T7" s="30">
        <f t="shared" ref="T7:T15" si="7">(N7+O7)*(P7+Q7)*(N7+P7)*(O7+Q7)</f>
        <v>11515504</v>
      </c>
      <c r="U7" s="31">
        <f t="shared" ref="U7:U15" si="8">IF((S7&gt;0),S7/T7,"- -")</f>
        <v>3.0682113435938192E-2</v>
      </c>
    </row>
    <row r="8" spans="2:21" ht="18" customHeight="1" x14ac:dyDescent="0.25">
      <c r="B8" s="32" t="str">
        <f>'Data Entry'!A8</f>
        <v>3. Refer to Juvenile Court</v>
      </c>
      <c r="C8" s="33">
        <f>'Data Entry'!C8</f>
        <v>13</v>
      </c>
      <c r="D8" s="34">
        <f>IF((AND(C67&gt;0,C8&gt;0)),(C8/C67),0)</f>
        <v>650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13</v>
      </c>
      <c r="Q8" s="42">
        <f>(C$67*L67)-C8</f>
        <v>-11</v>
      </c>
      <c r="R8" s="42">
        <f t="shared" si="5"/>
        <v>2.0500000000000007</v>
      </c>
      <c r="S8" s="30">
        <f t="shared" si="6"/>
        <v>0.86612500000000037</v>
      </c>
      <c r="T8" s="30">
        <f t="shared" si="7"/>
        <v>-14.234999999999999</v>
      </c>
      <c r="U8" s="31">
        <f t="shared" si="8"/>
        <v>-6.0844748858447519E-2</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13</v>
      </c>
      <c r="R9" s="42">
        <f t="shared" si="5"/>
        <v>13</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13</v>
      </c>
      <c r="R10" s="42">
        <f t="shared" si="5"/>
        <v>13</v>
      </c>
      <c r="S10" s="30">
        <f t="shared" si="6"/>
        <v>0</v>
      </c>
      <c r="T10" s="30">
        <f t="shared" si="7"/>
        <v>0</v>
      </c>
      <c r="U10" s="31" t="str">
        <f t="shared" si="8"/>
        <v>- -</v>
      </c>
    </row>
    <row r="11" spans="2:21" ht="18" customHeight="1" x14ac:dyDescent="0.25">
      <c r="B11" s="32" t="str">
        <f>'Data Entry'!A11</f>
        <v>6. Cases Petitioned (Charge Filed)</v>
      </c>
      <c r="C11" s="33">
        <f>'Data Entry'!C11</f>
        <v>11</v>
      </c>
      <c r="D11" s="34">
        <f>IF(((AND(C68&gt;0,C11&gt;0))),(C11/(C68)),0)</f>
        <v>84.615384615384613</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v>
      </c>
      <c r="Q11" s="42">
        <f>(C$68*L68)-C11</f>
        <v>2</v>
      </c>
      <c r="R11" s="42">
        <f t="shared" si="5"/>
        <v>13</v>
      </c>
      <c r="S11" s="30">
        <f t="shared" si="6"/>
        <v>0</v>
      </c>
      <c r="T11" s="30">
        <f t="shared" si="7"/>
        <v>0</v>
      </c>
      <c r="U11" s="31" t="str">
        <f t="shared" si="8"/>
        <v>- -</v>
      </c>
    </row>
    <row r="12" spans="2:21" ht="18" customHeight="1" x14ac:dyDescent="0.25">
      <c r="B12" s="32" t="str">
        <f>'Data Entry'!A12</f>
        <v>7. Cases Resulting in Delinquent Findings</v>
      </c>
      <c r="C12" s="33">
        <f>'Data Entry'!C12</f>
        <v>10</v>
      </c>
      <c r="D12" s="34">
        <f>IF(((AND(C69&gt;0,C12&gt;0))),(C12/(C69)),0)</f>
        <v>90.909090909090907</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1</v>
      </c>
      <c r="R12" s="42">
        <f t="shared" si="5"/>
        <v>11</v>
      </c>
      <c r="S12" s="30">
        <f t="shared" si="6"/>
        <v>0</v>
      </c>
      <c r="T12" s="30">
        <f t="shared" si="7"/>
        <v>0</v>
      </c>
      <c r="U12" s="31" t="str">
        <f t="shared" si="8"/>
        <v>- -</v>
      </c>
    </row>
    <row r="13" spans="2:21" ht="18" customHeight="1" x14ac:dyDescent="0.25">
      <c r="B13" s="32" t="str">
        <f>'Data Entry'!A13</f>
        <v>8. Cases Resulting in Probation Placement</v>
      </c>
      <c r="C13" s="33">
        <f>'Data Entry'!C13</f>
        <v>4</v>
      </c>
      <c r="D13" s="34">
        <f>IF(((AND(C70&gt;0,C13&gt;0))),(C13/(C70)),0)</f>
        <v>40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v>
      </c>
      <c r="Q13" s="42">
        <f>(C70*L70)-C13</f>
        <v>6</v>
      </c>
      <c r="R13" s="42">
        <f t="shared" si="5"/>
        <v>10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10</v>
      </c>
      <c r="R14" s="42">
        <f t="shared" si="5"/>
        <v>10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v>
      </c>
      <c r="R15" s="42">
        <f t="shared" si="5"/>
        <v>11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0.71899999999999997</v>
      </c>
      <c r="D42" s="56">
        <f>E6/1000</f>
        <v>1.0999999999999999E-2</v>
      </c>
      <c r="E42" s="56">
        <f>MAX(C42:D42)</f>
        <v>0.71899999999999997</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0.13</v>
      </c>
      <c r="D44" s="56">
        <f>E8/100</f>
        <v>0</v>
      </c>
      <c r="E44" s="56">
        <f>MAX(C44:D44,0)</f>
        <v>0.13</v>
      </c>
      <c r="G44" s="1" t="str">
        <f>B44</f>
        <v>per 100 referrals</v>
      </c>
      <c r="L44" s="57">
        <v>100</v>
      </c>
      <c r="M44" s="57"/>
      <c r="R44" s="49"/>
    </row>
    <row r="45" spans="2:18" ht="15" hidden="1" customHeight="1" x14ac:dyDescent="0.25">
      <c r="B45" s="49" t="s">
        <v>89</v>
      </c>
      <c r="C45" s="49">
        <f>C11/100</f>
        <v>0.11</v>
      </c>
      <c r="D45" s="49">
        <f>E11/100</f>
        <v>0</v>
      </c>
      <c r="E45" s="56">
        <f>MAX(C45:D45,0)</f>
        <v>0.11</v>
      </c>
      <c r="G45" s="1" t="str">
        <f>B45</f>
        <v>per 100 youth petitioned</v>
      </c>
      <c r="L45" s="57">
        <v>100</v>
      </c>
      <c r="M45" s="57"/>
      <c r="R45" s="49"/>
    </row>
    <row r="46" spans="2:18" ht="15" hidden="1" customHeight="1" x14ac:dyDescent="0.25">
      <c r="B46" s="49" t="s">
        <v>90</v>
      </c>
      <c r="C46" s="49">
        <f>C12/100</f>
        <v>0.1</v>
      </c>
      <c r="D46" s="49">
        <f>E12/100</f>
        <v>0</v>
      </c>
      <c r="E46" s="56">
        <f>MAX(C46:D46)</f>
        <v>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0.71899999999999997</v>
      </c>
      <c r="D48" s="56">
        <f>D42</f>
        <v>1.0999999999999999E-2</v>
      </c>
      <c r="E48" s="56">
        <f>MAX(C48:D48)</f>
        <v>0.71899999999999997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0.13</v>
      </c>
      <c r="D50" s="49">
        <f t="shared" si="9"/>
        <v>0</v>
      </c>
      <c r="E50" s="49">
        <f>MAX(C50:D50)</f>
        <v>0.13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0.11</v>
      </c>
      <c r="D51" s="49">
        <f>IF(($E45&gt;0),D45,D44)</f>
        <v>0</v>
      </c>
      <c r="E51" s="49">
        <f>MAX(C51:D51)</f>
        <v>0.11</v>
      </c>
      <c r="G51" s="1" t="str">
        <f>G45</f>
        <v>per 100 youth petitioned</v>
      </c>
      <c r="L51" s="58">
        <f>IF(($E45&gt;0),L45,L44)</f>
        <v>100</v>
      </c>
      <c r="M51" s="58"/>
    </row>
    <row r="52" spans="2:18" ht="15" hidden="1" customHeight="1" x14ac:dyDescent="0.25">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0.71899999999999997</v>
      </c>
      <c r="D54" s="56">
        <f>D48</f>
        <v>1.0999999999999999E-2</v>
      </c>
      <c r="E54" s="56">
        <f>MAX(C54:D54)</f>
        <v>0.71899999999999997</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referrals</v>
      </c>
      <c r="C56" s="49">
        <f t="shared" si="10"/>
        <v>0.13</v>
      </c>
      <c r="D56" s="49">
        <f t="shared" si="10"/>
        <v>0</v>
      </c>
      <c r="E56" s="49">
        <f>MAX(C56:D56)</f>
        <v>0.13</v>
      </c>
      <c r="G56" s="1" t="str">
        <f>G50</f>
        <v>per 100 referrals</v>
      </c>
      <c r="L56" s="58">
        <f>IF(($E50&gt;0),L50,L49)</f>
        <v>100</v>
      </c>
      <c r="M56" s="58"/>
    </row>
    <row r="57" spans="2:18" ht="15" hidden="1" customHeight="1" x14ac:dyDescent="0.25">
      <c r="B57" s="49" t="str">
        <f>IF(($E51&gt;0),B51,B49)</f>
        <v>per 100 youth petitioned</v>
      </c>
      <c r="C57" s="49">
        <f>IF(($E51&gt;0),C51,C50)</f>
        <v>0.11</v>
      </c>
      <c r="D57" s="49">
        <f>IF(($E51&gt;0),D51,D50)</f>
        <v>0</v>
      </c>
      <c r="E57" s="49">
        <f>MAX(C57:D57)</f>
        <v>0.11</v>
      </c>
      <c r="G57" s="1" t="str">
        <f>G51</f>
        <v>per 100 youth petitioned</v>
      </c>
      <c r="L57" s="58">
        <f>IF(($E51&gt;0),L51,L50)</f>
        <v>100</v>
      </c>
      <c r="M57" s="58"/>
    </row>
    <row r="58" spans="2:18" ht="15" hidden="1" customHeight="1" x14ac:dyDescent="0.25">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0.71899999999999997</v>
      </c>
      <c r="D60" s="56">
        <f>D54</f>
        <v>1.0999999999999999E-2</v>
      </c>
      <c r="E60" s="56">
        <f>MAX(C60:D60)</f>
        <v>0.71899999999999997</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referrals</v>
      </c>
      <c r="C62" s="49">
        <f t="shared" si="11"/>
        <v>0.13</v>
      </c>
      <c r="D62" s="49">
        <f t="shared" si="11"/>
        <v>0</v>
      </c>
      <c r="E62" s="49">
        <f>MAX(C62:D62)</f>
        <v>0.13</v>
      </c>
      <c r="G62" s="1" t="str">
        <f>G56</f>
        <v>per 100 referrals</v>
      </c>
      <c r="L62" s="58">
        <f>IF(($E56&gt;0),L56,L55)</f>
        <v>100</v>
      </c>
      <c r="M62" s="58"/>
    </row>
    <row r="63" spans="2:18" ht="15" hidden="1" customHeight="1" x14ac:dyDescent="0.25">
      <c r="B63" s="49" t="str">
        <f>IF(($E57&gt;0),B57,B55)</f>
        <v>per 100 youth petitioned</v>
      </c>
      <c r="C63" s="49">
        <f>IF(($E57&gt;0),C57,C56)</f>
        <v>0.11</v>
      </c>
      <c r="D63" s="49">
        <f>IF(($E57&gt;0),D57,D56)</f>
        <v>0</v>
      </c>
      <c r="E63" s="49">
        <f>MAX(C63:D63)</f>
        <v>0.11</v>
      </c>
      <c r="G63" s="1" t="str">
        <f>G57</f>
        <v>per 100 youth petitioned</v>
      </c>
      <c r="L63" s="58">
        <f>IF(($E57&gt;0),L57,L56)</f>
        <v>100</v>
      </c>
      <c r="M63" s="58"/>
    </row>
    <row r="64" spans="2:18" ht="15" hidden="1" customHeight="1" x14ac:dyDescent="0.25">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0.71899999999999997</v>
      </c>
      <c r="D66" s="56">
        <f>D60</f>
        <v>1.0999999999999999E-2</v>
      </c>
      <c r="E66" s="56">
        <f>MAX(C66:D66)</f>
        <v>0.71899999999999997</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referrals</v>
      </c>
      <c r="C68" s="49">
        <f t="shared" si="12"/>
        <v>0.13</v>
      </c>
      <c r="D68" s="49">
        <f t="shared" si="12"/>
        <v>0</v>
      </c>
      <c r="E68" s="49">
        <f>MAX(C68:D68)</f>
        <v>0.13</v>
      </c>
      <c r="G68" s="1" t="str">
        <f>G62</f>
        <v>per 100 referrals</v>
      </c>
      <c r="L68" s="58">
        <f>IF(($E62&gt;0),L62,L61)</f>
        <v>100</v>
      </c>
      <c r="M68" s="58">
        <f>IF((B68=G68),1,2)</f>
        <v>1</v>
      </c>
    </row>
    <row r="69" spans="2:13" ht="15" hidden="1" customHeight="1" x14ac:dyDescent="0.25">
      <c r="B69" s="49" t="str">
        <f>IF(($E63&gt;0),B63,B61)</f>
        <v>per 100 youth petitioned</v>
      </c>
      <c r="C69" s="49">
        <f>IF(($E63&gt;0),C63,C62)</f>
        <v>0.11</v>
      </c>
      <c r="D69" s="49">
        <f>IF(($E63&gt;0),D63,D62)</f>
        <v>0</v>
      </c>
      <c r="E69" s="49">
        <f>MAX(C69:D69)</f>
        <v>0.11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Presque Isle</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719</v>
      </c>
      <c r="D6" s="34"/>
      <c r="E6" s="33">
        <f>'Data Entry'!E6</f>
        <v>38</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2.781641168289291</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38</v>
      </c>
      <c r="P7" s="42">
        <f t="shared" ref="P7:P15" si="4">C7</f>
        <v>2</v>
      </c>
      <c r="Q7" s="42">
        <f>C6-C7</f>
        <v>717</v>
      </c>
      <c r="R7" s="42">
        <f t="shared" ref="R7:R15" si="5">SUM(N7:Q7)</f>
        <v>757</v>
      </c>
      <c r="S7" s="30">
        <f t="shared" ref="S7:S15" si="6">R7*((((N7*Q7)-(O7*P7))^2))</f>
        <v>4372432</v>
      </c>
      <c r="T7" s="30">
        <f t="shared" ref="T7:T15" si="7">(N7+O7)*(P7+Q7)*(N7+P7)*(O7+Q7)</f>
        <v>41256220</v>
      </c>
      <c r="U7" s="31">
        <f t="shared" ref="U7:U15" si="8">IF((S7&gt;0),S7/T7,"- -")</f>
        <v>0.10598237065829104</v>
      </c>
    </row>
    <row r="8" spans="2:21" ht="18" customHeight="1" x14ac:dyDescent="0.25">
      <c r="B8" s="32" t="str">
        <f>'Data Entry'!A8</f>
        <v>3. Refer to Juvenile Court</v>
      </c>
      <c r="C8" s="33">
        <f>'Data Entry'!C8</f>
        <v>13</v>
      </c>
      <c r="D8" s="34">
        <f>IF((AND(C67&gt;0,C8&gt;0)),(C8/C67),0)</f>
        <v>650</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13</v>
      </c>
      <c r="Q8" s="42">
        <f>(C$67*L67)-C8</f>
        <v>-11</v>
      </c>
      <c r="R8" s="42">
        <f t="shared" si="5"/>
        <v>2.0500000000000007</v>
      </c>
      <c r="S8" s="30">
        <f t="shared" si="6"/>
        <v>0.86612500000000037</v>
      </c>
      <c r="T8" s="30">
        <f t="shared" si="7"/>
        <v>-14.234999999999999</v>
      </c>
      <c r="U8" s="31">
        <f t="shared" si="8"/>
        <v>-6.0844748858447519E-2</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13</v>
      </c>
      <c r="R9" s="42">
        <f t="shared" si="5"/>
        <v>13</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13</v>
      </c>
      <c r="R10" s="42">
        <f t="shared" si="5"/>
        <v>13</v>
      </c>
      <c r="S10" s="30">
        <f t="shared" si="6"/>
        <v>0</v>
      </c>
      <c r="T10" s="30">
        <f t="shared" si="7"/>
        <v>0</v>
      </c>
      <c r="U10" s="31" t="str">
        <f t="shared" si="8"/>
        <v>- -</v>
      </c>
    </row>
    <row r="11" spans="2:21" ht="18" customHeight="1" x14ac:dyDescent="0.25">
      <c r="B11" s="32" t="str">
        <f>'Data Entry'!A11</f>
        <v>6. Cases Petitioned (Charge Filed)</v>
      </c>
      <c r="C11" s="33">
        <f>'Data Entry'!C11</f>
        <v>11</v>
      </c>
      <c r="D11" s="34">
        <f>IF(((AND(C68&gt;0,C11&gt;0))),(C11/(C68)),0)</f>
        <v>84.615384615384613</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v>
      </c>
      <c r="Q11" s="42">
        <f>(C$68*L68)-C11</f>
        <v>2</v>
      </c>
      <c r="R11" s="42">
        <f t="shared" si="5"/>
        <v>13</v>
      </c>
      <c r="S11" s="30">
        <f t="shared" si="6"/>
        <v>0</v>
      </c>
      <c r="T11" s="30">
        <f t="shared" si="7"/>
        <v>0</v>
      </c>
      <c r="U11" s="31" t="str">
        <f t="shared" si="8"/>
        <v>- -</v>
      </c>
    </row>
    <row r="12" spans="2:21" ht="18" customHeight="1" x14ac:dyDescent="0.25">
      <c r="B12" s="32" t="str">
        <f>'Data Entry'!A12</f>
        <v>7. Cases Resulting in Delinquent Findings</v>
      </c>
      <c r="C12" s="33">
        <f>'Data Entry'!C12</f>
        <v>10</v>
      </c>
      <c r="D12" s="34">
        <f>IF(((AND(C69&gt;0,C12&gt;0))),(C12/(C69)),0)</f>
        <v>90.909090909090907</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1</v>
      </c>
      <c r="R12" s="42">
        <f t="shared" si="5"/>
        <v>11</v>
      </c>
      <c r="S12" s="30">
        <f t="shared" si="6"/>
        <v>0</v>
      </c>
      <c r="T12" s="30">
        <f t="shared" si="7"/>
        <v>0</v>
      </c>
      <c r="U12" s="31" t="str">
        <f t="shared" si="8"/>
        <v>- -</v>
      </c>
    </row>
    <row r="13" spans="2:21" ht="18" customHeight="1" x14ac:dyDescent="0.25">
      <c r="B13" s="32" t="str">
        <f>'Data Entry'!A13</f>
        <v>8. Cases Resulting in Probation Placement</v>
      </c>
      <c r="C13" s="33">
        <f>'Data Entry'!C13</f>
        <v>4</v>
      </c>
      <c r="D13" s="34">
        <f>IF(((AND(C70&gt;0,C13&gt;0))),(C13/(C70)),0)</f>
        <v>40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v>
      </c>
      <c r="Q13" s="42">
        <f>(C70*L70)-C13</f>
        <v>6</v>
      </c>
      <c r="R13" s="42">
        <f t="shared" si="5"/>
        <v>10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10</v>
      </c>
      <c r="R14" s="42">
        <f t="shared" si="5"/>
        <v>10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v>
      </c>
      <c r="R15" s="42">
        <f t="shared" si="5"/>
        <v>11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0.71899999999999997</v>
      </c>
      <c r="D42" s="56">
        <f>E6/1000</f>
        <v>3.7999999999999999E-2</v>
      </c>
      <c r="E42" s="56">
        <f>MAX(C42:D42)</f>
        <v>0.71899999999999997</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0.13</v>
      </c>
      <c r="D44" s="56">
        <f>E8/100</f>
        <v>0</v>
      </c>
      <c r="E44" s="56">
        <f>MAX(C44:D44,0)</f>
        <v>0.13</v>
      </c>
      <c r="G44" s="1" t="str">
        <f>B44</f>
        <v>per 100 referrals</v>
      </c>
      <c r="L44" s="57">
        <v>100</v>
      </c>
      <c r="M44" s="57"/>
      <c r="R44" s="49"/>
    </row>
    <row r="45" spans="2:18" ht="15" hidden="1" customHeight="1" x14ac:dyDescent="0.25">
      <c r="B45" s="49" t="s">
        <v>89</v>
      </c>
      <c r="C45" s="49">
        <f>C11/100</f>
        <v>0.11</v>
      </c>
      <c r="D45" s="49">
        <f>E11/100</f>
        <v>0</v>
      </c>
      <c r="E45" s="56">
        <f>MAX(C45:D45,0)</f>
        <v>0.11</v>
      </c>
      <c r="G45" s="1" t="str">
        <f>B45</f>
        <v>per 100 youth petitioned</v>
      </c>
      <c r="L45" s="57">
        <v>100</v>
      </c>
      <c r="M45" s="57"/>
      <c r="R45" s="49"/>
    </row>
    <row r="46" spans="2:18" ht="15" hidden="1" customHeight="1" x14ac:dyDescent="0.25">
      <c r="B46" s="49" t="s">
        <v>90</v>
      </c>
      <c r="C46" s="49">
        <f>C12/100</f>
        <v>0.1</v>
      </c>
      <c r="D46" s="49">
        <f>E12/100</f>
        <v>0</v>
      </c>
      <c r="E46" s="56">
        <f>MAX(C46:D46)</f>
        <v>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0.71899999999999997</v>
      </c>
      <c r="D48" s="56">
        <f>D42</f>
        <v>3.7999999999999999E-2</v>
      </c>
      <c r="E48" s="56">
        <f>MAX(C48:D48)</f>
        <v>0.71899999999999997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0.13</v>
      </c>
      <c r="D50" s="49">
        <f t="shared" si="9"/>
        <v>0</v>
      </c>
      <c r="E50" s="49">
        <f>MAX(C50:D50)</f>
        <v>0.13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0.11</v>
      </c>
      <c r="D51" s="49">
        <f>IF(($E45&gt;0),D45,D44)</f>
        <v>0</v>
      </c>
      <c r="E51" s="49">
        <f>MAX(C51:D51)</f>
        <v>0.11</v>
      </c>
      <c r="G51" s="1" t="str">
        <f>G45</f>
        <v>per 100 youth petitioned</v>
      </c>
      <c r="L51" s="58">
        <f>IF(($E45&gt;0),L45,L44)</f>
        <v>100</v>
      </c>
      <c r="M51" s="58"/>
    </row>
    <row r="52" spans="2:18" ht="15" hidden="1" customHeight="1" x14ac:dyDescent="0.25">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0.71899999999999997</v>
      </c>
      <c r="D54" s="56">
        <f>D48</f>
        <v>3.7999999999999999E-2</v>
      </c>
      <c r="E54" s="56">
        <f>MAX(C54:D54)</f>
        <v>0.71899999999999997</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referrals</v>
      </c>
      <c r="C56" s="49">
        <f t="shared" si="10"/>
        <v>0.13</v>
      </c>
      <c r="D56" s="49">
        <f t="shared" si="10"/>
        <v>0</v>
      </c>
      <c r="E56" s="49">
        <f>MAX(C56:D56)</f>
        <v>0.13</v>
      </c>
      <c r="G56" s="1" t="str">
        <f>G50</f>
        <v>per 100 referrals</v>
      </c>
      <c r="L56" s="58">
        <f>IF(($E50&gt;0),L50,L49)</f>
        <v>100</v>
      </c>
      <c r="M56" s="58"/>
    </row>
    <row r="57" spans="2:18" ht="15" hidden="1" customHeight="1" x14ac:dyDescent="0.25">
      <c r="B57" s="49" t="str">
        <f>IF(($E51&gt;0),B51,B49)</f>
        <v>per 100 youth petitioned</v>
      </c>
      <c r="C57" s="49">
        <f>IF(($E51&gt;0),C51,C50)</f>
        <v>0.11</v>
      </c>
      <c r="D57" s="49">
        <f>IF(($E51&gt;0),D51,D50)</f>
        <v>0</v>
      </c>
      <c r="E57" s="49">
        <f>MAX(C57:D57)</f>
        <v>0.11</v>
      </c>
      <c r="G57" s="1" t="str">
        <f>G51</f>
        <v>per 100 youth petitioned</v>
      </c>
      <c r="L57" s="58">
        <f>IF(($E51&gt;0),L51,L50)</f>
        <v>100</v>
      </c>
      <c r="M57" s="58"/>
    </row>
    <row r="58" spans="2:18" ht="15" hidden="1" customHeight="1" x14ac:dyDescent="0.25">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0.71899999999999997</v>
      </c>
      <c r="D60" s="56">
        <f>D54</f>
        <v>3.7999999999999999E-2</v>
      </c>
      <c r="E60" s="56">
        <f>MAX(C60:D60)</f>
        <v>0.71899999999999997</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referrals</v>
      </c>
      <c r="C62" s="49">
        <f t="shared" si="11"/>
        <v>0.13</v>
      </c>
      <c r="D62" s="49">
        <f t="shared" si="11"/>
        <v>0</v>
      </c>
      <c r="E62" s="49">
        <f>MAX(C62:D62)</f>
        <v>0.13</v>
      </c>
      <c r="G62" s="1" t="str">
        <f>G56</f>
        <v>per 100 referrals</v>
      </c>
      <c r="L62" s="58">
        <f>IF(($E56&gt;0),L56,L55)</f>
        <v>100</v>
      </c>
      <c r="M62" s="58"/>
    </row>
    <row r="63" spans="2:18" ht="15" hidden="1" customHeight="1" x14ac:dyDescent="0.25">
      <c r="B63" s="49" t="str">
        <f>IF(($E57&gt;0),B57,B55)</f>
        <v>per 100 youth petitioned</v>
      </c>
      <c r="C63" s="49">
        <f>IF(($E57&gt;0),C57,C56)</f>
        <v>0.11</v>
      </c>
      <c r="D63" s="49">
        <f>IF(($E57&gt;0),D57,D56)</f>
        <v>0</v>
      </c>
      <c r="E63" s="49">
        <f>MAX(C63:D63)</f>
        <v>0.11</v>
      </c>
      <c r="G63" s="1" t="str">
        <f>G57</f>
        <v>per 100 youth petitioned</v>
      </c>
      <c r="L63" s="58">
        <f>IF(($E57&gt;0),L57,L56)</f>
        <v>100</v>
      </c>
      <c r="M63" s="58"/>
    </row>
    <row r="64" spans="2:18" ht="15" hidden="1" customHeight="1" x14ac:dyDescent="0.25">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0.71899999999999997</v>
      </c>
      <c r="D66" s="56">
        <f>D60</f>
        <v>3.7999999999999999E-2</v>
      </c>
      <c r="E66" s="56">
        <f>MAX(C66:D66)</f>
        <v>0.71899999999999997</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referrals</v>
      </c>
      <c r="C68" s="49">
        <f t="shared" si="12"/>
        <v>0.13</v>
      </c>
      <c r="D68" s="49">
        <f t="shared" si="12"/>
        <v>0</v>
      </c>
      <c r="E68" s="49">
        <f>MAX(C68:D68)</f>
        <v>0.13</v>
      </c>
      <c r="G68" s="1" t="str">
        <f>G62</f>
        <v>per 100 referrals</v>
      </c>
      <c r="L68" s="58">
        <f>IF(($E62&gt;0),L62,L61)</f>
        <v>100</v>
      </c>
      <c r="M68" s="58">
        <f>IF((B68=G68),1,2)</f>
        <v>1</v>
      </c>
    </row>
    <row r="69" spans="2:13" ht="15" hidden="1" customHeight="1" x14ac:dyDescent="0.25">
      <c r="B69" s="49" t="str">
        <f>IF(($E63&gt;0),B63,B61)</f>
        <v>per 100 youth petitioned</v>
      </c>
      <c r="C69" s="49">
        <f>IF(($E63&gt;0),C63,C62)</f>
        <v>0.11</v>
      </c>
      <c r="D69" s="49">
        <f>IF(($E63&gt;0),D63,D62)</f>
        <v>0</v>
      </c>
      <c r="E69" s="49">
        <f>MAX(C69:D69)</f>
        <v>0.11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Presque Isle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719</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2.781641168289291</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v>
      </c>
      <c r="Q7" s="42">
        <f>C6-C7</f>
        <v>717</v>
      </c>
      <c r="R7" s="42">
        <f t="shared" ref="R7:R15" si="5">SUM(N7:Q7)</f>
        <v>719</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13</v>
      </c>
      <c r="D8" s="34">
        <f>IF((AND(C67&gt;0,C8&gt;0)),(C8/C67),0)</f>
        <v>650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13</v>
      </c>
      <c r="Q8" s="42">
        <f>(C$67*L67)-C8</f>
        <v>-11</v>
      </c>
      <c r="R8" s="42">
        <f t="shared" si="5"/>
        <v>2.0500000000000007</v>
      </c>
      <c r="S8" s="30">
        <f t="shared" si="6"/>
        <v>0.86612500000000037</v>
      </c>
      <c r="T8" s="30">
        <f t="shared" si="7"/>
        <v>-14.234999999999999</v>
      </c>
      <c r="U8" s="31">
        <f t="shared" si="8"/>
        <v>-6.0844748858447519E-2</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13</v>
      </c>
      <c r="R9" s="42">
        <f t="shared" si="5"/>
        <v>13</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13</v>
      </c>
      <c r="R10" s="42">
        <f t="shared" si="5"/>
        <v>13</v>
      </c>
      <c r="S10" s="30">
        <f t="shared" si="6"/>
        <v>0</v>
      </c>
      <c r="T10" s="30">
        <f t="shared" si="7"/>
        <v>0</v>
      </c>
      <c r="U10" s="31" t="str">
        <f t="shared" si="8"/>
        <v>- -</v>
      </c>
    </row>
    <row r="11" spans="2:21" ht="18" customHeight="1" x14ac:dyDescent="0.25">
      <c r="B11" s="32" t="str">
        <f>'Data Entry'!A11</f>
        <v>6. Cases Petitioned (Charge Filed)</v>
      </c>
      <c r="C11" s="33">
        <f>'Data Entry'!C11</f>
        <v>11</v>
      </c>
      <c r="D11" s="34">
        <f>IF(((AND(C68&gt;0,C11&gt;0))),(C11/(C68)),0)</f>
        <v>84.615384615384613</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v>
      </c>
      <c r="Q11" s="42">
        <f>(C$68*L68)-C11</f>
        <v>2</v>
      </c>
      <c r="R11" s="42">
        <f t="shared" si="5"/>
        <v>13</v>
      </c>
      <c r="S11" s="30">
        <f t="shared" si="6"/>
        <v>0</v>
      </c>
      <c r="T11" s="30">
        <f t="shared" si="7"/>
        <v>0</v>
      </c>
      <c r="U11" s="31" t="str">
        <f t="shared" si="8"/>
        <v>- -</v>
      </c>
    </row>
    <row r="12" spans="2:21" ht="18" customHeight="1" x14ac:dyDescent="0.25">
      <c r="B12" s="32" t="str">
        <f>'Data Entry'!A12</f>
        <v>7. Cases Resulting in Delinquent Findings</v>
      </c>
      <c r="C12" s="33">
        <f>'Data Entry'!C12</f>
        <v>10</v>
      </c>
      <c r="D12" s="34">
        <f>IF(((AND(C69&gt;0,C12&gt;0))),(C12/(C69)),0)</f>
        <v>90.909090909090907</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1</v>
      </c>
      <c r="R12" s="42">
        <f t="shared" si="5"/>
        <v>11</v>
      </c>
      <c r="S12" s="30">
        <f t="shared" si="6"/>
        <v>0</v>
      </c>
      <c r="T12" s="30">
        <f t="shared" si="7"/>
        <v>0</v>
      </c>
      <c r="U12" s="31" t="str">
        <f t="shared" si="8"/>
        <v>- -</v>
      </c>
    </row>
    <row r="13" spans="2:21" ht="18" customHeight="1" x14ac:dyDescent="0.25">
      <c r="B13" s="32" t="str">
        <f>'Data Entry'!A13</f>
        <v>8. Cases Resulting in Probation Placement</v>
      </c>
      <c r="C13" s="33">
        <f>'Data Entry'!C13</f>
        <v>4</v>
      </c>
      <c r="D13" s="34">
        <f>IF(((AND(C70&gt;0,C13&gt;0))),(C13/(C70)),0)</f>
        <v>40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v>
      </c>
      <c r="Q13" s="42">
        <f>(C70*L70)-C13</f>
        <v>6</v>
      </c>
      <c r="R13" s="42">
        <f t="shared" si="5"/>
        <v>10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10</v>
      </c>
      <c r="R14" s="42">
        <f t="shared" si="5"/>
        <v>10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v>
      </c>
      <c r="R15" s="42">
        <f t="shared" si="5"/>
        <v>11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0.71899999999999997</v>
      </c>
      <c r="D42" s="56">
        <f>E6/1000</f>
        <v>0</v>
      </c>
      <c r="E42" s="56">
        <f>MAX(C42:D42)</f>
        <v>0.71899999999999997</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0.13</v>
      </c>
      <c r="D44" s="56">
        <f>E8/100</f>
        <v>0</v>
      </c>
      <c r="E44" s="56">
        <f>MAX(C44:D44,0)</f>
        <v>0.13</v>
      </c>
      <c r="G44" s="1" t="str">
        <f>B44</f>
        <v>per 100 referrals</v>
      </c>
      <c r="L44" s="57">
        <v>100</v>
      </c>
      <c r="M44" s="57"/>
      <c r="R44" s="49"/>
    </row>
    <row r="45" spans="2:18" ht="15" hidden="1" customHeight="1" x14ac:dyDescent="0.25">
      <c r="B45" s="49" t="s">
        <v>89</v>
      </c>
      <c r="C45" s="49">
        <f>C11/100</f>
        <v>0.11</v>
      </c>
      <c r="D45" s="49">
        <f>E11/100</f>
        <v>0</v>
      </c>
      <c r="E45" s="56">
        <f>MAX(C45:D45,0)</f>
        <v>0.11</v>
      </c>
      <c r="G45" s="1" t="str">
        <f>B45</f>
        <v>per 100 youth petitioned</v>
      </c>
      <c r="L45" s="57">
        <v>100</v>
      </c>
      <c r="M45" s="57"/>
      <c r="R45" s="49"/>
    </row>
    <row r="46" spans="2:18" ht="15" hidden="1" customHeight="1" x14ac:dyDescent="0.25">
      <c r="B46" s="49" t="s">
        <v>90</v>
      </c>
      <c r="C46" s="49">
        <f>C12/100</f>
        <v>0.1</v>
      </c>
      <c r="D46" s="49">
        <f>E12/100</f>
        <v>0</v>
      </c>
      <c r="E46" s="56">
        <f>MAX(C46:D46)</f>
        <v>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0.71899999999999997</v>
      </c>
      <c r="D48" s="56">
        <f>D42</f>
        <v>0</v>
      </c>
      <c r="E48" s="56">
        <f>MAX(C48:D48)</f>
        <v>0.71899999999999997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0.13</v>
      </c>
      <c r="D50" s="49">
        <f t="shared" si="9"/>
        <v>0</v>
      </c>
      <c r="E50" s="49">
        <f>MAX(C50:D50)</f>
        <v>0.13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0.11</v>
      </c>
      <c r="D51" s="49">
        <f>IF(($E45&gt;0),D45,D44)</f>
        <v>0</v>
      </c>
      <c r="E51" s="49">
        <f>MAX(C51:D51)</f>
        <v>0.11</v>
      </c>
      <c r="G51" s="1" t="str">
        <f>G45</f>
        <v>per 100 youth petitioned</v>
      </c>
      <c r="L51" s="58">
        <f>IF(($E45&gt;0),L45,L44)</f>
        <v>100</v>
      </c>
      <c r="M51" s="58"/>
    </row>
    <row r="52" spans="2:18" ht="15" hidden="1" customHeight="1" x14ac:dyDescent="0.25">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0.71899999999999997</v>
      </c>
      <c r="D54" s="56">
        <f>D48</f>
        <v>0</v>
      </c>
      <c r="E54" s="56">
        <f>MAX(C54:D54)</f>
        <v>0.71899999999999997</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referrals</v>
      </c>
      <c r="C56" s="49">
        <f t="shared" si="10"/>
        <v>0.13</v>
      </c>
      <c r="D56" s="49">
        <f t="shared" si="10"/>
        <v>0</v>
      </c>
      <c r="E56" s="49">
        <f>MAX(C56:D56)</f>
        <v>0.13</v>
      </c>
      <c r="G56" s="1" t="str">
        <f>G50</f>
        <v>per 100 referrals</v>
      </c>
      <c r="L56" s="58">
        <f>IF(($E50&gt;0),L50,L49)</f>
        <v>100</v>
      </c>
      <c r="M56" s="58"/>
    </row>
    <row r="57" spans="2:18" ht="15" hidden="1" customHeight="1" x14ac:dyDescent="0.25">
      <c r="B57" s="49" t="str">
        <f>IF(($E51&gt;0),B51,B49)</f>
        <v>per 100 youth petitioned</v>
      </c>
      <c r="C57" s="49">
        <f>IF(($E51&gt;0),C51,C50)</f>
        <v>0.11</v>
      </c>
      <c r="D57" s="49">
        <f>IF(($E51&gt;0),D51,D50)</f>
        <v>0</v>
      </c>
      <c r="E57" s="49">
        <f>MAX(C57:D57)</f>
        <v>0.11</v>
      </c>
      <c r="G57" s="1" t="str">
        <f>G51</f>
        <v>per 100 youth petitioned</v>
      </c>
      <c r="L57" s="58">
        <f>IF(($E51&gt;0),L51,L50)</f>
        <v>100</v>
      </c>
      <c r="M57" s="58"/>
    </row>
    <row r="58" spans="2:18" ht="15" hidden="1" customHeight="1" x14ac:dyDescent="0.25">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0.71899999999999997</v>
      </c>
      <c r="D60" s="56">
        <f>D54</f>
        <v>0</v>
      </c>
      <c r="E60" s="56">
        <f>MAX(C60:D60)</f>
        <v>0.71899999999999997</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referrals</v>
      </c>
      <c r="C62" s="49">
        <f t="shared" si="11"/>
        <v>0.13</v>
      </c>
      <c r="D62" s="49">
        <f t="shared" si="11"/>
        <v>0</v>
      </c>
      <c r="E62" s="49">
        <f>MAX(C62:D62)</f>
        <v>0.13</v>
      </c>
      <c r="G62" s="1" t="str">
        <f>G56</f>
        <v>per 100 referrals</v>
      </c>
      <c r="L62" s="58">
        <f>IF(($E56&gt;0),L56,L55)</f>
        <v>100</v>
      </c>
      <c r="M62" s="58"/>
    </row>
    <row r="63" spans="2:18" ht="15" hidden="1" customHeight="1" x14ac:dyDescent="0.25">
      <c r="B63" s="49" t="str">
        <f>IF(($E57&gt;0),B57,B55)</f>
        <v>per 100 youth petitioned</v>
      </c>
      <c r="C63" s="49">
        <f>IF(($E57&gt;0),C57,C56)</f>
        <v>0.11</v>
      </c>
      <c r="D63" s="49">
        <f>IF(($E57&gt;0),D57,D56)</f>
        <v>0</v>
      </c>
      <c r="E63" s="49">
        <f>MAX(C63:D63)</f>
        <v>0.11</v>
      </c>
      <c r="G63" s="1" t="str">
        <f>G57</f>
        <v>per 100 youth petitioned</v>
      </c>
      <c r="L63" s="58">
        <f>IF(($E57&gt;0),L57,L56)</f>
        <v>100</v>
      </c>
      <c r="M63" s="58"/>
    </row>
    <row r="64" spans="2:18" ht="15" hidden="1" customHeight="1" x14ac:dyDescent="0.25">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0.71899999999999997</v>
      </c>
      <c r="D66" s="56">
        <f>D60</f>
        <v>0</v>
      </c>
      <c r="E66" s="56">
        <f>MAX(C66:D66)</f>
        <v>0.71899999999999997</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referrals</v>
      </c>
      <c r="C68" s="49">
        <f t="shared" si="12"/>
        <v>0.13</v>
      </c>
      <c r="D68" s="49">
        <f t="shared" si="12"/>
        <v>0</v>
      </c>
      <c r="E68" s="49">
        <f>MAX(C68:D68)</f>
        <v>0.13</v>
      </c>
      <c r="G68" s="1" t="str">
        <f>G62</f>
        <v>per 100 referrals</v>
      </c>
      <c r="L68" s="58">
        <f>IF(($E62&gt;0),L62,L61)</f>
        <v>100</v>
      </c>
      <c r="M68" s="58">
        <f>IF((B68=G68),1,2)</f>
        <v>1</v>
      </c>
    </row>
    <row r="69" spans="2:13" ht="15" hidden="1" customHeight="1" x14ac:dyDescent="0.25">
      <c r="B69" s="49" t="str">
        <f>IF(($E63&gt;0),B63,B61)</f>
        <v>per 100 youth petitioned</v>
      </c>
      <c r="C69" s="49">
        <f>IF(($E63&gt;0),C63,C62)</f>
        <v>0.11</v>
      </c>
      <c r="D69" s="49">
        <f>IF(($E63&gt;0),D63,D62)</f>
        <v>0</v>
      </c>
      <c r="E69" s="49">
        <f>MAX(C69:D69)</f>
        <v>0.11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Presque Isle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719</v>
      </c>
      <c r="D6" s="34"/>
      <c r="E6" s="33">
        <f>'Data Entry'!H6</f>
        <v>10</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2.781641168289291</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10</v>
      </c>
      <c r="P7" s="42">
        <f t="shared" ref="P7:P15" si="4">C7</f>
        <v>2</v>
      </c>
      <c r="Q7" s="42">
        <f>C6-C7</f>
        <v>717</v>
      </c>
      <c r="R7" s="42">
        <f t="shared" ref="R7:R15" si="5">SUM(N7:Q7)</f>
        <v>729</v>
      </c>
      <c r="S7" s="30">
        <f t="shared" ref="S7:S15" si="6">R7*((((N7*Q7)-(O7*P7))^2))</f>
        <v>291600</v>
      </c>
      <c r="T7" s="30">
        <f t="shared" ref="T7:T15" si="7">(N7+O7)*(P7+Q7)*(N7+P7)*(O7+Q7)</f>
        <v>10454260</v>
      </c>
      <c r="U7" s="31">
        <f t="shared" ref="U7:U15" si="8">IF((S7&gt;0),S7/T7,"- -")</f>
        <v>2.7892935511456572E-2</v>
      </c>
    </row>
    <row r="8" spans="2:21" ht="18" customHeight="1" x14ac:dyDescent="0.25">
      <c r="B8" s="32" t="str">
        <f>'Data Entry'!A8</f>
        <v>3. Refer to Juvenile Court</v>
      </c>
      <c r="C8" s="33">
        <f>'Data Entry'!C8</f>
        <v>13</v>
      </c>
      <c r="D8" s="34">
        <f>IF((AND(C67&gt;0,C8&gt;0)),(C8/C67),0)</f>
        <v>650</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13</v>
      </c>
      <c r="Q8" s="42">
        <f>(C$67*L67)-C8</f>
        <v>-11</v>
      </c>
      <c r="R8" s="42">
        <f t="shared" si="5"/>
        <v>2.0500000000000007</v>
      </c>
      <c r="S8" s="30">
        <f t="shared" si="6"/>
        <v>0.86612500000000037</v>
      </c>
      <c r="T8" s="30">
        <f t="shared" si="7"/>
        <v>-14.234999999999999</v>
      </c>
      <c r="U8" s="31">
        <f t="shared" si="8"/>
        <v>-6.0844748858447519E-2</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13</v>
      </c>
      <c r="R9" s="42">
        <f t="shared" si="5"/>
        <v>13</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13</v>
      </c>
      <c r="R10" s="42">
        <f t="shared" si="5"/>
        <v>13</v>
      </c>
      <c r="S10" s="30">
        <f t="shared" si="6"/>
        <v>0</v>
      </c>
      <c r="T10" s="30">
        <f t="shared" si="7"/>
        <v>0</v>
      </c>
      <c r="U10" s="31" t="str">
        <f t="shared" si="8"/>
        <v>- -</v>
      </c>
    </row>
    <row r="11" spans="2:21" ht="18" customHeight="1" x14ac:dyDescent="0.25">
      <c r="B11" s="32" t="str">
        <f>'Data Entry'!A11</f>
        <v>6. Cases Petitioned (Charge Filed)</v>
      </c>
      <c r="C11" s="33">
        <f>'Data Entry'!C11</f>
        <v>11</v>
      </c>
      <c r="D11" s="34">
        <f>IF(((AND(C68&gt;0,C11&gt;0))),(C11/(C68)),0)</f>
        <v>84.615384615384613</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v>
      </c>
      <c r="Q11" s="42">
        <f>(C$68*L68)-C11</f>
        <v>2</v>
      </c>
      <c r="R11" s="42">
        <f t="shared" si="5"/>
        <v>13</v>
      </c>
      <c r="S11" s="30">
        <f t="shared" si="6"/>
        <v>0</v>
      </c>
      <c r="T11" s="30">
        <f t="shared" si="7"/>
        <v>0</v>
      </c>
      <c r="U11" s="31" t="str">
        <f t="shared" si="8"/>
        <v>- -</v>
      </c>
    </row>
    <row r="12" spans="2:21" ht="18" customHeight="1" x14ac:dyDescent="0.25">
      <c r="B12" s="32" t="str">
        <f>'Data Entry'!A12</f>
        <v>7. Cases Resulting in Delinquent Findings</v>
      </c>
      <c r="C12" s="33">
        <f>'Data Entry'!C12</f>
        <v>10</v>
      </c>
      <c r="D12" s="34">
        <f>IF(((AND(C69&gt;0,C12&gt;0))),(C12/(C69)),0)</f>
        <v>90.909090909090907</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1</v>
      </c>
      <c r="R12" s="42">
        <f t="shared" si="5"/>
        <v>11</v>
      </c>
      <c r="S12" s="30">
        <f t="shared" si="6"/>
        <v>0</v>
      </c>
      <c r="T12" s="30">
        <f t="shared" si="7"/>
        <v>0</v>
      </c>
      <c r="U12" s="31" t="str">
        <f t="shared" si="8"/>
        <v>- -</v>
      </c>
    </row>
    <row r="13" spans="2:21" ht="18" customHeight="1" x14ac:dyDescent="0.25">
      <c r="B13" s="32" t="str">
        <f>'Data Entry'!A13</f>
        <v>8. Cases Resulting in Probation Placement</v>
      </c>
      <c r="C13" s="33">
        <f>'Data Entry'!C13</f>
        <v>4</v>
      </c>
      <c r="D13" s="34">
        <f>IF(((AND(C70&gt;0,C13&gt;0))),(C13/(C70)),0)</f>
        <v>40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v>
      </c>
      <c r="Q13" s="42">
        <f>(C70*L70)-C13</f>
        <v>6</v>
      </c>
      <c r="R13" s="42">
        <f t="shared" si="5"/>
        <v>10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10</v>
      </c>
      <c r="R14" s="42">
        <f t="shared" si="5"/>
        <v>10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v>
      </c>
      <c r="R15" s="42">
        <f t="shared" si="5"/>
        <v>11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0.71899999999999997</v>
      </c>
      <c r="D42" s="56">
        <f>E6/1000</f>
        <v>0.01</v>
      </c>
      <c r="E42" s="56">
        <f>MAX(C42:D42)</f>
        <v>0.71899999999999997</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0.13</v>
      </c>
      <c r="D44" s="56">
        <f>E8/100</f>
        <v>0</v>
      </c>
      <c r="E44" s="56">
        <f>MAX(C44:D44,0)</f>
        <v>0.13</v>
      </c>
      <c r="G44" s="1" t="str">
        <f>B44</f>
        <v>per 100 referrals</v>
      </c>
      <c r="L44" s="57">
        <v>100</v>
      </c>
      <c r="M44" s="57"/>
      <c r="R44" s="49"/>
    </row>
    <row r="45" spans="2:18" ht="15" hidden="1" customHeight="1" x14ac:dyDescent="0.25">
      <c r="B45" s="49" t="s">
        <v>89</v>
      </c>
      <c r="C45" s="49">
        <f>C11/100</f>
        <v>0.11</v>
      </c>
      <c r="D45" s="49">
        <f>E11/100</f>
        <v>0</v>
      </c>
      <c r="E45" s="56">
        <f>MAX(C45:D45,0)</f>
        <v>0.11</v>
      </c>
      <c r="G45" s="1" t="str">
        <f>B45</f>
        <v>per 100 youth petitioned</v>
      </c>
      <c r="L45" s="57">
        <v>100</v>
      </c>
      <c r="M45" s="57"/>
      <c r="R45" s="49"/>
    </row>
    <row r="46" spans="2:18" ht="15" hidden="1" customHeight="1" x14ac:dyDescent="0.25">
      <c r="B46" s="49" t="s">
        <v>90</v>
      </c>
      <c r="C46" s="49">
        <f>C12/100</f>
        <v>0.1</v>
      </c>
      <c r="D46" s="49">
        <f>E12/100</f>
        <v>0</v>
      </c>
      <c r="E46" s="56">
        <f>MAX(C46:D46)</f>
        <v>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0.71899999999999997</v>
      </c>
      <c r="D48" s="56">
        <f>D42</f>
        <v>0.01</v>
      </c>
      <c r="E48" s="56">
        <f>MAX(C48:D48)</f>
        <v>0.71899999999999997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0.13</v>
      </c>
      <c r="D50" s="49">
        <f t="shared" si="9"/>
        <v>0</v>
      </c>
      <c r="E50" s="49">
        <f>MAX(C50:D50)</f>
        <v>0.13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0.11</v>
      </c>
      <c r="D51" s="49">
        <f>IF(($E45&gt;0),D45,D44)</f>
        <v>0</v>
      </c>
      <c r="E51" s="49">
        <f>MAX(C51:D51)</f>
        <v>0.11</v>
      </c>
      <c r="G51" s="1" t="str">
        <f>G45</f>
        <v>per 100 youth petitioned</v>
      </c>
      <c r="L51" s="58">
        <f>IF(($E45&gt;0),L45,L44)</f>
        <v>100</v>
      </c>
      <c r="M51" s="58"/>
    </row>
    <row r="52" spans="2:18" ht="15" hidden="1" customHeight="1" x14ac:dyDescent="0.25">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0.71899999999999997</v>
      </c>
      <c r="D54" s="56">
        <f>D48</f>
        <v>0.01</v>
      </c>
      <c r="E54" s="56">
        <f>MAX(C54:D54)</f>
        <v>0.71899999999999997</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referrals</v>
      </c>
      <c r="C56" s="49">
        <f t="shared" si="10"/>
        <v>0.13</v>
      </c>
      <c r="D56" s="49">
        <f t="shared" si="10"/>
        <v>0</v>
      </c>
      <c r="E56" s="49">
        <f>MAX(C56:D56)</f>
        <v>0.13</v>
      </c>
      <c r="G56" s="1" t="str">
        <f>G50</f>
        <v>per 100 referrals</v>
      </c>
      <c r="L56" s="58">
        <f>IF(($E50&gt;0),L50,L49)</f>
        <v>100</v>
      </c>
      <c r="M56" s="58"/>
    </row>
    <row r="57" spans="2:18" ht="15" hidden="1" customHeight="1" x14ac:dyDescent="0.25">
      <c r="B57" s="49" t="str">
        <f>IF(($E51&gt;0),B51,B49)</f>
        <v>per 100 youth petitioned</v>
      </c>
      <c r="C57" s="49">
        <f>IF(($E51&gt;0),C51,C50)</f>
        <v>0.11</v>
      </c>
      <c r="D57" s="49">
        <f>IF(($E51&gt;0),D51,D50)</f>
        <v>0</v>
      </c>
      <c r="E57" s="49">
        <f>MAX(C57:D57)</f>
        <v>0.11</v>
      </c>
      <c r="G57" s="1" t="str">
        <f>G51</f>
        <v>per 100 youth petitioned</v>
      </c>
      <c r="L57" s="58">
        <f>IF(($E51&gt;0),L51,L50)</f>
        <v>100</v>
      </c>
      <c r="M57" s="58"/>
    </row>
    <row r="58" spans="2:18" ht="15" hidden="1" customHeight="1" x14ac:dyDescent="0.25">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0.71899999999999997</v>
      </c>
      <c r="D60" s="56">
        <f>D54</f>
        <v>0.01</v>
      </c>
      <c r="E60" s="56">
        <f>MAX(C60:D60)</f>
        <v>0.71899999999999997</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referrals</v>
      </c>
      <c r="C62" s="49">
        <f t="shared" si="11"/>
        <v>0.13</v>
      </c>
      <c r="D62" s="49">
        <f t="shared" si="11"/>
        <v>0</v>
      </c>
      <c r="E62" s="49">
        <f>MAX(C62:D62)</f>
        <v>0.13</v>
      </c>
      <c r="G62" s="1" t="str">
        <f>G56</f>
        <v>per 100 referrals</v>
      </c>
      <c r="L62" s="58">
        <f>IF(($E56&gt;0),L56,L55)</f>
        <v>100</v>
      </c>
      <c r="M62" s="58"/>
    </row>
    <row r="63" spans="2:18" ht="15" hidden="1" customHeight="1" x14ac:dyDescent="0.25">
      <c r="B63" s="49" t="str">
        <f>IF(($E57&gt;0),B57,B55)</f>
        <v>per 100 youth petitioned</v>
      </c>
      <c r="C63" s="49">
        <f>IF(($E57&gt;0),C57,C56)</f>
        <v>0.11</v>
      </c>
      <c r="D63" s="49">
        <f>IF(($E57&gt;0),D57,D56)</f>
        <v>0</v>
      </c>
      <c r="E63" s="49">
        <f>MAX(C63:D63)</f>
        <v>0.11</v>
      </c>
      <c r="G63" s="1" t="str">
        <f>G57</f>
        <v>per 100 youth petitioned</v>
      </c>
      <c r="L63" s="58">
        <f>IF(($E57&gt;0),L57,L56)</f>
        <v>100</v>
      </c>
      <c r="M63" s="58"/>
    </row>
    <row r="64" spans="2:18" ht="15" hidden="1" customHeight="1" x14ac:dyDescent="0.25">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0.71899999999999997</v>
      </c>
      <c r="D66" s="56">
        <f>D60</f>
        <v>0.01</v>
      </c>
      <c r="E66" s="56">
        <f>MAX(C66:D66)</f>
        <v>0.71899999999999997</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referrals</v>
      </c>
      <c r="C68" s="49">
        <f t="shared" si="12"/>
        <v>0.13</v>
      </c>
      <c r="D68" s="49">
        <f t="shared" si="12"/>
        <v>0</v>
      </c>
      <c r="E68" s="49">
        <f>MAX(C68:D68)</f>
        <v>0.13</v>
      </c>
      <c r="G68" s="1" t="str">
        <f>G62</f>
        <v>per 100 referrals</v>
      </c>
      <c r="L68" s="58">
        <f>IF(($E62&gt;0),L62,L61)</f>
        <v>100</v>
      </c>
      <c r="M68" s="58">
        <f>IF((B68=G68),1,2)</f>
        <v>1</v>
      </c>
    </row>
    <row r="69" spans="2:13" ht="15" hidden="1" customHeight="1" x14ac:dyDescent="0.25">
      <c r="B69" s="49" t="str">
        <f>IF(($E63&gt;0),B63,B61)</f>
        <v>per 100 youth petitioned</v>
      </c>
      <c r="C69" s="49">
        <f>IF(($E63&gt;0),C63,C62)</f>
        <v>0.11</v>
      </c>
      <c r="D69" s="49">
        <f>IF(($E63&gt;0),D63,D62)</f>
        <v>0</v>
      </c>
      <c r="E69" s="49">
        <f>MAX(C69:D69)</f>
        <v>0.11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U47JMPN4QEAR-1806752177-30216</_dlc_DocId>
    <_dlc_DocIdUrl xmlns="ac3811b5-0f3e-49e2-ba69-f2ffa0c782af">
      <Url>https://michiganphi.sharepoint.com/sites/CMDMC/_layouts/15/DocIdRedir.aspx?ID=U47JMPN4QEAR-1806752177-30216</Url>
      <Description>U47JMPN4QEAR-1806752177-30216</Description>
    </_dlc_DocIdUrl>
  </documentManagement>
</p:properties>
</file>

<file path=customXml/itemProps1.xml><?xml version="1.0" encoding="utf-8"?>
<ds:datastoreItem xmlns:ds="http://schemas.openxmlformats.org/officeDocument/2006/customXml" ds:itemID="{D26BB7EC-EFEB-419A-886F-E4D7B3DE47AA}"/>
</file>

<file path=customXml/itemProps2.xml><?xml version="1.0" encoding="utf-8"?>
<ds:datastoreItem xmlns:ds="http://schemas.openxmlformats.org/officeDocument/2006/customXml" ds:itemID="{06510109-1A09-49A0-9F92-5EA7A6DE4CE4}"/>
</file>

<file path=customXml/itemProps3.xml><?xml version="1.0" encoding="utf-8"?>
<ds:datastoreItem xmlns:ds="http://schemas.openxmlformats.org/officeDocument/2006/customXml" ds:itemID="{52E2DBB1-5FB9-4728-A0C9-BED2C9F5099B}"/>
</file>

<file path=customXml/itemProps4.xml><?xml version="1.0" encoding="utf-8"?>
<ds:datastoreItem xmlns:ds="http://schemas.openxmlformats.org/officeDocument/2006/customXml" ds:itemID="{3418A325-9181-4ADC-8898-59C3B17C75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2d04890e-6914-4ca2-8a8f-edc40afd4d8a</vt:lpwstr>
  </property>
</Properties>
</file>