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4B21B4C9-8320-4C19-988F-37F27537D374}" xr6:coauthVersionLast="47" xr6:coauthVersionMax="47" xr10:uidLastSave="{51057A38-D96E-4407-B7C1-0910E5DF5E09}"/>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46" i="3"/>
  <c r="G48" i="3"/>
  <c r="G54" i="3"/>
  <c r="G60" i="3" s="1"/>
  <c r="G66" i="3" s="1"/>
  <c r="L48" i="3"/>
  <c r="G51" i="3"/>
  <c r="G57" i="3"/>
  <c r="G63" i="3"/>
  <c r="G69" i="3" s="1"/>
  <c r="G52" i="3"/>
  <c r="G58" i="3" s="1"/>
  <c r="G64" i="3" s="1"/>
  <c r="G70" i="3" s="1"/>
  <c r="L54" i="3"/>
  <c r="L60" i="3"/>
  <c r="L66" i="3" s="1"/>
  <c r="F1" i="4"/>
  <c r="B2" i="4"/>
  <c r="B3" i="4"/>
  <c r="B6" i="4"/>
  <c r="B7" i="4"/>
  <c r="B8" i="4"/>
  <c r="B9" i="4"/>
  <c r="E9" i="4"/>
  <c r="N9" i="4" s="1"/>
  <c r="B10" i="4"/>
  <c r="B11" i="4"/>
  <c r="B12" i="4"/>
  <c r="B13" i="4"/>
  <c r="B14" i="4"/>
  <c r="B15" i="4"/>
  <c r="B48" i="4"/>
  <c r="B54" i="4"/>
  <c r="B60" i="4" s="1"/>
  <c r="B66" i="4" s="1"/>
  <c r="J27" i="4"/>
  <c r="G42" i="4"/>
  <c r="G48" i="4"/>
  <c r="G54" i="4"/>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48" i="5"/>
  <c r="G54" i="5"/>
  <c r="G60" i="5" s="1"/>
  <c r="G66" i="5" s="1"/>
  <c r="L48" i="5"/>
  <c r="G51" i="5"/>
  <c r="G57" i="5" s="1"/>
  <c r="G63" i="5" s="1"/>
  <c r="G69" i="5" s="1"/>
  <c r="G52" i="5"/>
  <c r="G58" i="5" s="1"/>
  <c r="G64" i="5" s="1"/>
  <c r="G70"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s="1"/>
  <c r="G63" i="7" s="1"/>
  <c r="G69" i="7" s="1"/>
  <c r="G46" i="7"/>
  <c r="L48" i="7"/>
  <c r="G50" i="7"/>
  <c r="G56" i="7" s="1"/>
  <c r="G62" i="7" s="1"/>
  <c r="G68" i="7" s="1"/>
  <c r="G52" i="7"/>
  <c r="G58" i="7" s="1"/>
  <c r="G64" i="7" s="1"/>
  <c r="G70" i="7" s="1"/>
  <c r="L54" i="7"/>
  <c r="L60" i="7" s="1"/>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s="1"/>
  <c r="G60" i="8" s="1"/>
  <c r="G66" i="8" s="1"/>
  <c r="L48" i="8"/>
  <c r="G50" i="8"/>
  <c r="G56" i="8" s="1"/>
  <c r="G62" i="8" s="1"/>
  <c r="G68" i="8" s="1"/>
  <c r="G51" i="8"/>
  <c r="G57" i="8" s="1"/>
  <c r="G63" i="8" s="1"/>
  <c r="G69" i="8" s="1"/>
  <c r="L54" i="8"/>
  <c r="L60" i="8" s="1"/>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l="1"/>
  <c r="M66" i="5"/>
  <c r="M66" i="6"/>
  <c r="F27" i="6"/>
  <c r="M66" i="3"/>
  <c r="F27" i="3"/>
  <c r="F27" i="2"/>
  <c r="M66" i="2"/>
  <c r="F27" i="4"/>
  <c r="M66" i="4"/>
  <c r="F27" i="8"/>
  <c r="M66" i="8"/>
  <c r="M66" i="7"/>
  <c r="F27" i="7"/>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6" i="7" l="1"/>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4" i="6" l="1"/>
  <c r="E43" i="7"/>
  <c r="C49" i="7" s="1"/>
  <c r="E46" i="3"/>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D49" i="7"/>
  <c r="B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L49" i="7" l="1"/>
  <c r="D50" i="5"/>
  <c r="E50" i="5" s="1"/>
  <c r="L56" i="5" s="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49" i="5" l="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E58" i="5" l="1"/>
  <c r="L58" i="8"/>
  <c r="B58" i="8"/>
  <c r="C56" i="2"/>
  <c r="D58" i="8"/>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D64" i="5" s="1"/>
  <c r="L57" i="5"/>
  <c r="L64" i="5" s="1"/>
  <c r="B57" i="5"/>
  <c r="B64" i="5" s="1"/>
  <c r="C57" i="5"/>
  <c r="C64" i="5" s="1"/>
  <c r="C66" i="6"/>
  <c r="E60" i="6"/>
  <c r="C66" i="2"/>
  <c r="E60" i="2"/>
  <c r="E56" i="6"/>
  <c r="E55" i="6"/>
  <c r="E55" i="7"/>
  <c r="E56" i="2"/>
  <c r="E58" i="7"/>
  <c r="E58" i="8" l="1"/>
  <c r="C57" i="8"/>
  <c r="C64" i="8" s="1"/>
  <c r="L56" i="8"/>
  <c r="B57" i="8"/>
  <c r="L64" i="3"/>
  <c r="B56" i="8"/>
  <c r="B55" i="8"/>
  <c r="D56" i="8"/>
  <c r="E56" i="8" s="1"/>
  <c r="B64" i="4"/>
  <c r="G7" i="8"/>
  <c r="K8" i="16" s="1"/>
  <c r="L7" i="8"/>
  <c r="T8" i="16" s="1"/>
  <c r="E57" i="3"/>
  <c r="L63" i="3" s="1"/>
  <c r="D57" i="8"/>
  <c r="D64" i="8" s="1"/>
  <c r="L64" i="4"/>
  <c r="C64" i="3"/>
  <c r="D55" i="8"/>
  <c r="E55" i="8" s="1"/>
  <c r="D61" i="8" s="1"/>
  <c r="L55" i="8"/>
  <c r="C64" i="4"/>
  <c r="E64" i="4" s="1"/>
  <c r="D64" i="6"/>
  <c r="B64" i="3"/>
  <c r="L62" i="5"/>
  <c r="D62" i="5"/>
  <c r="E62" i="5" s="1"/>
  <c r="E57" i="6"/>
  <c r="B63" i="6" s="1"/>
  <c r="B62" i="5"/>
  <c r="L64" i="6"/>
  <c r="L64" i="8"/>
  <c r="E57" i="2"/>
  <c r="C63" i="2" s="1"/>
  <c r="L61" i="5"/>
  <c r="E64" i="5"/>
  <c r="D64" i="3"/>
  <c r="C64" i="6"/>
  <c r="B64" i="8"/>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57" i="8" l="1"/>
  <c r="B63" i="8" s="1"/>
  <c r="C63" i="3"/>
  <c r="Q8" i="13"/>
  <c r="I7" i="9"/>
  <c r="B63" i="3"/>
  <c r="E64" i="6"/>
  <c r="B70" i="6" s="1"/>
  <c r="M70" i="6" s="1"/>
  <c r="Z8" i="13"/>
  <c r="R7" i="9"/>
  <c r="D63" i="3"/>
  <c r="E64" i="3"/>
  <c r="E63" i="7"/>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L63" i="8"/>
  <c r="B63" i="2"/>
  <c r="L63" i="2"/>
  <c r="D63" i="2"/>
  <c r="E63" i="2" s="1"/>
  <c r="E64" i="8"/>
  <c r="L70" i="8" s="1"/>
  <c r="L70" i="4"/>
  <c r="D70" i="4"/>
  <c r="F14" i="4" s="1"/>
  <c r="B67" i="5"/>
  <c r="F28" i="5" s="1"/>
  <c r="D68" i="3"/>
  <c r="F9" i="3" s="1"/>
  <c r="C63" i="8"/>
  <c r="L67" i="5"/>
  <c r="O8" i="5" s="1"/>
  <c r="E61" i="6"/>
  <c r="B67" i="6" s="1"/>
  <c r="D10" i="3"/>
  <c r="D9" i="3"/>
  <c r="D11" i="3"/>
  <c r="B69" i="7"/>
  <c r="F32" i="7" s="1"/>
  <c r="C7" i="9"/>
  <c r="E8" i="13"/>
  <c r="D7" i="9"/>
  <c r="G8" i="13"/>
  <c r="E64" i="7"/>
  <c r="D70" i="7" s="1"/>
  <c r="F13" i="7" s="1"/>
  <c r="E61" i="2"/>
  <c r="C67" i="2" s="1"/>
  <c r="B62" i="8"/>
  <c r="C62" i="8"/>
  <c r="L62" i="8"/>
  <c r="D62" i="8"/>
  <c r="F8" i="3"/>
  <c r="L68" i="5"/>
  <c r="C68" i="5"/>
  <c r="B68" i="5"/>
  <c r="D68" i="5"/>
  <c r="D62" i="7"/>
  <c r="B62" i="7"/>
  <c r="C62" i="7"/>
  <c r="L62" i="7"/>
  <c r="L69" i="7" s="1"/>
  <c r="C67" i="4"/>
  <c r="L67" i="4"/>
  <c r="D67" i="4"/>
  <c r="B67" i="4"/>
  <c r="E62" i="6"/>
  <c r="D9" i="4"/>
  <c r="D10" i="4"/>
  <c r="D11" i="4"/>
  <c r="L64" i="2"/>
  <c r="D64" i="2"/>
  <c r="C64" i="2"/>
  <c r="B64" i="2"/>
  <c r="E63" i="4"/>
  <c r="E62" i="2"/>
  <c r="D63" i="5"/>
  <c r="D70" i="5" s="1"/>
  <c r="F14" i="5" s="1"/>
  <c r="C63" i="5"/>
  <c r="C70" i="5" s="1"/>
  <c r="B63" i="5"/>
  <c r="B70" i="5" s="1"/>
  <c r="F33" i="5" s="1"/>
  <c r="L63" i="5"/>
  <c r="L70" i="5" s="1"/>
  <c r="F8" i="5"/>
  <c r="D63" i="8" l="1"/>
  <c r="E63" i="3"/>
  <c r="C69" i="3" s="1"/>
  <c r="D12" i="3" s="1"/>
  <c r="C69" i="7"/>
  <c r="D12" i="7" s="1"/>
  <c r="D70" i="6"/>
  <c r="B70" i="3"/>
  <c r="M70" i="3" s="1"/>
  <c r="C70" i="6"/>
  <c r="E70" i="6" s="1"/>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F13" i="6"/>
  <c r="D8" i="3"/>
  <c r="E63" i="8"/>
  <c r="D69" i="8" s="1"/>
  <c r="M70" i="4"/>
  <c r="B69" i="2"/>
  <c r="F35" i="2" s="1"/>
  <c r="B67" i="7"/>
  <c r="F28" i="7" s="1"/>
  <c r="M67" i="3"/>
  <c r="D67" i="7"/>
  <c r="O8" i="7" s="1"/>
  <c r="F11" i="4"/>
  <c r="F14" i="6"/>
  <c r="F31" i="4"/>
  <c r="O9" i="4"/>
  <c r="M68" i="4"/>
  <c r="E70" i="4"/>
  <c r="F29" i="4"/>
  <c r="F13" i="5"/>
  <c r="F13" i="4"/>
  <c r="F33" i="4"/>
  <c r="F10" i="4"/>
  <c r="O10" i="4"/>
  <c r="M67" i="5"/>
  <c r="O11" i="3"/>
  <c r="T11" i="3" s="1"/>
  <c r="O14" i="4"/>
  <c r="Q13" i="4"/>
  <c r="F30" i="3"/>
  <c r="Q9" i="3"/>
  <c r="O10" i="3"/>
  <c r="E68" i="3"/>
  <c r="O9" i="3"/>
  <c r="F31" i="3"/>
  <c r="F29" i="3"/>
  <c r="D14" i="4"/>
  <c r="L70" i="7"/>
  <c r="O14" i="7" s="1"/>
  <c r="M69" i="7"/>
  <c r="B69" i="3"/>
  <c r="M69" i="3" s="1"/>
  <c r="C70" i="8"/>
  <c r="Q13" i="8" s="1"/>
  <c r="B70" i="8"/>
  <c r="M70" i="8" s="1"/>
  <c r="E64" i="2"/>
  <c r="L70" i="2" s="1"/>
  <c r="L67" i="6"/>
  <c r="F10" i="3"/>
  <c r="F11" i="3"/>
  <c r="F34" i="3"/>
  <c r="D67" i="6"/>
  <c r="F8" i="6" s="1"/>
  <c r="M70" i="5"/>
  <c r="E70" i="5"/>
  <c r="Q13" i="5"/>
  <c r="D13" i="5"/>
  <c r="Q14" i="5"/>
  <c r="D14" i="5"/>
  <c r="O13" i="5"/>
  <c r="O14" i="5"/>
  <c r="F35" i="7"/>
  <c r="F34" i="5"/>
  <c r="B70" i="7"/>
  <c r="F33" i="7" s="1"/>
  <c r="C70" i="7"/>
  <c r="D14" i="7" s="1"/>
  <c r="F14" i="7"/>
  <c r="Q15" i="7"/>
  <c r="E63" i="5"/>
  <c r="L69" i="5" s="1"/>
  <c r="Q12" i="7"/>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O13" i="6" l="1"/>
  <c r="D15" i="3"/>
  <c r="D13" i="6"/>
  <c r="D69" i="3"/>
  <c r="E69" i="3" s="1"/>
  <c r="L69" i="3"/>
  <c r="Q12" i="3" s="1"/>
  <c r="D14" i="6"/>
  <c r="D15" i="7"/>
  <c r="F33" i="3"/>
  <c r="O13" i="3"/>
  <c r="O14" i="6"/>
  <c r="Q14" i="6"/>
  <c r="Q13" i="6"/>
  <c r="R13" i="6" s="1"/>
  <c r="S13" i="6" s="1"/>
  <c r="O15" i="7"/>
  <c r="K15" i="7" s="1"/>
  <c r="Q13" i="3"/>
  <c r="O12" i="7"/>
  <c r="T12" i="7" s="1"/>
  <c r="Q14" i="3"/>
  <c r="F12" i="7"/>
  <c r="F14" i="3"/>
  <c r="E70" i="3"/>
  <c r="D13" i="3"/>
  <c r="E69" i="7"/>
  <c r="C69" i="6"/>
  <c r="D12" i="6" s="1"/>
  <c r="B69" i="6"/>
  <c r="M69" i="6" s="1"/>
  <c r="O14" i="3"/>
  <c r="D69" i="6"/>
  <c r="F12" i="6" s="1"/>
  <c r="T10" i="3"/>
  <c r="K10" i="4"/>
  <c r="F8" i="7"/>
  <c r="T9" i="4"/>
  <c r="T11" i="4"/>
  <c r="U11" i="4" s="1"/>
  <c r="J11" i="4" s="1"/>
  <c r="K11" i="4"/>
  <c r="R10" i="4"/>
  <c r="S10" i="4"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F15" i="3"/>
  <c r="R13" i="4"/>
  <c r="S13" i="4" s="1"/>
  <c r="U13" i="4" s="1"/>
  <c r="J13" i="4" s="1"/>
  <c r="K9" i="4"/>
  <c r="R9" i="4"/>
  <c r="S9" i="4" s="1"/>
  <c r="F32" i="2"/>
  <c r="O13" i="8"/>
  <c r="R13" i="8" s="1"/>
  <c r="S13" i="8" s="1"/>
  <c r="R10" i="3"/>
  <c r="S10" i="3" s="1"/>
  <c r="U10" i="3" s="1"/>
  <c r="J10" i="3" s="1"/>
  <c r="M10" i="3" s="1"/>
  <c r="T13" i="6"/>
  <c r="F8" i="2"/>
  <c r="O14" i="8"/>
  <c r="F14" i="8"/>
  <c r="T14" i="4"/>
  <c r="B70" i="2"/>
  <c r="F33" i="2" s="1"/>
  <c r="F35" i="3"/>
  <c r="D69" i="5"/>
  <c r="O15" i="5" s="1"/>
  <c r="F32" i="3"/>
  <c r="T13" i="5"/>
  <c r="F34" i="7"/>
  <c r="M70" i="7"/>
  <c r="O13" i="7"/>
  <c r="K11" i="3"/>
  <c r="R11" i="3"/>
  <c r="S11" i="3" s="1"/>
  <c r="U11" i="3" s="1"/>
  <c r="J11" i="3" s="1"/>
  <c r="M11" i="3" s="1"/>
  <c r="L68" i="7"/>
  <c r="Q9" i="7" s="1"/>
  <c r="C69" i="5"/>
  <c r="Q12" i="5" s="1"/>
  <c r="B69" i="5"/>
  <c r="F32" i="5" s="1"/>
  <c r="D68" i="7"/>
  <c r="E68" i="7" s="1"/>
  <c r="B68" i="7"/>
  <c r="F31" i="7" s="1"/>
  <c r="K9" i="3"/>
  <c r="K10" i="3"/>
  <c r="R14" i="4"/>
  <c r="S14" i="4" s="1"/>
  <c r="D13" i="7"/>
  <c r="O12" i="3"/>
  <c r="R12" i="3" s="1"/>
  <c r="S12" i="3" s="1"/>
  <c r="R9" i="3"/>
  <c r="S9" i="3" s="1"/>
  <c r="Q14" i="8"/>
  <c r="T9" i="3"/>
  <c r="F34" i="8"/>
  <c r="R14" i="5"/>
  <c r="S14" i="5" s="1"/>
  <c r="U14" i="5" s="1"/>
  <c r="J14" i="5" s="1"/>
  <c r="M14" i="5" s="1"/>
  <c r="F33" i="8"/>
  <c r="C70" i="2"/>
  <c r="D14" i="2" s="1"/>
  <c r="T14" i="5"/>
  <c r="D13" i="8"/>
  <c r="O15" i="3"/>
  <c r="K14" i="5"/>
  <c r="Q15" i="3"/>
  <c r="D70" i="2"/>
  <c r="O14" i="2" s="1"/>
  <c r="D14" i="8"/>
  <c r="E70" i="8"/>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U13" i="6" l="1"/>
  <c r="J13" i="6" s="1"/>
  <c r="M13" i="6" s="1"/>
  <c r="G13" i="6" s="1"/>
  <c r="F12" i="3"/>
  <c r="R13" i="3"/>
  <c r="S13" i="3" s="1"/>
  <c r="K13" i="3"/>
  <c r="G11" i="3"/>
  <c r="U9" i="4"/>
  <c r="J9" i="4" s="1"/>
  <c r="M9" i="4" s="1"/>
  <c r="G9" i="4" s="1"/>
  <c r="G10" i="16" s="1"/>
  <c r="U10" i="4"/>
  <c r="J10" i="4" s="1"/>
  <c r="M10" i="4" s="1"/>
  <c r="G10" i="4" s="1"/>
  <c r="G11" i="16" s="1"/>
  <c r="U14" i="4"/>
  <c r="J14" i="4" s="1"/>
  <c r="L14" i="4" s="1"/>
  <c r="O15" i="16" s="1"/>
  <c r="G10" i="3"/>
  <c r="I11" i="16" s="1"/>
  <c r="K13" i="6"/>
  <c r="L13" i="6" s="1"/>
  <c r="R14" i="16" s="1"/>
  <c r="R14" i="6"/>
  <c r="S14" i="6" s="1"/>
  <c r="O12" i="6"/>
  <c r="R15" i="7"/>
  <c r="S15" i="7" s="1"/>
  <c r="U15" i="7" s="1"/>
  <c r="J15" i="7" s="1"/>
  <c r="L15" i="7" s="1"/>
  <c r="S16" i="16" s="1"/>
  <c r="K14" i="6"/>
  <c r="T13" i="3"/>
  <c r="U13" i="3" s="1"/>
  <c r="J13" i="3" s="1"/>
  <c r="T14" i="6"/>
  <c r="T15" i="7"/>
  <c r="K14" i="3"/>
  <c r="K12" i="7"/>
  <c r="T14" i="3"/>
  <c r="R12" i="7"/>
  <c r="S12" i="7" s="1"/>
  <c r="U12" i="7" s="1"/>
  <c r="J12" i="7" s="1"/>
  <c r="M12" i="7" s="1"/>
  <c r="F32" i="6"/>
  <c r="R14" i="8"/>
  <c r="S14" i="8" s="1"/>
  <c r="R14" i="3"/>
  <c r="S14" i="3" s="1"/>
  <c r="Q12" i="6"/>
  <c r="T13" i="8"/>
  <c r="U13" i="8" s="1"/>
  <c r="J13" i="8" s="1"/>
  <c r="M13" i="8" s="1"/>
  <c r="D15" i="6"/>
  <c r="Q15" i="6"/>
  <c r="E69" i="6"/>
  <c r="O15" i="6"/>
  <c r="F35" i="6"/>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K14"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I12" i="16"/>
  <c r="E11" i="9"/>
  <c r="I12" i="13"/>
  <c r="G13" i="9"/>
  <c r="M14" i="13"/>
  <c r="T14" i="8"/>
  <c r="D13" i="2"/>
  <c r="E70" i="2"/>
  <c r="Q14" i="2"/>
  <c r="K14" i="2" s="1"/>
  <c r="M13" i="4"/>
  <c r="G13" i="4" s="1"/>
  <c r="G14" i="16" s="1"/>
  <c r="R13" i="7"/>
  <c r="S13" i="7" s="1"/>
  <c r="Q13" i="2"/>
  <c r="U9" i="3"/>
  <c r="J9" i="3" s="1"/>
  <c r="L9" i="3" s="1"/>
  <c r="K15" i="3"/>
  <c r="T15" i="3"/>
  <c r="N30" i="5"/>
  <c r="L14" i="5"/>
  <c r="Q15" i="16" s="1"/>
  <c r="L13" i="5"/>
  <c r="Q14" i="16" s="1"/>
  <c r="K13" i="7"/>
  <c r="T8" i="2"/>
  <c r="U8" i="2" s="1"/>
  <c r="J8" i="2" s="1"/>
  <c r="M11" i="4"/>
  <c r="G11" i="4" s="1"/>
  <c r="T14" i="7"/>
  <c r="U14" i="7" s="1"/>
  <c r="J14" i="7" s="1"/>
  <c r="K14" i="7"/>
  <c r="G10" i="13"/>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L10" i="4" l="1"/>
  <c r="O11" i="16" s="1"/>
  <c r="U13" i="7"/>
  <c r="J13" i="7" s="1"/>
  <c r="M13" i="7" s="1"/>
  <c r="G11" i="13"/>
  <c r="L9" i="4"/>
  <c r="O10" i="16" s="1"/>
  <c r="D9" i="9"/>
  <c r="D10" i="9"/>
  <c r="U14" i="6"/>
  <c r="J14" i="6" s="1"/>
  <c r="M14" i="6" s="1"/>
  <c r="G14" i="6" s="1"/>
  <c r="M15" i="13" s="1"/>
  <c r="N30" i="4"/>
  <c r="M14" i="4"/>
  <c r="G14" i="4" s="1"/>
  <c r="G15" i="16" s="1"/>
  <c r="T12" i="6"/>
  <c r="I11" i="13"/>
  <c r="U14" i="3"/>
  <c r="J14" i="3" s="1"/>
  <c r="M14" i="3" s="1"/>
  <c r="G14" i="3" s="1"/>
  <c r="I15" i="16" s="1"/>
  <c r="E10" i="9"/>
  <c r="G13" i="8"/>
  <c r="Q14" i="13" s="1"/>
  <c r="M13" i="3"/>
  <c r="G13" i="3" s="1"/>
  <c r="E13" i="9" s="1"/>
  <c r="L13" i="3"/>
  <c r="P14" i="16" s="1"/>
  <c r="L13" i="8"/>
  <c r="T14" i="16" s="1"/>
  <c r="M15" i="7"/>
  <c r="K12" i="6"/>
  <c r="R12" i="6"/>
  <c r="S12" i="6" s="1"/>
  <c r="U12" i="6" s="1"/>
  <c r="J12" i="6" s="1"/>
  <c r="M12" i="6" s="1"/>
  <c r="G12" i="6" s="1"/>
  <c r="L12" i="7"/>
  <c r="S13" i="16" s="1"/>
  <c r="U14" i="8"/>
  <c r="J14" i="8" s="1"/>
  <c r="N30" i="8" s="1"/>
  <c r="T15" i="6"/>
  <c r="K15" i="6"/>
  <c r="R15" i="6"/>
  <c r="S15" i="6" s="1"/>
  <c r="U15" i="6" s="1"/>
  <c r="J15" i="6" s="1"/>
  <c r="M15" i="6" s="1"/>
  <c r="G15" i="6" s="1"/>
  <c r="M13" i="9"/>
  <c r="U14" i="13"/>
  <c r="U12" i="13"/>
  <c r="M11" i="9"/>
  <c r="R12" i="8"/>
  <c r="S12" i="8" s="1"/>
  <c r="T13" i="2"/>
  <c r="U8" i="6"/>
  <c r="J8" i="6" s="1"/>
  <c r="M8" i="6" s="1"/>
  <c r="G8" i="6" s="1"/>
  <c r="M9" i="13" s="1"/>
  <c r="R13" i="2"/>
  <c r="S13" i="2" s="1"/>
  <c r="T15" i="8"/>
  <c r="V11" i="13"/>
  <c r="T12" i="8"/>
  <c r="K12" i="8"/>
  <c r="R10" i="7"/>
  <c r="S10" i="7" s="1"/>
  <c r="T11" i="7"/>
  <c r="T10" i="7"/>
  <c r="L8" i="2"/>
  <c r="N9" i="16" s="1"/>
  <c r="K13" i="2"/>
  <c r="R15" i="5"/>
  <c r="S15" i="5" s="1"/>
  <c r="U15" i="5" s="1"/>
  <c r="J15" i="5" s="1"/>
  <c r="M15" i="5" s="1"/>
  <c r="K11" i="7"/>
  <c r="K15" i="8"/>
  <c r="T9" i="7"/>
  <c r="U9" i="7" s="1"/>
  <c r="J9" i="7" s="1"/>
  <c r="M9" i="7" s="1"/>
  <c r="N10" i="9"/>
  <c r="R11" i="7"/>
  <c r="S11" i="7" s="1"/>
  <c r="K12" i="5"/>
  <c r="L12" i="5" s="1"/>
  <c r="Q13" i="16" s="1"/>
  <c r="T12" i="5"/>
  <c r="K10" i="7"/>
  <c r="R14" i="2"/>
  <c r="S14" i="2" s="1"/>
  <c r="D13" i="9"/>
  <c r="G14" i="13"/>
  <c r="P13" i="9"/>
  <c r="K9" i="7"/>
  <c r="T14" i="2"/>
  <c r="V12" i="13"/>
  <c r="U10" i="13"/>
  <c r="X14" i="13"/>
  <c r="N11" i="9"/>
  <c r="T15" i="5"/>
  <c r="W14" i="13"/>
  <c r="L15" i="3"/>
  <c r="P16" i="16" s="1"/>
  <c r="L13" i="7"/>
  <c r="S14" i="16" s="1"/>
  <c r="M9" i="3"/>
  <c r="G9" i="3" s="1"/>
  <c r="I10" i="13" s="1"/>
  <c r="G12" i="13"/>
  <c r="G12" i="16"/>
  <c r="N9" i="9"/>
  <c r="P10" i="16"/>
  <c r="M14" i="7"/>
  <c r="N30" i="7"/>
  <c r="L14" i="7"/>
  <c r="S15" i="16" s="1"/>
  <c r="L8" i="7"/>
  <c r="S9" i="16" s="1"/>
  <c r="O13" i="9"/>
  <c r="V14" i="13"/>
  <c r="M9" i="9"/>
  <c r="M10" i="9"/>
  <c r="O14" i="9"/>
  <c r="V10" i="13"/>
  <c r="W15" i="13"/>
  <c r="U12" i="2"/>
  <c r="J12" i="2" s="1"/>
  <c r="L12" i="2" s="1"/>
  <c r="N13" i="16" s="1"/>
  <c r="D11" i="9"/>
  <c r="U11" i="13"/>
  <c r="M8" i="2"/>
  <c r="G8" i="2" s="1"/>
  <c r="E9" i="16" s="1"/>
  <c r="U15" i="2"/>
  <c r="J15" i="2" s="1"/>
  <c r="M15" i="2" s="1"/>
  <c r="G15" i="2" s="1"/>
  <c r="E16" i="16" s="1"/>
  <c r="U12" i="4"/>
  <c r="J12" i="4" s="1"/>
  <c r="L12" i="4" s="1"/>
  <c r="O13" i="16" s="1"/>
  <c r="U11" i="6"/>
  <c r="J11" i="6" s="1"/>
  <c r="M11" i="6" s="1"/>
  <c r="G11" i="6" s="1"/>
  <c r="O9" i="9"/>
  <c r="W10" i="13"/>
  <c r="E15" i="9"/>
  <c r="I16"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G14" i="9" l="1"/>
  <c r="L14" i="6"/>
  <c r="R15" i="16" s="1"/>
  <c r="N30" i="6"/>
  <c r="I13" i="9"/>
  <c r="N13" i="9"/>
  <c r="I14" i="16"/>
  <c r="N30" i="3"/>
  <c r="K14" i="16"/>
  <c r="U13" i="2"/>
  <c r="J13" i="2" s="1"/>
  <c r="M13" i="2" s="1"/>
  <c r="G13" i="2" s="1"/>
  <c r="E14" i="16" s="1"/>
  <c r="I14" i="13"/>
  <c r="L12" i="6"/>
  <c r="R13" i="16" s="1"/>
  <c r="I15" i="13"/>
  <c r="M14" i="8"/>
  <c r="G14" i="8" s="1"/>
  <c r="K15" i="16" s="1"/>
  <c r="L14" i="8"/>
  <c r="T15" i="16" s="1"/>
  <c r="L14" i="3"/>
  <c r="P15" i="16" s="1"/>
  <c r="E14" i="9"/>
  <c r="U14" i="2"/>
  <c r="J14" i="2" s="1"/>
  <c r="M14" i="2" s="1"/>
  <c r="G14" i="2" s="1"/>
  <c r="E15" i="16" s="1"/>
  <c r="U10" i="7"/>
  <c r="J10" i="7" s="1"/>
  <c r="L10" i="7" s="1"/>
  <c r="S11" i="16" s="1"/>
  <c r="U12" i="8"/>
  <c r="J12" i="8" s="1"/>
  <c r="L12" i="8" s="1"/>
  <c r="T13" i="16" s="1"/>
  <c r="R13" i="9"/>
  <c r="U11" i="7"/>
  <c r="J11" i="7" s="1"/>
  <c r="L11" i="7" s="1"/>
  <c r="S12" i="16" s="1"/>
  <c r="Z14" i="13"/>
  <c r="Q12" i="9"/>
  <c r="Y13" i="13"/>
  <c r="L15" i="6"/>
  <c r="R16" i="16" s="1"/>
  <c r="L8" i="6"/>
  <c r="R9" i="16" s="1"/>
  <c r="L15" i="5"/>
  <c r="Q16" i="16" s="1"/>
  <c r="T9" i="13"/>
  <c r="L8" i="9"/>
  <c r="X15" i="13"/>
  <c r="P14" i="9"/>
  <c r="G8" i="9"/>
  <c r="Q14" i="9"/>
  <c r="Y15" i="13"/>
  <c r="Y14" i="13"/>
  <c r="E9" i="13"/>
  <c r="Q13" i="9"/>
  <c r="L10" i="2"/>
  <c r="N11" i="16" s="1"/>
  <c r="L11" i="6"/>
  <c r="R12" i="16" s="1"/>
  <c r="V16" i="13"/>
  <c r="N15" i="9"/>
  <c r="I10" i="16"/>
  <c r="C8" i="9"/>
  <c r="E9" i="9"/>
  <c r="G12" i="9"/>
  <c r="M13" i="13"/>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Z15" i="13" l="1"/>
  <c r="C13" i="9"/>
  <c r="L13" i="2"/>
  <c r="N14" i="16" s="1"/>
  <c r="E14" i="13"/>
  <c r="P12" i="9"/>
  <c r="E15" i="13"/>
  <c r="M12" i="8"/>
  <c r="G12" i="8" s="1"/>
  <c r="K13" i="16" s="1"/>
  <c r="M11" i="7"/>
  <c r="X13" i="13"/>
  <c r="R14" i="9"/>
  <c r="Q15" i="13"/>
  <c r="I14" i="9"/>
  <c r="C14" i="9"/>
  <c r="M10" i="7"/>
  <c r="N30" i="2"/>
  <c r="L14" i="2"/>
  <c r="N15" i="16" s="1"/>
  <c r="N14" i="9"/>
  <c r="V15" i="13"/>
  <c r="P15" i="9"/>
  <c r="X16" i="13"/>
  <c r="P8" i="9"/>
  <c r="X9" i="13"/>
  <c r="Q10" i="9"/>
  <c r="Y11" i="13"/>
  <c r="O15" i="9"/>
  <c r="W16" i="13"/>
  <c r="L10" i="9"/>
  <c r="X12" i="13"/>
  <c r="L13" i="9"/>
  <c r="T11" i="13"/>
  <c r="L15" i="9"/>
  <c r="P11" i="9"/>
  <c r="G10" i="9"/>
  <c r="M11" i="13"/>
  <c r="M10" i="13"/>
  <c r="G9" i="9"/>
  <c r="T16" i="13"/>
  <c r="C9" i="9"/>
  <c r="E10" i="16"/>
  <c r="D12" i="9"/>
  <c r="G13" i="16"/>
  <c r="E13" i="13"/>
  <c r="E13" i="16"/>
  <c r="L11" i="9"/>
  <c r="T12" i="13"/>
  <c r="Q9" i="9"/>
  <c r="G13" i="13"/>
  <c r="E10" i="13"/>
  <c r="L9" i="8"/>
  <c r="T10" i="16" s="1"/>
  <c r="Y10" i="13"/>
  <c r="M15" i="9"/>
  <c r="U16" i="13"/>
  <c r="Q13"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T14" i="13" l="1"/>
  <c r="I12" i="9"/>
  <c r="T15" i="13"/>
  <c r="L14"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<sst xmlns="http://schemas.openxmlformats.org/spreadsheetml/2006/main" count="654" uniqueCount="141">
  <si>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</si>
  <si>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</si>
  <si>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</si>
  <si>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</si>
  <si>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</si>
  <si>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</si>
  <si>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</si>
  <si>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</si>
  <si>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</si>
  <si>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</si>
  <si>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</si>
  <si>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</si>
  <si>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</si>
  <si>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</si>
  <si>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</si>
  <si>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</si>
  <si>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</si>
  <si>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</si>
  <si>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</si>
  <si>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</si>
  <si>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</si>
  <si>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</si>
  <si>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</si>
  <si>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</si>
  <si>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</si>
  <si>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</si>
  <si>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</si>
  <si>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</si>
  <si>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</si>
  <si>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</si>
  <si>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</si>
  <si>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</si>
  <si>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</si>
  <si>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</si>
  <si>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</si>
  <si>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</si>
  <si>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</si>
  <si>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</si>
  <si>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</si>
  <si>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</si>
  <si>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</si>
  <si>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</si>
  <si>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</si>
  <si>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</si>
  <si>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</si>
  <si>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</si>
  <si>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</si>
  <si>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</si>
  <si>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</si>
  <si>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</si>
  <si>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</si>
  <si>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</si>
  <si>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</si>
  <si>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</si>
  <si>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</si>
  <si>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</si>
  <si>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</si>
  <si>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</si>
  <si>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</si>
  <si>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</si>
  <si>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</si>
  <si>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</si>
  <si>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</si>
  <si>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</si>
  <si>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</si>
  <si>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</si>
  <si>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</si>
  <si>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</si>
  <si>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</si>
  <si>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</si>
  <si>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</si>
  <si>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</si>
  <si>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</si>
  <si>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</si>
  <si>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</si>
  <si>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</si>
  <si>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</si>
  <si>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</si>
  <si>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</si>
  <si>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</si>
  <si>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</si>
  <si>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</si>
  <si>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</si>
  <si>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</si>
  <si>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</si>
  <si>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</si>
  <si>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</si>
  <si>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</si>
  <si>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</si>
  <si>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</si>
  <si>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</si>
  <si>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</si>
  <si>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</si>
  <si>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</si>
  <si>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</si>
  <si>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</si>
  <si>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</si>
  <si>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</si>
  <si>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</si>
  <si>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</si>
  <si>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</si>
  <si>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</si>
  <si>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</si>
  <si>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</si>
  <si>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</si>
  <si>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</si>
  <si>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</si>
  <si>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</si>
  <si>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</si>
  <si>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</si>
  <si>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</si>
  <si>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</si>
  <si>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</si>
  <si>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</si>
  <si>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</si>
  <si>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</si>
  <si>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</si>
  <si>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</si>
  <si>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</si>
  <si>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</si>
  <si>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</si>
  <si>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</si>
  <si>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</si>
  <si>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</si>
  <si>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</si>
  <si>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</si>
  <si>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</si>
  <si>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</si>
  <si>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</si>
  <si>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</si>
  <si>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</si>
  <si>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</si>
  <si>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</si>
  <si>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</si>
  <si>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</si>
  <si>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</si>
  <si>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Ottawa</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</si>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</sst>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Ottawa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N=1</c:v>
                </c:pt>
                <c:pt idx="1">
                  <c:v>Confinement, total N=2</c:v>
                </c:pt>
                <c:pt idx="2">
                  <c:v>Delinquent Findings, total N=317</c:v>
                </c:pt>
                <c:pt idx="3">
                  <c:v>Petitions, total N=618</c:v>
                </c:pt>
                <c:pt idx="4">
                  <c:v>Detentions, total N=173</c:v>
                </c:pt>
                <c:pt idx="5">
                  <c:v>Referrals, total N=818</c:v>
                </c:pt>
                <c:pt idx="6">
                  <c:v>Arrests, total N=727</c:v>
                </c:pt>
                <c:pt idx="7">
                  <c:v>Population, total N=32943</c:v>
                </c:pt>
              </c:strCache>
            </c:strRef>
          </c:cat>
          <c:val>
            <c:numRef>
              <c:f>'Stacked 100%'!$B$7:$B$14</c:f>
              <c:numCache>
                <c:formatCode>0%</c:formatCode>
                <c:ptCount val="8"/>
                <c:pt idx="0">
                  <c:v>0</c:v>
                </c:pt>
                <c:pt idx="1">
                  <c:v>0</c:v>
                </c:pt>
                <c:pt idx="2">
                  <c:v>0.11041009463722397</c:v>
                </c:pt>
                <c:pt idx="3">
                  <c:v>0.11326860841423948</c:v>
                </c:pt>
                <c:pt idx="4">
                  <c:v>0.1791907514450867</c:v>
                </c:pt>
                <c:pt idx="5">
                  <c:v>0.10513447432762836</c:v>
                </c:pt>
                <c:pt idx="6">
                  <c:v>0.21045392022008252</c:v>
                </c:pt>
                <c:pt idx="7">
                  <c:v>3.3117809549828493E-2</c:v>
                </c:pt>
              </c:numCache>
            </c:numRef>
          </c:val>
          <c:extLst>
            <c:ext xmlns:c16="http://schemas.microsoft.com/office/drawing/2014/chart" uri="{C3380CC4-5D6E-409C-BE32-E72D297353CC}">
              <c16:uniqueId val="{00000000-8355-4D29-8883-84EFB608CC55}"/>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N=1</c:v>
                </c:pt>
                <c:pt idx="1">
                  <c:v>Confinement, total N=2</c:v>
                </c:pt>
                <c:pt idx="2">
                  <c:v>Delinquent Findings, total N=317</c:v>
                </c:pt>
                <c:pt idx="3">
                  <c:v>Petitions, total N=618</c:v>
                </c:pt>
                <c:pt idx="4">
                  <c:v>Detentions, total N=173</c:v>
                </c:pt>
                <c:pt idx="5">
                  <c:v>Referrals, total N=818</c:v>
                </c:pt>
                <c:pt idx="6">
                  <c:v>Arrests, total N=727</c:v>
                </c:pt>
                <c:pt idx="7">
                  <c:v>Population, total N=32943</c:v>
                </c:pt>
              </c:strCache>
            </c:strRef>
          </c:cat>
          <c:val>
            <c:numRef>
              <c:f>'Stacked 100%'!$C$7:$C$14</c:f>
              <c:numCache>
                <c:formatCode>0%</c:formatCode>
                <c:ptCount val="8"/>
                <c:pt idx="0">
                  <c:v>1</c:v>
                </c:pt>
                <c:pt idx="1">
                  <c:v>0</c:v>
                </c:pt>
                <c:pt idx="2">
                  <c:v>0.27760252365930599</c:v>
                </c:pt>
                <c:pt idx="3">
                  <c:v>0.24757281553398058</c:v>
                </c:pt>
                <c:pt idx="4">
                  <c:v>0.28901734104046245</c:v>
                </c:pt>
                <c:pt idx="5">
                  <c:v>0.24938875305623473</c:v>
                </c:pt>
                <c:pt idx="6">
                  <c:v>8.6657496561210454E-2</c:v>
                </c:pt>
                <c:pt idx="7">
                  <c:v>0.15450930394924567</c:v>
                </c:pt>
              </c:numCache>
            </c:numRef>
          </c:val>
          <c:extLst>
            <c:ext xmlns:c16="http://schemas.microsoft.com/office/drawing/2014/chart" uri="{C3380CC4-5D6E-409C-BE32-E72D297353CC}">
              <c16:uniqueId val="{00000001-8355-4D29-8883-84EFB608CC55}"/>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N=1</c:v>
                </c:pt>
                <c:pt idx="1">
                  <c:v>Confinement, total N=2</c:v>
                </c:pt>
                <c:pt idx="2">
                  <c:v>Delinquent Findings, total N=317</c:v>
                </c:pt>
                <c:pt idx="3">
                  <c:v>Petitions, total N=618</c:v>
                </c:pt>
                <c:pt idx="4">
                  <c:v>Detentions, total N=173</c:v>
                </c:pt>
                <c:pt idx="5">
                  <c:v>Referrals, total N=818</c:v>
                </c:pt>
                <c:pt idx="6">
                  <c:v>Arrests, total N=727</c:v>
                </c:pt>
                <c:pt idx="7">
                  <c:v>Population, total N=32943</c:v>
                </c:pt>
              </c:strCache>
            </c:strRef>
          </c:cat>
          <c:val>
            <c:numRef>
              <c:f>'Stacked 100%'!$H$7:$H$14</c:f>
              <c:numCache>
                <c:formatCode>0%</c:formatCode>
                <c:ptCount val="8"/>
                <c:pt idx="0">
                  <c:v>0</c:v>
                </c:pt>
                <c:pt idx="1">
                  <c:v>0</c:v>
                </c:pt>
                <c:pt idx="2">
                  <c:v>4.5776154603986512E-4</c:v>
                </c:pt>
                <c:pt idx="3">
                  <c:v>2.3303065531362263E-4</c:v>
                </c:pt>
                <c:pt idx="4">
                  <c:v>9.021350529586689E-4</c:v>
                </c:pt>
                <c:pt idx="5">
                  <c:v>1.5841607833525626E-4</c:v>
                </c:pt>
                <c:pt idx="6">
                  <c:v>3.2164744034859018E-5</c:v>
                </c:pt>
                <c:pt idx="7">
                  <c:v>1.0679653036299213E-6</c:v>
                </c:pt>
              </c:numCache>
            </c:numRef>
          </c:val>
          <c:extLst>
            <c:ext xmlns:c16="http://schemas.microsoft.com/office/drawing/2014/chart" uri="{C3380CC4-5D6E-409C-BE32-E72D297353CC}">
              <c16:uniqueId val="{00000002-8355-4D29-8883-84EFB608CC55}"/>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N=1</c:v>
                </c:pt>
                <c:pt idx="1">
                  <c:v>Confinement, total N=2</c:v>
                </c:pt>
                <c:pt idx="2">
                  <c:v>Delinquent Findings, total N=317</c:v>
                </c:pt>
                <c:pt idx="3">
                  <c:v>Petitions, total N=618</c:v>
                </c:pt>
                <c:pt idx="4">
                  <c:v>Detentions, total N=173</c:v>
                </c:pt>
                <c:pt idx="5">
                  <c:v>Referrals, total N=818</c:v>
                </c:pt>
                <c:pt idx="6">
                  <c:v>Arrests, total N=727</c:v>
                </c:pt>
                <c:pt idx="7">
                  <c:v>Population, total N=32943</c:v>
                </c:pt>
              </c:strCache>
            </c:strRef>
          </c:cat>
          <c:val>
            <c:numRef>
              <c:f>'Stacked 100%'!$I$7:$I$14</c:f>
              <c:numCache>
                <c:formatCode>0%</c:formatCode>
                <c:ptCount val="8"/>
                <c:pt idx="0">
                  <c:v>0</c:v>
                </c:pt>
                <c:pt idx="1">
                  <c:v>1</c:v>
                </c:pt>
                <c:pt idx="2">
                  <c:v>0.41009463722397477</c:v>
                </c:pt>
                <c:pt idx="3">
                  <c:v>0.4336569579288026</c:v>
                </c:pt>
                <c:pt idx="4">
                  <c:v>0.36994219653179189</c:v>
                </c:pt>
                <c:pt idx="5">
                  <c:v>0.46943765281173594</c:v>
                </c:pt>
                <c:pt idx="6">
                  <c:v>0.55845942228335621</c:v>
                </c:pt>
                <c:pt idx="7">
                  <c:v>0.77719090550344538</c:v>
                </c:pt>
              </c:numCache>
            </c:numRef>
          </c:val>
          <c:extLst>
            <c:ext xmlns:c16="http://schemas.microsoft.com/office/drawing/2014/chart" uri="{C3380CC4-5D6E-409C-BE32-E72D297353CC}">
              <c16:uniqueId val="{00000003-8355-4D29-8883-84EFB608CC55}"/>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N=1</c:v>
                </c:pt>
                <c:pt idx="1">
                  <c:v>Confinement, total N=2</c:v>
                </c:pt>
                <c:pt idx="2">
                  <c:v>Delinquent Findings, total N=317</c:v>
                </c:pt>
                <c:pt idx="3">
                  <c:v>Petitions, total N=618</c:v>
                </c:pt>
                <c:pt idx="4">
                  <c:v>Detentions, total N=173</c:v>
                </c:pt>
                <c:pt idx="5">
                  <c:v>Referrals, total N=818</c:v>
                </c:pt>
                <c:pt idx="6">
                  <c:v>Arrests, total N=727</c:v>
                </c:pt>
                <c:pt idx="7">
                  <c:v>Population, total N=32943</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8355-4D29-8883-84EFB608CC55}"/>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B8" sqref="B8"/>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32943</v>
      </c>
      <c r="C6" s="11">
        <v>25603</v>
      </c>
      <c r="D6" s="11">
        <v>1091</v>
      </c>
      <c r="E6" s="11">
        <v>5090</v>
      </c>
      <c r="F6" s="11">
        <v>1051</v>
      </c>
      <c r="G6" s="11"/>
      <c r="H6" s="11">
        <v>108</v>
      </c>
      <c r="I6" s="11"/>
      <c r="J6" s="91">
        <f>SUM(D6:I6)</f>
        <v>7340</v>
      </c>
      <c r="K6" s="92"/>
    </row>
    <row r="7" spans="1:11" ht="15.75" customHeight="1" thickBot="1">
      <c r="A7" s="10" t="s">
        <v>8</v>
      </c>
      <c r="B7" s="11">
        <f t="shared" ref="B7:B15" si="0">SUM(C7:I7)+K7</f>
        <v>727</v>
      </c>
      <c r="C7" s="11">
        <v>406</v>
      </c>
      <c r="D7" s="11">
        <v>153</v>
      </c>
      <c r="E7" s="11">
        <v>63</v>
      </c>
      <c r="F7" s="11">
        <v>17</v>
      </c>
      <c r="G7" s="11">
        <v>0</v>
      </c>
      <c r="H7" s="11">
        <v>0</v>
      </c>
      <c r="I7" s="11"/>
      <c r="J7" s="91">
        <f t="shared" ref="J7:J15" si="1">SUM(D7:I7)</f>
        <v>233</v>
      </c>
      <c r="K7" s="92">
        <v>88</v>
      </c>
    </row>
    <row r="8" spans="1:11" ht="15.75" customHeight="1" thickBot="1">
      <c r="A8" s="10" t="s">
        <v>9</v>
      </c>
      <c r="B8" s="11">
        <f t="shared" si="0"/>
        <v>818</v>
      </c>
      <c r="C8" s="11">
        <v>384</v>
      </c>
      <c r="D8" s="11">
        <v>86</v>
      </c>
      <c r="E8" s="11">
        <v>204</v>
      </c>
      <c r="F8" s="11">
        <v>14</v>
      </c>
      <c r="G8" s="11"/>
      <c r="H8" s="11">
        <v>7</v>
      </c>
      <c r="I8" s="11">
        <v>85</v>
      </c>
      <c r="J8" s="91">
        <f t="shared" si="1"/>
        <v>396</v>
      </c>
      <c r="K8" s="92">
        <v>38</v>
      </c>
    </row>
    <row r="9" spans="1:11" ht="15.75" customHeight="1" thickBot="1">
      <c r="A9" s="10" t="s">
        <v>10</v>
      </c>
      <c r="B9" s="11">
        <f t="shared" si="0"/>
        <v>200</v>
      </c>
      <c r="C9" s="11">
        <v>116</v>
      </c>
      <c r="D9" s="11">
        <v>16</v>
      </c>
      <c r="E9" s="11">
        <v>51</v>
      </c>
      <c r="F9" s="11">
        <v>4</v>
      </c>
      <c r="G9" s="11"/>
      <c r="H9" s="11">
        <v>1</v>
      </c>
      <c r="I9" s="11">
        <v>12</v>
      </c>
      <c r="J9" s="91">
        <f t="shared" si="1"/>
        <v>84</v>
      </c>
      <c r="K9" s="92"/>
    </row>
    <row r="10" spans="1:11" ht="15.75" customHeight="1" thickBot="1">
      <c r="A10" s="10" t="s">
        <v>11</v>
      </c>
      <c r="B10" s="11">
        <f t="shared" si="0"/>
        <v>173</v>
      </c>
      <c r="C10" s="11">
        <v>64</v>
      </c>
      <c r="D10" s="11">
        <v>31</v>
      </c>
      <c r="E10" s="11">
        <v>50</v>
      </c>
      <c r="F10" s="11">
        <v>1</v>
      </c>
      <c r="G10" s="11"/>
      <c r="H10" s="11"/>
      <c r="I10" s="11">
        <v>26</v>
      </c>
      <c r="J10" s="91">
        <f t="shared" si="1"/>
        <v>108</v>
      </c>
      <c r="K10" s="92">
        <v>1</v>
      </c>
    </row>
    <row r="11" spans="1:11" ht="15.75" customHeight="1" thickBot="1">
      <c r="A11" s="10" t="s">
        <v>12</v>
      </c>
      <c r="B11" s="11">
        <f t="shared" si="0"/>
        <v>618</v>
      </c>
      <c r="C11" s="11">
        <v>268</v>
      </c>
      <c r="D11" s="11">
        <v>70</v>
      </c>
      <c r="E11" s="11">
        <v>153</v>
      </c>
      <c r="F11" s="11">
        <v>10</v>
      </c>
      <c r="G11" s="11"/>
      <c r="H11" s="11">
        <v>6</v>
      </c>
      <c r="I11" s="11">
        <v>73</v>
      </c>
      <c r="J11" s="91">
        <f t="shared" si="1"/>
        <v>312</v>
      </c>
      <c r="K11" s="92">
        <v>38</v>
      </c>
    </row>
    <row r="12" spans="1:11" ht="15.75" customHeight="1" thickBot="1">
      <c r="A12" s="10" t="s">
        <v>13</v>
      </c>
      <c r="B12" s="11">
        <f t="shared" si="0"/>
        <v>317</v>
      </c>
      <c r="C12" s="11">
        <v>130</v>
      </c>
      <c r="D12" s="11">
        <v>35</v>
      </c>
      <c r="E12" s="11">
        <v>88</v>
      </c>
      <c r="F12" s="11">
        <v>5</v>
      </c>
      <c r="G12" s="11"/>
      <c r="H12" s="11">
        <v>3</v>
      </c>
      <c r="I12" s="11">
        <v>38</v>
      </c>
      <c r="J12" s="91">
        <f t="shared" si="1"/>
        <v>169</v>
      </c>
      <c r="K12" s="92">
        <v>18</v>
      </c>
    </row>
    <row r="13" spans="1:11" ht="15.75" customHeight="1" thickBot="1">
      <c r="A13" s="10" t="s">
        <v>133</v>
      </c>
      <c r="B13" s="11">
        <f t="shared" si="0"/>
        <v>249</v>
      </c>
      <c r="C13" s="11">
        <v>127</v>
      </c>
      <c r="D13" s="11">
        <v>37</v>
      </c>
      <c r="E13" s="11">
        <v>60</v>
      </c>
      <c r="F13" s="11">
        <v>1</v>
      </c>
      <c r="G13" s="11"/>
      <c r="H13" s="11"/>
      <c r="I13" s="11">
        <v>21</v>
      </c>
      <c r="J13" s="91">
        <f t="shared" si="1"/>
        <v>119</v>
      </c>
      <c r="K13" s="92">
        <v>3</v>
      </c>
    </row>
    <row r="14" spans="1:11" ht="26.25" customHeight="1" thickBot="1">
      <c r="A14" s="10" t="s">
        <v>123</v>
      </c>
      <c r="B14" s="11">
        <f t="shared" si="0"/>
        <v>2</v>
      </c>
      <c r="C14" s="11">
        <v>2</v>
      </c>
      <c r="D14" s="11"/>
      <c r="E14" s="11"/>
      <c r="F14" s="11"/>
      <c r="G14" s="11"/>
      <c r="H14" s="11"/>
      <c r="I14" s="11"/>
      <c r="J14" s="91">
        <f t="shared" si="1"/>
        <v>0</v>
      </c>
      <c r="K14" s="92"/>
    </row>
    <row r="15" spans="1:11" ht="15.75" customHeight="1" thickBot="1">
      <c r="A15" s="10" t="s">
        <v>16</v>
      </c>
      <c r="B15" s="11">
        <f t="shared" si="0"/>
        <v>1</v>
      </c>
      <c r="C15" s="11"/>
      <c r="D15" s="11"/>
      <c r="E15" s="11">
        <v>1</v>
      </c>
      <c r="F15" s="11"/>
      <c r="G15" s="11"/>
      <c r="H15" s="11"/>
      <c r="I15" s="11"/>
      <c r="J15" s="91">
        <f t="shared" si="1"/>
        <v>1</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69" t="s">
        <v>138</v>
      </c>
      <c r="B19" s="169"/>
      <c r="C19" s="8"/>
      <c r="D19" s="169" t="s">
        <v>139</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Ottawa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25603</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406</v>
      </c>
      <c r="D7" s="34">
        <f>IF((AND(C66&gt;0,C7&gt;0)),(C7/C66),0)</f>
        <v>15.857516697262039</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406</v>
      </c>
      <c r="Q7" s="42">
        <f>C6-C7</f>
        <v>25197</v>
      </c>
      <c r="R7" s="42">
        <f t="shared" ref="R7:R15" si="5">SUM(N7:Q7)</f>
        <v>25603</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384</v>
      </c>
      <c r="D8" s="34">
        <f>IF((AND(C67&gt;0,C8&gt;0)),(C8/C67),0)</f>
        <v>94.581280788177352</v>
      </c>
      <c r="E8" s="33">
        <f>'Data Entry'!I8</f>
        <v>85</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85</v>
      </c>
      <c r="O8" s="42">
        <f>((D67*L67)-E8)+0.05</f>
        <v>-84.95</v>
      </c>
      <c r="P8" s="42">
        <f t="shared" si="4"/>
        <v>384</v>
      </c>
      <c r="Q8" s="42">
        <f>(C$67*L67)-C8</f>
        <v>21.999999999999943</v>
      </c>
      <c r="R8" s="42">
        <f t="shared" si="5"/>
        <v>406.04999999999995</v>
      </c>
      <c r="S8" s="30">
        <f t="shared" si="6"/>
        <v>483043286328.07178</v>
      </c>
      <c r="T8" s="30">
        <f t="shared" si="7"/>
        <v>-599328.06499996642</v>
      </c>
      <c r="U8" s="31">
        <f t="shared" si="8"/>
        <v>-805974.74828431208</v>
      </c>
    </row>
    <row r="9" spans="2:21" ht="18" customHeight="1">
      <c r="B9" s="32" t="str">
        <f>'Data Entry'!A9</f>
        <v xml:space="preserve">4. Cases Diverted </v>
      </c>
      <c r="C9" s="33">
        <f>'Data Entry'!C9</f>
        <v>116</v>
      </c>
      <c r="D9" s="34">
        <f>IF((AND(C68&gt;0,C9&gt;0)),((C9/C68)),0)</f>
        <v>30.208333333333336</v>
      </c>
      <c r="E9" s="33">
        <f>'Data Entry'!I9</f>
        <v>12</v>
      </c>
      <c r="F9" s="34">
        <f>IF((AND($E$9&gt;0,$D$68&gt;0)),(($E$9/$D$68)),0)</f>
        <v>14.117647058823529</v>
      </c>
      <c r="G9" s="39" t="str">
        <f t="shared" si="0"/>
        <v>*</v>
      </c>
      <c r="H9" s="40"/>
      <c r="I9" s="41"/>
      <c r="J9" s="40">
        <f>IF((ABS($U9)&gt;Defaults!D$7),1,2)</f>
        <v>1</v>
      </c>
      <c r="K9" s="39">
        <f>IF((AND(N9&gt;Defaults!B$12,(N9+O9)&gt;Defaults!B$13, P9 &gt; Defaults!B$12, (P9+Q9) &gt; Defaults!B$13)),1,20)</f>
        <v>1</v>
      </c>
      <c r="L9" s="1">
        <f t="shared" si="1"/>
        <v>100</v>
      </c>
      <c r="M9" s="1" t="b">
        <f t="shared" si="2"/>
        <v>1</v>
      </c>
      <c r="N9" s="42">
        <f t="shared" si="3"/>
        <v>12</v>
      </c>
      <c r="O9" s="42">
        <f>(D$68*L68)-E9</f>
        <v>73</v>
      </c>
      <c r="P9" s="42">
        <f t="shared" si="4"/>
        <v>116</v>
      </c>
      <c r="Q9" s="42">
        <f>(C$68*L68)-C9</f>
        <v>268</v>
      </c>
      <c r="R9" s="42">
        <f t="shared" si="5"/>
        <v>469</v>
      </c>
      <c r="S9" s="30">
        <f t="shared" si="6"/>
        <v>12936663376</v>
      </c>
      <c r="T9" s="30">
        <f t="shared" si="7"/>
        <v>1424670720</v>
      </c>
      <c r="U9" s="31">
        <f t="shared" si="8"/>
        <v>9.0804585188639244</v>
      </c>
    </row>
    <row r="10" spans="2:21" ht="18" customHeight="1">
      <c r="B10" s="32" t="str">
        <f>'Data Entry'!A10</f>
        <v>5. Cases Involving Secure Detention</v>
      </c>
      <c r="C10" s="33">
        <f>'Data Entry'!C10</f>
        <v>64</v>
      </c>
      <c r="D10" s="34">
        <f>IF(((AND(C68&gt;0,C10&gt;0))),(C10/(C68)),0)</f>
        <v>16.666666666666668</v>
      </c>
      <c r="E10" s="33">
        <f>'Data Entry'!I10</f>
        <v>26</v>
      </c>
      <c r="F10" s="34">
        <f>IF(((AND($E$10&gt;0,$D$68&gt;0))),($E$10/($D$68)),0)</f>
        <v>30.588235294117649</v>
      </c>
      <c r="G10" s="39" t="str">
        <f t="shared" si="0"/>
        <v>*</v>
      </c>
      <c r="H10" s="40"/>
      <c r="I10" s="41"/>
      <c r="J10" s="40">
        <f>IF((ABS($U10)&gt;Defaults!D$7),1,2)</f>
        <v>1</v>
      </c>
      <c r="K10" s="39">
        <f>IF((AND(N10&gt;Defaults!B$12,(N10+O10)&gt;Defaults!B$13, P10 &gt; Defaults!B$12, (P10+Q10) &gt; Defaults!B$13)),1,20)</f>
        <v>1</v>
      </c>
      <c r="L10" s="1">
        <f t="shared" si="1"/>
        <v>100</v>
      </c>
      <c r="M10" s="1" t="b">
        <f t="shared" si="2"/>
        <v>1</v>
      </c>
      <c r="N10" s="42">
        <f t="shared" si="3"/>
        <v>26</v>
      </c>
      <c r="O10" s="42">
        <f>(D$68*L68)-E10</f>
        <v>59</v>
      </c>
      <c r="P10" s="42">
        <f t="shared" si="4"/>
        <v>64</v>
      </c>
      <c r="Q10" s="42">
        <f>(C$68*L68)-C10</f>
        <v>320</v>
      </c>
      <c r="R10" s="42">
        <f t="shared" si="5"/>
        <v>469</v>
      </c>
      <c r="S10" s="30">
        <f t="shared" si="6"/>
        <v>9683881984</v>
      </c>
      <c r="T10" s="30">
        <f t="shared" si="7"/>
        <v>1113350400</v>
      </c>
      <c r="U10" s="31">
        <f t="shared" si="8"/>
        <v>8.6979642563563093</v>
      </c>
    </row>
    <row r="11" spans="2:21" ht="18" customHeight="1">
      <c r="B11" s="32" t="str">
        <f>'Data Entry'!A11</f>
        <v>6. Cases Petitioned (Charge Filed)</v>
      </c>
      <c r="C11" s="33">
        <f>'Data Entry'!C11</f>
        <v>268</v>
      </c>
      <c r="D11" s="34">
        <f>IF(((AND(C68&gt;0,C11&gt;0))),(C11/(C68)),0)</f>
        <v>69.791666666666671</v>
      </c>
      <c r="E11" s="33">
        <f>'Data Entry'!I11</f>
        <v>73</v>
      </c>
      <c r="F11" s="34">
        <f>IF(((AND($E$11&gt;0,$D$68&gt;0))),($E$11/($D$68)),0)</f>
        <v>85.882352941176478</v>
      </c>
      <c r="G11" s="39" t="str">
        <f t="shared" si="0"/>
        <v>*</v>
      </c>
      <c r="H11" s="40"/>
      <c r="I11" s="41"/>
      <c r="J11" s="40">
        <f>IF((ABS($U11)&gt;Defaults!D$7),1,2)</f>
        <v>1</v>
      </c>
      <c r="K11" s="39">
        <f>IF((AND(N11&gt;Defaults!B$12,(N11+O11)&gt;Defaults!B$13, P11 &gt; Defaults!B$12, (P11+Q11) &gt; Defaults!B$13)),1,20)</f>
        <v>1</v>
      </c>
      <c r="L11" s="1">
        <f t="shared" si="1"/>
        <v>100</v>
      </c>
      <c r="M11" s="1" t="b">
        <f t="shared" si="2"/>
        <v>1</v>
      </c>
      <c r="N11" s="42">
        <f t="shared" si="3"/>
        <v>73</v>
      </c>
      <c r="O11" s="42">
        <f>(D$68*L68)-E11</f>
        <v>12</v>
      </c>
      <c r="P11" s="42">
        <f t="shared" si="4"/>
        <v>268</v>
      </c>
      <c r="Q11" s="42">
        <f>(C$68*L68)-C11</f>
        <v>116</v>
      </c>
      <c r="R11" s="42">
        <f t="shared" si="5"/>
        <v>469</v>
      </c>
      <c r="S11" s="30">
        <f t="shared" si="6"/>
        <v>12936663376</v>
      </c>
      <c r="T11" s="30">
        <f t="shared" si="7"/>
        <v>1424670720</v>
      </c>
      <c r="U11" s="31">
        <f t="shared" si="8"/>
        <v>9.0804585188639244</v>
      </c>
    </row>
    <row r="12" spans="2:21" ht="18" customHeight="1">
      <c r="B12" s="32" t="str">
        <f>'Data Entry'!A12</f>
        <v>7. Cases Resulting in Delinquent Findings</v>
      </c>
      <c r="C12" s="33">
        <f>'Data Entry'!C12</f>
        <v>130</v>
      </c>
      <c r="D12" s="34">
        <f>IF(((AND(C69&gt;0,C12&gt;0))),(C12/(C69)),0)</f>
        <v>48.507462686567159</v>
      </c>
      <c r="E12" s="33">
        <f>'Data Entry'!I12</f>
        <v>38</v>
      </c>
      <c r="F12" s="34">
        <f>IF(((AND($D$69&gt;0,$E$12&gt;0))),(E12/(D69)),0)</f>
        <v>52.054794520547944</v>
      </c>
      <c r="G12" s="39" t="str">
        <f t="shared" si="0"/>
        <v>*</v>
      </c>
      <c r="H12" s="40"/>
      <c r="I12" s="41"/>
      <c r="J12" s="40">
        <f>IF((ABS($U12)&gt;Defaults!D$7),1,2)</f>
        <v>2</v>
      </c>
      <c r="K12" s="39">
        <f>IF((AND(N12&gt;Defaults!B$12,(N12+O12)&gt;Defaults!B$13, P12 &gt; Defaults!B$12, (P12+Q12) &gt; Defaults!B$13)),1,20)</f>
        <v>1</v>
      </c>
      <c r="L12" s="1">
        <f t="shared" si="1"/>
        <v>101</v>
      </c>
      <c r="M12" s="1" t="b">
        <f t="shared" si="2"/>
        <v>1</v>
      </c>
      <c r="N12" s="42">
        <f t="shared" si="3"/>
        <v>38</v>
      </c>
      <c r="O12" s="42">
        <f>(D69*L69)-E12</f>
        <v>35</v>
      </c>
      <c r="P12" s="42">
        <f t="shared" si="4"/>
        <v>130</v>
      </c>
      <c r="Q12" s="42">
        <f>(C69*L69)-C12</f>
        <v>138</v>
      </c>
      <c r="R12" s="42">
        <f t="shared" si="5"/>
        <v>341</v>
      </c>
      <c r="S12" s="30">
        <f t="shared" si="6"/>
        <v>164237876</v>
      </c>
      <c r="T12" s="30">
        <f t="shared" si="7"/>
        <v>568608096</v>
      </c>
      <c r="U12" s="31">
        <f t="shared" si="8"/>
        <v>0.2888419583811202</v>
      </c>
    </row>
    <row r="13" spans="2:21" ht="18" customHeight="1">
      <c r="B13" s="32" t="str">
        <f>'Data Entry'!A13</f>
        <v>8. Cases Resulting in Probation Placement</v>
      </c>
      <c r="C13" s="33">
        <f>'Data Entry'!C13</f>
        <v>127</v>
      </c>
      <c r="D13" s="34">
        <f>IF(((AND(C70&gt;0,C13&gt;0))),(C13/(C70)),0)</f>
        <v>97.692307692307693</v>
      </c>
      <c r="E13" s="33">
        <f>'Data Entry'!I13</f>
        <v>21</v>
      </c>
      <c r="F13" s="34">
        <f>IF(((AND($D$70&gt;0,$E$13&gt;0))),($E$13/($D$70)),0)</f>
        <v>55.263157894736842</v>
      </c>
      <c r="G13" s="39" t="str">
        <f t="shared" si="0"/>
        <v>*</v>
      </c>
      <c r="H13" s="40"/>
      <c r="I13" s="41"/>
      <c r="J13" s="40">
        <f>IF((ABS($U13)&gt;Defaults!D$7),1,2)</f>
        <v>1</v>
      </c>
      <c r="K13" s="39">
        <f>IF((AND(N13&gt;Defaults!B$12,(N13+O13)&gt;Defaults!B$13, P13 &gt; Defaults!B$12, (P13+Q13) &gt; Defaults!B$13)),1,20)</f>
        <v>1</v>
      </c>
      <c r="L13" s="1">
        <f t="shared" si="1"/>
        <v>100</v>
      </c>
      <c r="M13" s="1" t="b">
        <f t="shared" si="2"/>
        <v>1</v>
      </c>
      <c r="N13" s="42">
        <f t="shared" si="3"/>
        <v>21</v>
      </c>
      <c r="O13" s="42">
        <f>(D70*L70)-E13</f>
        <v>17</v>
      </c>
      <c r="P13" s="42">
        <f t="shared" si="4"/>
        <v>127</v>
      </c>
      <c r="Q13" s="42">
        <f>(C70*L70)-C13</f>
        <v>3</v>
      </c>
      <c r="R13" s="42">
        <f t="shared" si="5"/>
        <v>168</v>
      </c>
      <c r="S13" s="30">
        <f t="shared" si="6"/>
        <v>738060288</v>
      </c>
      <c r="T13" s="30">
        <f t="shared" si="7"/>
        <v>14622400</v>
      </c>
      <c r="U13" s="31">
        <f t="shared" si="8"/>
        <v>50.474633986212936</v>
      </c>
    </row>
    <row r="14" spans="2:21" ht="30.75" customHeight="1">
      <c r="B14" s="32" t="str">
        <f>'Data Entry'!A14</f>
        <v xml:space="preserve">9. Cases Resulting in Confinement in Secure Juvenile Correctional Facilities </v>
      </c>
      <c r="C14" s="33">
        <f>'Data Entry'!C14</f>
        <v>2</v>
      </c>
      <c r="D14" s="34">
        <f>IF(((AND(C70&gt;0,C14&gt;0))), ((C14/(C70))),0)</f>
        <v>1.5384615384615383</v>
      </c>
      <c r="E14" s="33">
        <f>'Data Entry'!I14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0</v>
      </c>
      <c r="O14" s="42">
        <f>(D70*L70)-E14</f>
        <v>38</v>
      </c>
      <c r="P14" s="42">
        <f t="shared" si="4"/>
        <v>2</v>
      </c>
      <c r="Q14" s="42">
        <f>(C70*L70)-C14</f>
        <v>128</v>
      </c>
      <c r="R14" s="42">
        <f t="shared" si="5"/>
        <v>168</v>
      </c>
      <c r="S14" s="30">
        <f t="shared" si="6"/>
        <v>970368</v>
      </c>
      <c r="T14" s="30">
        <f t="shared" si="7"/>
        <v>1640080</v>
      </c>
      <c r="U14" s="31">
        <f t="shared" si="8"/>
        <v>0.59165894346617243</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73</v>
      </c>
      <c r="P15" s="42">
        <f t="shared" si="4"/>
        <v>0</v>
      </c>
      <c r="Q15" s="42">
        <f>(C69*L69)-C15</f>
        <v>268</v>
      </c>
      <c r="R15" s="42">
        <f t="shared" si="5"/>
        <v>341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25.603000000000002</v>
      </c>
      <c r="D42" s="56">
        <f>E6/1000</f>
        <v>0</v>
      </c>
      <c r="E42" s="56">
        <f>MAX(C42:D42)</f>
        <v>25.603000000000002</v>
      </c>
      <c r="G42" s="1" t="str">
        <f>B42</f>
        <v>per 1000 youth</v>
      </c>
      <c r="L42" s="57">
        <v>1000</v>
      </c>
      <c r="M42" s="57"/>
      <c r="R42" s="49"/>
    </row>
    <row r="43" spans="2:18" ht="15" hidden="1" customHeight="1">
      <c r="B43" s="49" t="s">
        <v>87</v>
      </c>
      <c r="C43" s="56">
        <f>C7/100</f>
        <v>4.0599999999999996</v>
      </c>
      <c r="D43" s="56">
        <f>E7/100</f>
        <v>0</v>
      </c>
      <c r="E43" s="56">
        <f>MAX(C43:D43,0)</f>
        <v>4.0599999999999996</v>
      </c>
      <c r="G43" s="1" t="str">
        <f>B43</f>
        <v>per 100 arrests</v>
      </c>
      <c r="L43" s="57">
        <v>100</v>
      </c>
      <c r="M43" s="57"/>
      <c r="R43" s="49"/>
    </row>
    <row r="44" spans="2:18" ht="15" hidden="1" customHeight="1">
      <c r="B44" s="49" t="s">
        <v>88</v>
      </c>
      <c r="C44" s="56">
        <f>C8/100</f>
        <v>3.84</v>
      </c>
      <c r="D44" s="56">
        <f>E8/100</f>
        <v>0.85</v>
      </c>
      <c r="E44" s="56">
        <f>MAX(C44:D44,0)</f>
        <v>3.84</v>
      </c>
      <c r="G44" s="1" t="str">
        <f>B44</f>
        <v>per 100 referrals</v>
      </c>
      <c r="L44" s="57">
        <v>100</v>
      </c>
      <c r="M44" s="57"/>
      <c r="R44" s="49"/>
    </row>
    <row r="45" spans="2:18" ht="15" hidden="1" customHeight="1">
      <c r="B45" s="49" t="s">
        <v>89</v>
      </c>
      <c r="C45" s="49">
        <f>C11/100</f>
        <v>2.68</v>
      </c>
      <c r="D45" s="49">
        <f>E11/100</f>
        <v>0.73</v>
      </c>
      <c r="E45" s="56">
        <f>MAX(C45:D45,0)</f>
        <v>2.68</v>
      </c>
      <c r="G45" s="1" t="str">
        <f>B45</f>
        <v>per 100 youth petitioned</v>
      </c>
      <c r="L45" s="57">
        <v>100</v>
      </c>
      <c r="M45" s="57"/>
      <c r="R45" s="49"/>
    </row>
    <row r="46" spans="2:18" ht="15" hidden="1" customHeight="1">
      <c r="B46" s="49" t="s">
        <v>90</v>
      </c>
      <c r="C46" s="49">
        <f>C12/100</f>
        <v>1.3</v>
      </c>
      <c r="D46" s="49">
        <f>E12/100</f>
        <v>0.38</v>
      </c>
      <c r="E46" s="56">
        <f>MAX(C46:D46)</f>
        <v>1.3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25.603000000000002</v>
      </c>
      <c r="D48" s="56">
        <f>D42</f>
        <v>0</v>
      </c>
      <c r="E48" s="56">
        <f>MAX(C48:D48)</f>
        <v>25.603000000000002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4.0599999999999996</v>
      </c>
      <c r="D49" s="49">
        <f t="shared" si="9"/>
        <v>0</v>
      </c>
      <c r="E49" s="49">
        <f>MAX(C49:D49)</f>
        <v>4.0599999999999996</v>
      </c>
      <c r="G49" s="1" t="str">
        <f>G43</f>
        <v>per 100 arrests</v>
      </c>
      <c r="L49" s="58">
        <f>IF(($E43&gt;0),L43,L42)</f>
        <v>100</v>
      </c>
      <c r="M49" s="58"/>
      <c r="N49" s="21"/>
      <c r="O49" s="21"/>
      <c r="P49" s="21"/>
      <c r="Q49" s="21"/>
      <c r="R49" s="21"/>
    </row>
    <row r="50" spans="2:18" ht="15" hidden="1" customHeight="1">
      <c r="B50" s="49" t="str">
        <f t="shared" si="9"/>
        <v>per 100 referrals</v>
      </c>
      <c r="C50" s="49">
        <f t="shared" si="9"/>
        <v>3.84</v>
      </c>
      <c r="D50" s="49">
        <f t="shared" si="9"/>
        <v>0.85</v>
      </c>
      <c r="E50" s="49">
        <f>MAX(C50:D50)</f>
        <v>3.84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2.68</v>
      </c>
      <c r="D51" s="49">
        <f>IF(($E45&gt;0),D45,D44)</f>
        <v>0.73</v>
      </c>
      <c r="E51" s="49">
        <f>MAX(C51:D51)</f>
        <v>2.68</v>
      </c>
      <c r="G51" s="1" t="str">
        <f>G45</f>
        <v>per 100 youth petitioned</v>
      </c>
      <c r="L51" s="58">
        <f>IF(($E45&gt;0),L45,L44)</f>
        <v>100</v>
      </c>
      <c r="M51" s="58"/>
    </row>
    <row r="52" spans="2:18" ht="15" hidden="1" customHeight="1">
      <c r="B52" s="49" t="str">
        <f>IF(($E46&gt;0),B46,B45)</f>
        <v>per 100 youth found delinquent</v>
      </c>
      <c r="C52" s="49">
        <f>IF(($E46&gt;0),C46,C45)</f>
        <v>1.3</v>
      </c>
      <c r="D52" s="49">
        <f>IF(($E46&gt;0),D46,D45)</f>
        <v>0.38</v>
      </c>
      <c r="E52" s="56">
        <f>MAX(C52:D52)</f>
        <v>1.3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25.603000000000002</v>
      </c>
      <c r="D54" s="56">
        <f>D48</f>
        <v>0</v>
      </c>
      <c r="E54" s="56">
        <f>MAX(C54:D54)</f>
        <v>25.603000000000002</v>
      </c>
      <c r="G54" s="1" t="str">
        <f>G48</f>
        <v>per 1000 youth</v>
      </c>
      <c r="L54" s="58">
        <f>L48</f>
        <v>1000</v>
      </c>
      <c r="M54" s="58"/>
    </row>
    <row r="55" spans="2:18" ht="15" hidden="1" customHeight="1">
      <c r="B55" s="49" t="str">
        <f t="shared" ref="B55:D56" si="10">IF(($E49&gt;0),B49,B48)</f>
        <v>per 100 arrests</v>
      </c>
      <c r="C55" s="49">
        <f t="shared" si="10"/>
        <v>4.0599999999999996</v>
      </c>
      <c r="D55" s="49">
        <f t="shared" si="10"/>
        <v>0</v>
      </c>
      <c r="E55" s="49">
        <f>MAX(C55:D55)</f>
        <v>4.0599999999999996</v>
      </c>
      <c r="G55" s="1" t="str">
        <f>G49</f>
        <v>per 100 arrests</v>
      </c>
      <c r="L55" s="58">
        <f>IF(($E49&gt;0),L49,L48)</f>
        <v>100</v>
      </c>
      <c r="M55" s="58"/>
    </row>
    <row r="56" spans="2:18" ht="15" hidden="1" customHeight="1">
      <c r="B56" s="49" t="str">
        <f t="shared" si="10"/>
        <v>per 100 referrals</v>
      </c>
      <c r="C56" s="49">
        <f t="shared" si="10"/>
        <v>3.84</v>
      </c>
      <c r="D56" s="49">
        <f t="shared" si="10"/>
        <v>0.85</v>
      </c>
      <c r="E56" s="49">
        <f>MAX(C56:D56)</f>
        <v>3.84</v>
      </c>
      <c r="G56" s="1" t="str">
        <f>G50</f>
        <v>per 100 referrals</v>
      </c>
      <c r="L56" s="58">
        <f>IF(($E50&gt;0),L50,L49)</f>
        <v>100</v>
      </c>
      <c r="M56" s="58"/>
    </row>
    <row r="57" spans="2:18" ht="15" hidden="1" customHeight="1">
      <c r="B57" s="49" t="str">
        <f>IF(($E51&gt;0),B51,B49)</f>
        <v>per 100 youth petitioned</v>
      </c>
      <c r="C57" s="49">
        <f>IF(($E51&gt;0),C51,C50)</f>
        <v>2.68</v>
      </c>
      <c r="D57" s="49">
        <f>IF(($E51&gt;0),D51,D50)</f>
        <v>0.73</v>
      </c>
      <c r="E57" s="49">
        <f>MAX(C57:D57)</f>
        <v>2.68</v>
      </c>
      <c r="G57" s="1" t="str">
        <f>G51</f>
        <v>per 100 youth petitioned</v>
      </c>
      <c r="L57" s="58">
        <f>IF(($E51&gt;0),L51,L50)</f>
        <v>100</v>
      </c>
      <c r="M57" s="58"/>
    </row>
    <row r="58" spans="2:18" ht="15" hidden="1" customHeight="1">
      <c r="B58" s="49" t="str">
        <f>IF(($E52&gt;0),B52,B51)</f>
        <v>per 100 youth found delinquent</v>
      </c>
      <c r="C58" s="49">
        <f>IF(($E52&gt;0),C52,C51)</f>
        <v>1.3</v>
      </c>
      <c r="D58" s="49">
        <f>IF(($E52&gt;0),D52,D51)</f>
        <v>0.38</v>
      </c>
      <c r="E58" s="56">
        <f>MAX(C58:D58)</f>
        <v>1.3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25.603000000000002</v>
      </c>
      <c r="D60" s="56">
        <f>D54</f>
        <v>0</v>
      </c>
      <c r="E60" s="56">
        <f>MAX(C60:D60)</f>
        <v>25.603000000000002</v>
      </c>
      <c r="G60" s="1" t="str">
        <f>G54</f>
        <v>per 1000 youth</v>
      </c>
      <c r="L60" s="58">
        <f>L54</f>
        <v>1000</v>
      </c>
      <c r="M60" s="58"/>
    </row>
    <row r="61" spans="2:18" ht="15" hidden="1" customHeight="1">
      <c r="B61" s="49" t="str">
        <f t="shared" ref="B61:D62" si="11">IF(($E55&gt;0),B55,B54)</f>
        <v>per 100 arrests</v>
      </c>
      <c r="C61" s="49">
        <f t="shared" si="11"/>
        <v>4.0599999999999996</v>
      </c>
      <c r="D61" s="49">
        <f t="shared" si="11"/>
        <v>0</v>
      </c>
      <c r="E61" s="49">
        <f>MAX(C61:D61)</f>
        <v>4.0599999999999996</v>
      </c>
      <c r="G61" s="1" t="str">
        <f>G55</f>
        <v>per 100 arrests</v>
      </c>
      <c r="L61" s="58">
        <f>IF(($E55&gt;0),L55,L54)</f>
        <v>100</v>
      </c>
      <c r="M61" s="58"/>
    </row>
    <row r="62" spans="2:18" ht="15" hidden="1" customHeight="1">
      <c r="B62" s="49" t="str">
        <f t="shared" si="11"/>
        <v>per 100 referrals</v>
      </c>
      <c r="C62" s="49">
        <f t="shared" si="11"/>
        <v>3.84</v>
      </c>
      <c r="D62" s="49">
        <f t="shared" si="11"/>
        <v>0.85</v>
      </c>
      <c r="E62" s="49">
        <f>MAX(C62:D62)</f>
        <v>3.84</v>
      </c>
      <c r="G62" s="1" t="str">
        <f>G56</f>
        <v>per 100 referrals</v>
      </c>
      <c r="L62" s="58">
        <f>IF(($E56&gt;0),L56,L55)</f>
        <v>100</v>
      </c>
      <c r="M62" s="58"/>
    </row>
    <row r="63" spans="2:18" ht="15" hidden="1" customHeight="1">
      <c r="B63" s="49" t="str">
        <f>IF(($E57&gt;0),B57,B55)</f>
        <v>per 100 youth petitioned</v>
      </c>
      <c r="C63" s="49">
        <f>IF(($E57&gt;0),C57,C56)</f>
        <v>2.68</v>
      </c>
      <c r="D63" s="49">
        <f>IF(($E57&gt;0),D57,D56)</f>
        <v>0.73</v>
      </c>
      <c r="E63" s="49">
        <f>MAX(C63:D63)</f>
        <v>2.68</v>
      </c>
      <c r="G63" s="1" t="str">
        <f>G57</f>
        <v>per 100 youth petitioned</v>
      </c>
      <c r="L63" s="58">
        <f>IF(($E57&gt;0),L57,L56)</f>
        <v>100</v>
      </c>
      <c r="M63" s="58"/>
    </row>
    <row r="64" spans="2:18" ht="15" hidden="1" customHeight="1">
      <c r="B64" s="49" t="str">
        <f>IF(($E58&gt;0),B58,B57)</f>
        <v>per 100 youth found delinquent</v>
      </c>
      <c r="C64" s="49">
        <f>IF(($E58&gt;0),C58,C57)</f>
        <v>1.3</v>
      </c>
      <c r="D64" s="49">
        <f>IF(($E58&gt;0),D58,D57)</f>
        <v>0.38</v>
      </c>
      <c r="E64" s="56">
        <f>MAX(C64:D64)</f>
        <v>1.3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25.603000000000002</v>
      </c>
      <c r="D66" s="56">
        <f>D60</f>
        <v>0</v>
      </c>
      <c r="E66" s="56">
        <f>MAX(C66:D66)</f>
        <v>25.603000000000002</v>
      </c>
      <c r="G66" s="1" t="str">
        <f>G60</f>
        <v>per 1000 youth</v>
      </c>
      <c r="L66" s="58">
        <f>L60</f>
        <v>1000</v>
      </c>
      <c r="M66" s="58">
        <f>IF((B66=G66),1,2)</f>
        <v>1</v>
      </c>
    </row>
    <row r="67" spans="2:13" ht="15" hidden="1" customHeight="1">
      <c r="B67" s="49" t="str">
        <f t="shared" ref="B67:D68" si="12">IF(($E61&gt;0),B61,B60)</f>
        <v>per 100 arrests</v>
      </c>
      <c r="C67" s="49">
        <f t="shared" si="12"/>
        <v>4.0599999999999996</v>
      </c>
      <c r="D67" s="49">
        <f t="shared" si="12"/>
        <v>0</v>
      </c>
      <c r="E67" s="49">
        <f>MAX(C67:D67)</f>
        <v>4.0599999999999996</v>
      </c>
      <c r="G67" s="1" t="str">
        <f>G61</f>
        <v>per 100 arrests</v>
      </c>
      <c r="L67" s="58">
        <f>IF(($E61&gt;0),L61,L60)</f>
        <v>100</v>
      </c>
      <c r="M67" s="58">
        <f>IF((B67=G67),1,2)</f>
        <v>1</v>
      </c>
    </row>
    <row r="68" spans="2:13" ht="15" hidden="1" customHeight="1">
      <c r="B68" s="49" t="str">
        <f t="shared" si="12"/>
        <v>per 100 referrals</v>
      </c>
      <c r="C68" s="49">
        <f t="shared" si="12"/>
        <v>3.84</v>
      </c>
      <c r="D68" s="49">
        <f t="shared" si="12"/>
        <v>0.85</v>
      </c>
      <c r="E68" s="49">
        <f>MAX(C68:D68)</f>
        <v>3.84</v>
      </c>
      <c r="G68" s="1" t="str">
        <f>G62</f>
        <v>per 100 referrals</v>
      </c>
      <c r="L68" s="58">
        <f>IF(($E62&gt;0),L62,L61)</f>
        <v>100</v>
      </c>
      <c r="M68" s="58">
        <f>IF((B68=G68),1,2)</f>
        <v>1</v>
      </c>
    </row>
    <row r="69" spans="2:13" ht="15" hidden="1" customHeight="1">
      <c r="B69" s="49" t="str">
        <f>IF(($E63&gt;0),B63,B61)</f>
        <v>per 100 youth petitioned</v>
      </c>
      <c r="C69" s="49">
        <f>IF(($E63&gt;0),C63,C62)</f>
        <v>2.68</v>
      </c>
      <c r="D69" s="49">
        <f>IF(($E63&gt;0),D63,D62)</f>
        <v>0.73</v>
      </c>
      <c r="E69" s="49">
        <f>MAX(C69:D69)</f>
        <v>2.68</v>
      </c>
      <c r="G69" s="1" t="str">
        <f>G63</f>
        <v>per 100 youth petitioned</v>
      </c>
      <c r="L69" s="58">
        <f>IF(($E63&gt;0),L63,L62)</f>
        <v>100</v>
      </c>
      <c r="M69" s="58">
        <f>IF((B69=G69),1,2)</f>
        <v>1</v>
      </c>
    </row>
    <row r="70" spans="2:13" ht="15" hidden="1" customHeight="1">
      <c r="B70" s="49" t="str">
        <f>IF(($E64&gt;0),B64,B63)</f>
        <v>per 100 youth found delinquent</v>
      </c>
      <c r="C70" s="49">
        <f>IF(($E64&gt;0),C64,C63)</f>
        <v>1.3</v>
      </c>
      <c r="D70" s="49">
        <f>IF(($E64&gt;0),D64,D63)</f>
        <v>0.38</v>
      </c>
      <c r="E70" s="56">
        <f>MAX(C70:D70)</f>
        <v>1.3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Ottawa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25603</v>
      </c>
      <c r="D6" s="34"/>
      <c r="E6" s="33">
        <f>'Data Entry'!J6</f>
        <v>7340</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406</v>
      </c>
      <c r="D7" s="34">
        <f>IF((AND(C66&gt;0,C7&gt;0)),(C7/C66),0)</f>
        <v>15.857516697262039</v>
      </c>
      <c r="E7" s="33">
        <f>'Data Entry'!J7</f>
        <v>233</v>
      </c>
      <c r="F7" s="34">
        <f>IF((AND($E$7&gt;0,$D$66&gt;0)),($E$7/$D$66),0)</f>
        <v>31.743869209809265</v>
      </c>
      <c r="G7" s="39">
        <f t="shared" ref="G7:G15" si="0">IF(L$6=100,"*",IF(M7=FALSE,"--",IF(K7=20,"**",($F7/$D7))))</f>
        <v>2.0018184319673562</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233</v>
      </c>
      <c r="O7" s="42">
        <f>E6-E7</f>
        <v>7107</v>
      </c>
      <c r="P7" s="42">
        <f t="shared" ref="P7:P15" si="4">C7</f>
        <v>406</v>
      </c>
      <c r="Q7" s="42">
        <f>C6-C7</f>
        <v>25197</v>
      </c>
      <c r="R7" s="42">
        <f t="shared" ref="R7:R15" si="5">SUM(N7:Q7)</f>
        <v>32943</v>
      </c>
      <c r="S7" s="30">
        <f t="shared" ref="S7:S15" si="6">R7*((((N7*Q7)-(O7*P7))^2))</f>
        <v>2.9361982051235418E+17</v>
      </c>
      <c r="T7" s="30">
        <f t="shared" ref="T7:T15" si="7">(N7+O7)*(P7+Q7)*(N7+P7)*(O7+Q7)</f>
        <v>3879217013901120</v>
      </c>
      <c r="U7" s="31">
        <f t="shared" ref="U7:U15" si="8">IF((S7&gt;0),S7/T7,"- -")</f>
        <v>75.690485853246074</v>
      </c>
    </row>
    <row r="8" spans="2:21" ht="18" customHeight="1">
      <c r="B8" s="32" t="str">
        <f>'Data Entry'!A8</f>
        <v>3. Refer to Juvenile Court</v>
      </c>
      <c r="C8" s="33">
        <f>'Data Entry'!C8</f>
        <v>384</v>
      </c>
      <c r="D8" s="34">
        <f>IF((AND(C67&gt;0,C8&gt;0)),(C8/C67),0)</f>
        <v>94.581280788177352</v>
      </c>
      <c r="E8" s="33">
        <f>'Data Entry'!J8</f>
        <v>396</v>
      </c>
      <c r="F8" s="34">
        <f>IF((AND($E$8&gt;0,$D$67&gt;0)),($E8/$D67),0)</f>
        <v>169.95708154506437</v>
      </c>
      <c r="G8" s="39">
        <f t="shared" si="0"/>
        <v>1.7969420600858366</v>
      </c>
      <c r="H8" s="40"/>
      <c r="I8" s="41"/>
      <c r="J8" s="40">
        <f>IF((ABS($U8)&gt;Defaults!D$7),1,2)</f>
        <v>1</v>
      </c>
      <c r="K8" s="39">
        <f>IF((AND(N8&gt;Defaults!B$12,(N8+O8)&gt;Defaults!B$13, P8 &gt; Defaults!B$12, (P8+Q8) &gt; Defaults!B$13)),1,20)</f>
        <v>1</v>
      </c>
      <c r="L8" s="1">
        <f t="shared" si="1"/>
        <v>1</v>
      </c>
      <c r="M8" s="1" t="b">
        <f t="shared" si="2"/>
        <v>1</v>
      </c>
      <c r="N8" s="42">
        <f t="shared" si="3"/>
        <v>396</v>
      </c>
      <c r="O8" s="42">
        <f>((D67*L67)-E8)+0.05</f>
        <v>-162.94999999999999</v>
      </c>
      <c r="P8" s="42">
        <f t="shared" si="4"/>
        <v>384</v>
      </c>
      <c r="Q8" s="42">
        <f>(C$67*L67)-C8</f>
        <v>21.999999999999943</v>
      </c>
      <c r="R8" s="42">
        <f t="shared" si="5"/>
        <v>639.04999999999995</v>
      </c>
      <c r="S8" s="30">
        <f t="shared" si="6"/>
        <v>3247347088490.1094</v>
      </c>
      <c r="T8" s="30">
        <f t="shared" si="7"/>
        <v>-10402430520.300001</v>
      </c>
      <c r="U8" s="31">
        <f t="shared" si="8"/>
        <v>-312.17195655890401</v>
      </c>
    </row>
    <row r="9" spans="2:21" ht="18" customHeight="1">
      <c r="B9" s="32" t="str">
        <f>'Data Entry'!A9</f>
        <v xml:space="preserve">4. Cases Diverted </v>
      </c>
      <c r="C9" s="33">
        <f>'Data Entry'!C9</f>
        <v>116</v>
      </c>
      <c r="D9" s="34">
        <f>IF((AND(C68&gt;0,C9&gt;0)),((C9/C68)),0)</f>
        <v>30.208333333333336</v>
      </c>
      <c r="E9" s="33">
        <f>'Data Entry'!J9</f>
        <v>84</v>
      </c>
      <c r="F9" s="34">
        <f>IF((AND($E$9&gt;0,$D$68&gt;0)),(($E$9/$D$68)),0)</f>
        <v>21.212121212121211</v>
      </c>
      <c r="G9" s="39">
        <f t="shared" si="0"/>
        <v>0.70219435736677105</v>
      </c>
      <c r="H9" s="40"/>
      <c r="I9" s="41"/>
      <c r="J9" s="40">
        <f>IF((ABS($U9)&gt;Defaults!D$7),1,2)</f>
        <v>1</v>
      </c>
      <c r="K9" s="39">
        <f>IF((AND(N9&gt;Defaults!B$12,(N9+O9)&gt;Defaults!B$13, P9 &gt; Defaults!B$12, (P9+Q9) &gt; Defaults!B$13)),1,20)</f>
        <v>1</v>
      </c>
      <c r="L9" s="1">
        <f t="shared" si="1"/>
        <v>1</v>
      </c>
      <c r="M9" s="1" t="b">
        <f t="shared" si="2"/>
        <v>1</v>
      </c>
      <c r="N9" s="42">
        <f t="shared" si="3"/>
        <v>84</v>
      </c>
      <c r="O9" s="42">
        <f>(D$68*L68)-E9</f>
        <v>312</v>
      </c>
      <c r="P9" s="42">
        <f t="shared" si="4"/>
        <v>116</v>
      </c>
      <c r="Q9" s="42">
        <f>(C$68*L68)-C9</f>
        <v>268</v>
      </c>
      <c r="R9" s="42">
        <f t="shared" si="5"/>
        <v>780</v>
      </c>
      <c r="S9" s="30">
        <f t="shared" si="6"/>
        <v>145971072000</v>
      </c>
      <c r="T9" s="30">
        <f t="shared" si="7"/>
        <v>17639424000</v>
      </c>
      <c r="U9" s="31">
        <f t="shared" si="8"/>
        <v>8.2752742946708455</v>
      </c>
    </row>
    <row r="10" spans="2:21" ht="18" customHeight="1">
      <c r="B10" s="32" t="str">
        <f>'Data Entry'!A10</f>
        <v>5. Cases Involving Secure Detention</v>
      </c>
      <c r="C10" s="33">
        <f>'Data Entry'!C10</f>
        <v>64</v>
      </c>
      <c r="D10" s="34">
        <f>IF(((AND(C68&gt;0,C10&gt;0))),(C10/(C68)),0)</f>
        <v>16.666666666666668</v>
      </c>
      <c r="E10" s="33">
        <f>'Data Entry'!J10</f>
        <v>108</v>
      </c>
      <c r="F10" s="34">
        <f>IF(((AND($E$10&gt;0,$D$68&gt;0))),($E$10/($D$68)),0)</f>
        <v>27.272727272727273</v>
      </c>
      <c r="G10" s="39">
        <f t="shared" si="0"/>
        <v>1.6363636363636362</v>
      </c>
      <c r="H10" s="40"/>
      <c r="I10" s="41"/>
      <c r="J10" s="40">
        <f>IF((ABS($U10)&gt;Defaults!D$7),1,2)</f>
        <v>1</v>
      </c>
      <c r="K10" s="39">
        <f>IF((AND(N10&gt;Defaults!B$12,(N10+O10)&gt;Defaults!B$13, P10 &gt; Defaults!B$12, (P10+Q10) &gt; Defaults!B$13)),1,20)</f>
        <v>1</v>
      </c>
      <c r="L10" s="1">
        <f t="shared" si="1"/>
        <v>1</v>
      </c>
      <c r="M10" s="1" t="b">
        <f t="shared" si="2"/>
        <v>1</v>
      </c>
      <c r="N10" s="42">
        <f t="shared" si="3"/>
        <v>108</v>
      </c>
      <c r="O10" s="42">
        <f>(D$68*L68)-E10</f>
        <v>288</v>
      </c>
      <c r="P10" s="42">
        <f t="shared" si="4"/>
        <v>64</v>
      </c>
      <c r="Q10" s="42">
        <f>(C$68*L68)-C10</f>
        <v>320</v>
      </c>
      <c r="R10" s="42">
        <f t="shared" si="5"/>
        <v>780</v>
      </c>
      <c r="S10" s="30">
        <f t="shared" si="6"/>
        <v>202887659520</v>
      </c>
      <c r="T10" s="30">
        <f t="shared" si="7"/>
        <v>15902244864</v>
      </c>
      <c r="U10" s="31">
        <f t="shared" si="8"/>
        <v>12.758428841660177</v>
      </c>
    </row>
    <row r="11" spans="2:21" ht="18" customHeight="1">
      <c r="B11" s="32" t="str">
        <f>'Data Entry'!A11</f>
        <v>6. Cases Petitioned (Charge Filed)</v>
      </c>
      <c r="C11" s="33">
        <f>'Data Entry'!C11</f>
        <v>268</v>
      </c>
      <c r="D11" s="34">
        <f>IF(((AND(C68&gt;0,C11&gt;0))),(C11/(C68)),0)</f>
        <v>69.791666666666671</v>
      </c>
      <c r="E11" s="33">
        <f>'Data Entry'!J11</f>
        <v>312</v>
      </c>
      <c r="F11" s="34">
        <f>IF(((AND($E$11&gt;0,$D$68&gt;0))),($E$11/($D$68)),0)</f>
        <v>78.787878787878782</v>
      </c>
      <c r="G11" s="39">
        <f t="shared" si="0"/>
        <v>1.1289009497964719</v>
      </c>
      <c r="H11" s="40"/>
      <c r="I11" s="41"/>
      <c r="J11" s="40">
        <f>IF((ABS($U11)&gt;Defaults!D$7),1,2)</f>
        <v>1</v>
      </c>
      <c r="K11" s="39">
        <f>IF((AND(N11&gt;Defaults!B$12,(N11+O11)&gt;Defaults!B$13, P11 &gt; Defaults!B$12, (P11+Q11) &gt; Defaults!B$13)),1,20)</f>
        <v>1</v>
      </c>
      <c r="L11" s="1">
        <f t="shared" si="1"/>
        <v>1</v>
      </c>
      <c r="M11" s="1" t="b">
        <f t="shared" si="2"/>
        <v>1</v>
      </c>
      <c r="N11" s="42">
        <f t="shared" si="3"/>
        <v>312</v>
      </c>
      <c r="O11" s="42">
        <f>(D$68*L68)-E11</f>
        <v>84</v>
      </c>
      <c r="P11" s="42">
        <f t="shared" si="4"/>
        <v>268</v>
      </c>
      <c r="Q11" s="42">
        <f>(C$68*L68)-C11</f>
        <v>116</v>
      </c>
      <c r="R11" s="42">
        <f t="shared" si="5"/>
        <v>780</v>
      </c>
      <c r="S11" s="30">
        <f t="shared" si="6"/>
        <v>145971072000</v>
      </c>
      <c r="T11" s="30">
        <f t="shared" si="7"/>
        <v>17639424000</v>
      </c>
      <c r="U11" s="31">
        <f t="shared" si="8"/>
        <v>8.2752742946708455</v>
      </c>
    </row>
    <row r="12" spans="2:21" ht="18" customHeight="1">
      <c r="B12" s="32" t="str">
        <f>'Data Entry'!A12</f>
        <v>7. Cases Resulting in Delinquent Findings</v>
      </c>
      <c r="C12" s="33">
        <f>'Data Entry'!C12</f>
        <v>130</v>
      </c>
      <c r="D12" s="34">
        <f>IF(((AND(C69&gt;0,C12&gt;0))),(C12/(C69)),0)</f>
        <v>48.507462686567159</v>
      </c>
      <c r="E12" s="33">
        <f>'Data Entry'!J12</f>
        <v>169</v>
      </c>
      <c r="F12" s="34">
        <f>IF(((AND($D$69&gt;0,$E$12&gt;0))),(E12/(D69)),0)</f>
        <v>54.166666666666664</v>
      </c>
      <c r="G12" s="39">
        <f t="shared" si="0"/>
        <v>1.1166666666666667</v>
      </c>
      <c r="H12" s="40"/>
      <c r="I12" s="41"/>
      <c r="J12" s="40">
        <f>IF((ABS($U12)&gt;Defaults!D$7),1,2)</f>
        <v>2</v>
      </c>
      <c r="K12" s="39">
        <f>IF((AND(N12&gt;Defaults!B$12,(N12+O12)&gt;Defaults!B$13, P12 &gt; Defaults!B$12, (P12+Q12) &gt; Defaults!B$13)),1,20)</f>
        <v>1</v>
      </c>
      <c r="L12" s="1">
        <f t="shared" si="1"/>
        <v>2</v>
      </c>
      <c r="M12" s="1" t="b">
        <f t="shared" si="2"/>
        <v>1</v>
      </c>
      <c r="N12" s="42">
        <f t="shared" si="3"/>
        <v>169</v>
      </c>
      <c r="O12" s="42">
        <f>(D69*L69)-E12</f>
        <v>143</v>
      </c>
      <c r="P12" s="42">
        <f t="shared" si="4"/>
        <v>130</v>
      </c>
      <c r="Q12" s="42">
        <f>(C69*L69)-C12</f>
        <v>138</v>
      </c>
      <c r="R12" s="42">
        <f t="shared" si="5"/>
        <v>580</v>
      </c>
      <c r="S12" s="30">
        <f t="shared" si="6"/>
        <v>12987257920</v>
      </c>
      <c r="T12" s="30">
        <f t="shared" si="7"/>
        <v>7025332704</v>
      </c>
      <c r="U12" s="31">
        <f t="shared" si="8"/>
        <v>1.8486324373798653</v>
      </c>
    </row>
    <row r="13" spans="2:21" ht="18" customHeight="1">
      <c r="B13" s="32" t="str">
        <f>'Data Entry'!A13</f>
        <v>8. Cases Resulting in Probation Placement</v>
      </c>
      <c r="C13" s="33">
        <f>'Data Entry'!C13</f>
        <v>127</v>
      </c>
      <c r="D13" s="34">
        <f>IF(((AND(C70&gt;0,C13&gt;0))),(C13/(C70)),0)</f>
        <v>97.692307692307693</v>
      </c>
      <c r="E13" s="33">
        <f>'Data Entry'!J13</f>
        <v>119</v>
      </c>
      <c r="F13" s="34">
        <f>IF(((AND($D$70&gt;0,$E$13&gt;0))),($E$13/($D$70)),0)</f>
        <v>70.414201183431956</v>
      </c>
      <c r="G13" s="39">
        <f t="shared" si="0"/>
        <v>0.72077528770442156</v>
      </c>
      <c r="H13" s="40"/>
      <c r="I13" s="41"/>
      <c r="J13" s="40">
        <f>IF((ABS($U13)&gt;Defaults!D$7),1,2)</f>
        <v>1</v>
      </c>
      <c r="K13" s="39">
        <f>IF((AND(N13&gt;Defaults!B$12,(N13+O13)&gt;Defaults!B$13, P13 &gt; Defaults!B$12, (P13+Q13) &gt; Defaults!B$13)),1,20)</f>
        <v>1</v>
      </c>
      <c r="L13" s="1">
        <f t="shared" si="1"/>
        <v>1</v>
      </c>
      <c r="M13" s="1" t="b">
        <f t="shared" si="2"/>
        <v>1</v>
      </c>
      <c r="N13" s="42">
        <f t="shared" si="3"/>
        <v>119</v>
      </c>
      <c r="O13" s="42">
        <f>(D70*L70)-E13</f>
        <v>50</v>
      </c>
      <c r="P13" s="42">
        <f t="shared" si="4"/>
        <v>127</v>
      </c>
      <c r="Q13" s="42">
        <f>(C70*L70)-C13</f>
        <v>3</v>
      </c>
      <c r="R13" s="42">
        <f t="shared" si="5"/>
        <v>299</v>
      </c>
      <c r="S13" s="30">
        <f t="shared" si="6"/>
        <v>10738898651</v>
      </c>
      <c r="T13" s="30">
        <f t="shared" si="7"/>
        <v>286444860</v>
      </c>
      <c r="U13" s="31">
        <f t="shared" si="8"/>
        <v>37.490282251879123</v>
      </c>
    </row>
    <row r="14" spans="2:21" ht="30.75" customHeight="1">
      <c r="B14" s="32" t="str">
        <f>'Data Entry'!A14</f>
        <v xml:space="preserve">9. Cases Resulting in Confinement in Secure Juvenile Correctional Facilities </v>
      </c>
      <c r="C14" s="33">
        <f>'Data Entry'!C14</f>
        <v>2</v>
      </c>
      <c r="D14" s="34">
        <f>IF(((AND(C70&gt;0,C14&gt;0))), ((C14/(C70))),0)</f>
        <v>1.5384615384615383</v>
      </c>
      <c r="E14" s="33">
        <f>'Data Entry'!J14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169</v>
      </c>
      <c r="P14" s="42">
        <f t="shared" si="4"/>
        <v>2</v>
      </c>
      <c r="Q14" s="42">
        <f>(C70*L70)-C14</f>
        <v>128</v>
      </c>
      <c r="R14" s="42">
        <f t="shared" si="5"/>
        <v>299</v>
      </c>
      <c r="S14" s="30">
        <f t="shared" si="6"/>
        <v>34158956</v>
      </c>
      <c r="T14" s="30">
        <f t="shared" si="7"/>
        <v>13050180</v>
      </c>
      <c r="U14" s="31">
        <f t="shared" si="8"/>
        <v>2.6175084175084176</v>
      </c>
    </row>
    <row r="15" spans="2:21" ht="15.75" customHeight="1">
      <c r="B15" s="32" t="str">
        <f>'Data Entry'!A15</f>
        <v xml:space="preserve">10. Cases Transferred to Adult Court </v>
      </c>
      <c r="C15" s="33">
        <f>'Data Entry'!C15</f>
        <v>0</v>
      </c>
      <c r="D15" s="34">
        <f>IF(((AND(C69&gt;0,C15&gt;0))),((C15/(C69))),0)</f>
        <v>0</v>
      </c>
      <c r="E15" s="33">
        <f>'Data Entry'!J15</f>
        <v>1</v>
      </c>
      <c r="F15" s="34">
        <f>IF(((AND($D$69&gt;0,$E$15&gt;0))),(($E$15/($D$69))),0)</f>
        <v>0.32051282051282048</v>
      </c>
      <c r="G15" s="39" t="str">
        <f t="shared" si="0"/>
        <v>**</v>
      </c>
      <c r="H15" s="40"/>
      <c r="I15" s="41"/>
      <c r="J15" s="40">
        <f>IF((ABS($U15)&gt;Defaults!D$7),1,2)</f>
        <v>2</v>
      </c>
      <c r="K15" s="39">
        <f>IF((AND(N15&gt;Defaults!B$12,(N15+O15)&gt;Defaults!B$13, P15 &gt; Defaults!B$12, (P15+Q15) &gt; Defaults!B$13)),1,20)</f>
        <v>20</v>
      </c>
      <c r="L15" s="1">
        <f t="shared" si="1"/>
        <v>40</v>
      </c>
      <c r="M15" s="1" t="b">
        <f t="shared" si="2"/>
        <v>1</v>
      </c>
      <c r="N15" s="42">
        <f t="shared" si="3"/>
        <v>1</v>
      </c>
      <c r="O15" s="42">
        <f>(D69*L69)-E15</f>
        <v>311</v>
      </c>
      <c r="P15" s="42">
        <f t="shared" si="4"/>
        <v>0</v>
      </c>
      <c r="Q15" s="42">
        <f>(C69*L69)-C15</f>
        <v>268</v>
      </c>
      <c r="R15" s="42">
        <f t="shared" si="5"/>
        <v>580</v>
      </c>
      <c r="S15" s="30">
        <f t="shared" si="6"/>
        <v>41657920</v>
      </c>
      <c r="T15" s="30">
        <f t="shared" si="7"/>
        <v>48413664</v>
      </c>
      <c r="U15" s="31">
        <f t="shared" si="8"/>
        <v>0.86045790709003145</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25.603000000000002</v>
      </c>
      <c r="D42" s="56">
        <f>E6/1000</f>
        <v>7.34</v>
      </c>
      <c r="E42" s="56">
        <f>MAX(C42:D42)</f>
        <v>25.603000000000002</v>
      </c>
      <c r="G42" s="1" t="str">
        <f>B42</f>
        <v>per 1000 youth</v>
      </c>
      <c r="L42" s="57">
        <v>1000</v>
      </c>
      <c r="M42" s="57"/>
      <c r="R42" s="49"/>
    </row>
    <row r="43" spans="2:18" ht="15" hidden="1" customHeight="1">
      <c r="B43" s="49" t="s">
        <v>87</v>
      </c>
      <c r="C43" s="56">
        <f>C7/100</f>
        <v>4.0599999999999996</v>
      </c>
      <c r="D43" s="56">
        <f>E7/100</f>
        <v>2.33</v>
      </c>
      <c r="E43" s="56">
        <f>MAX(C43:D43,0)</f>
        <v>4.0599999999999996</v>
      </c>
      <c r="G43" s="1" t="str">
        <f>B43</f>
        <v>per 100 arrests</v>
      </c>
      <c r="L43" s="57">
        <v>100</v>
      </c>
      <c r="M43" s="57"/>
      <c r="R43" s="49"/>
    </row>
    <row r="44" spans="2:18" ht="15" hidden="1" customHeight="1">
      <c r="B44" s="49" t="s">
        <v>88</v>
      </c>
      <c r="C44" s="56">
        <f>C8/100</f>
        <v>3.84</v>
      </c>
      <c r="D44" s="56">
        <f>E8/100</f>
        <v>3.96</v>
      </c>
      <c r="E44" s="56">
        <f>MAX(C44:D44,0)</f>
        <v>3.96</v>
      </c>
      <c r="G44" s="1" t="str">
        <f>B44</f>
        <v>per 100 referrals</v>
      </c>
      <c r="L44" s="57">
        <v>100</v>
      </c>
      <c r="M44" s="57"/>
      <c r="R44" s="49"/>
    </row>
    <row r="45" spans="2:18" ht="15" hidden="1" customHeight="1">
      <c r="B45" s="49" t="s">
        <v>89</v>
      </c>
      <c r="C45" s="49">
        <f>C11/100</f>
        <v>2.68</v>
      </c>
      <c r="D45" s="49">
        <f>E11/100</f>
        <v>3.12</v>
      </c>
      <c r="E45" s="56">
        <f>MAX(C45:D45,0)</f>
        <v>3.12</v>
      </c>
      <c r="G45" s="1" t="str">
        <f>B45</f>
        <v>per 100 youth petitioned</v>
      </c>
      <c r="L45" s="57">
        <v>100</v>
      </c>
      <c r="M45" s="57"/>
      <c r="R45" s="49"/>
    </row>
    <row r="46" spans="2:18" ht="15" hidden="1" customHeight="1">
      <c r="B46" s="49" t="s">
        <v>90</v>
      </c>
      <c r="C46" s="49">
        <f>C12/100</f>
        <v>1.3</v>
      </c>
      <c r="D46" s="49">
        <f>E12/100</f>
        <v>1.69</v>
      </c>
      <c r="E46" s="56">
        <f>MAX(C46:D46)</f>
        <v>1.69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25.603000000000002</v>
      </c>
      <c r="D48" s="56">
        <f>D42</f>
        <v>7.34</v>
      </c>
      <c r="E48" s="56">
        <f>MAX(C48:D48)</f>
        <v>25.603000000000002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4.0599999999999996</v>
      </c>
      <c r="D49" s="49">
        <f t="shared" si="9"/>
        <v>2.33</v>
      </c>
      <c r="E49" s="49">
        <f>MAX(C49:D49)</f>
        <v>4.0599999999999996</v>
      </c>
      <c r="G49" s="1" t="str">
        <f>G43</f>
        <v>per 100 arrests</v>
      </c>
      <c r="L49" s="58">
        <f>IF(($E43&gt;0),L43,L42)</f>
        <v>100</v>
      </c>
      <c r="M49" s="58"/>
      <c r="N49" s="21"/>
      <c r="O49" s="21"/>
      <c r="P49" s="21"/>
      <c r="Q49" s="21"/>
      <c r="R49" s="21"/>
    </row>
    <row r="50" spans="2:18" ht="15" hidden="1" customHeight="1">
      <c r="B50" s="49" t="str">
        <f t="shared" si="9"/>
        <v>per 100 referrals</v>
      </c>
      <c r="C50" s="49">
        <f t="shared" si="9"/>
        <v>3.84</v>
      </c>
      <c r="D50" s="49">
        <f t="shared" si="9"/>
        <v>3.96</v>
      </c>
      <c r="E50" s="49">
        <f>MAX(C50:D50)</f>
        <v>3.96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2.68</v>
      </c>
      <c r="D51" s="49">
        <f>IF(($E45&gt;0),D45,D44)</f>
        <v>3.12</v>
      </c>
      <c r="E51" s="49">
        <f>MAX(C51:D51)</f>
        <v>3.12</v>
      </c>
      <c r="G51" s="1" t="str">
        <f>G45</f>
        <v>per 100 youth petitioned</v>
      </c>
      <c r="L51" s="58">
        <f>IF(($E45&gt;0),L45,L44)</f>
        <v>100</v>
      </c>
      <c r="M51" s="58"/>
    </row>
    <row r="52" spans="2:18" ht="15" hidden="1" customHeight="1">
      <c r="B52" s="49" t="str">
        <f>IF(($E46&gt;0),B46,B45)</f>
        <v>per 100 youth found delinquent</v>
      </c>
      <c r="C52" s="49">
        <f>IF(($E46&gt;0),C46,C45)</f>
        <v>1.3</v>
      </c>
      <c r="D52" s="49">
        <f>IF(($E46&gt;0),D46,D45)</f>
        <v>1.69</v>
      </c>
      <c r="E52" s="56">
        <f>MAX(C52:D52)</f>
        <v>1.69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25.603000000000002</v>
      </c>
      <c r="D54" s="56">
        <f>D48</f>
        <v>7.34</v>
      </c>
      <c r="E54" s="56">
        <f>MAX(C54:D54)</f>
        <v>25.603000000000002</v>
      </c>
      <c r="G54" s="1" t="str">
        <f>G48</f>
        <v>per 1000 youth</v>
      </c>
      <c r="L54" s="58">
        <f>L48</f>
        <v>1000</v>
      </c>
      <c r="M54" s="58"/>
    </row>
    <row r="55" spans="2:18" ht="15" hidden="1" customHeight="1">
      <c r="B55" s="49" t="str">
        <f t="shared" ref="B55:D56" si="10">IF(($E49&gt;0),B49,B48)</f>
        <v>per 100 arrests</v>
      </c>
      <c r="C55" s="49">
        <f t="shared" si="10"/>
        <v>4.0599999999999996</v>
      </c>
      <c r="D55" s="49">
        <f t="shared" si="10"/>
        <v>2.33</v>
      </c>
      <c r="E55" s="49">
        <f>MAX(C55:D55)</f>
        <v>4.0599999999999996</v>
      </c>
      <c r="G55" s="1" t="str">
        <f>G49</f>
        <v>per 100 arrests</v>
      </c>
      <c r="L55" s="58">
        <f>IF(($E49&gt;0),L49,L48)</f>
        <v>100</v>
      </c>
      <c r="M55" s="58"/>
    </row>
    <row r="56" spans="2:18" ht="15" hidden="1" customHeight="1">
      <c r="B56" s="49" t="str">
        <f t="shared" si="10"/>
        <v>per 100 referrals</v>
      </c>
      <c r="C56" s="49">
        <f t="shared" si="10"/>
        <v>3.84</v>
      </c>
      <c r="D56" s="49">
        <f t="shared" si="10"/>
        <v>3.96</v>
      </c>
      <c r="E56" s="49">
        <f>MAX(C56:D56)</f>
        <v>3.96</v>
      </c>
      <c r="G56" s="1" t="str">
        <f>G50</f>
        <v>per 100 referrals</v>
      </c>
      <c r="L56" s="58">
        <f>IF(($E50&gt;0),L50,L49)</f>
        <v>100</v>
      </c>
      <c r="M56" s="58"/>
    </row>
    <row r="57" spans="2:18" ht="15" hidden="1" customHeight="1">
      <c r="B57" s="49" t="str">
        <f>IF(($E51&gt;0),B51,B49)</f>
        <v>per 100 youth petitioned</v>
      </c>
      <c r="C57" s="49">
        <f>IF(($E51&gt;0),C51,C50)</f>
        <v>2.68</v>
      </c>
      <c r="D57" s="49">
        <f>IF(($E51&gt;0),D51,D50)</f>
        <v>3.12</v>
      </c>
      <c r="E57" s="49">
        <f>MAX(C57:D57)</f>
        <v>3.12</v>
      </c>
      <c r="G57" s="1" t="str">
        <f>G51</f>
        <v>per 100 youth petitioned</v>
      </c>
      <c r="L57" s="58">
        <f>IF(($E51&gt;0),L51,L50)</f>
        <v>100</v>
      </c>
      <c r="M57" s="58"/>
    </row>
    <row r="58" spans="2:18" ht="15" hidden="1" customHeight="1">
      <c r="B58" s="49" t="str">
        <f>IF(($E52&gt;0),B52,B51)</f>
        <v>per 100 youth found delinquent</v>
      </c>
      <c r="C58" s="49">
        <f>IF(($E52&gt;0),C52,C51)</f>
        <v>1.3</v>
      </c>
      <c r="D58" s="49">
        <f>IF(($E52&gt;0),D52,D51)</f>
        <v>1.69</v>
      </c>
      <c r="E58" s="56">
        <f>MAX(C58:D58)</f>
        <v>1.69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25.603000000000002</v>
      </c>
      <c r="D60" s="56">
        <f>D54</f>
        <v>7.34</v>
      </c>
      <c r="E60" s="56">
        <f>MAX(C60:D60)</f>
        <v>25.603000000000002</v>
      </c>
      <c r="G60" s="1" t="str">
        <f>G54</f>
        <v>per 1000 youth</v>
      </c>
      <c r="L60" s="58">
        <f>L54</f>
        <v>1000</v>
      </c>
      <c r="M60" s="58"/>
    </row>
    <row r="61" spans="2:18" ht="15" hidden="1" customHeight="1">
      <c r="B61" s="49" t="str">
        <f t="shared" ref="B61:D62" si="11">IF(($E55&gt;0),B55,B54)</f>
        <v>per 100 arrests</v>
      </c>
      <c r="C61" s="49">
        <f t="shared" si="11"/>
        <v>4.0599999999999996</v>
      </c>
      <c r="D61" s="49">
        <f t="shared" si="11"/>
        <v>2.33</v>
      </c>
      <c r="E61" s="49">
        <f>MAX(C61:D61)</f>
        <v>4.0599999999999996</v>
      </c>
      <c r="G61" s="1" t="str">
        <f>G55</f>
        <v>per 100 arrests</v>
      </c>
      <c r="L61" s="58">
        <f>IF(($E55&gt;0),L55,L54)</f>
        <v>100</v>
      </c>
      <c r="M61" s="58"/>
    </row>
    <row r="62" spans="2:18" ht="15" hidden="1" customHeight="1">
      <c r="B62" s="49" t="str">
        <f t="shared" si="11"/>
        <v>per 100 referrals</v>
      </c>
      <c r="C62" s="49">
        <f t="shared" si="11"/>
        <v>3.84</v>
      </c>
      <c r="D62" s="49">
        <f t="shared" si="11"/>
        <v>3.96</v>
      </c>
      <c r="E62" s="49">
        <f>MAX(C62:D62)</f>
        <v>3.96</v>
      </c>
      <c r="G62" s="1" t="str">
        <f>G56</f>
        <v>per 100 referrals</v>
      </c>
      <c r="L62" s="58">
        <f>IF(($E56&gt;0),L56,L55)</f>
        <v>100</v>
      </c>
      <c r="M62" s="58"/>
    </row>
    <row r="63" spans="2:18" ht="15" hidden="1" customHeight="1">
      <c r="B63" s="49" t="str">
        <f>IF(($E57&gt;0),B57,B55)</f>
        <v>per 100 youth petitioned</v>
      </c>
      <c r="C63" s="49">
        <f>IF(($E57&gt;0),C57,C56)</f>
        <v>2.68</v>
      </c>
      <c r="D63" s="49">
        <f>IF(($E57&gt;0),D57,D56)</f>
        <v>3.12</v>
      </c>
      <c r="E63" s="49">
        <f>MAX(C63:D63)</f>
        <v>3.12</v>
      </c>
      <c r="G63" s="1" t="str">
        <f>G57</f>
        <v>per 100 youth petitioned</v>
      </c>
      <c r="L63" s="58">
        <f>IF(($E57&gt;0),L57,L56)</f>
        <v>100</v>
      </c>
      <c r="M63" s="58"/>
    </row>
    <row r="64" spans="2:18" ht="15" hidden="1" customHeight="1">
      <c r="B64" s="49" t="str">
        <f>IF(($E58&gt;0),B58,B57)</f>
        <v>per 100 youth found delinquent</v>
      </c>
      <c r="C64" s="49">
        <f>IF(($E58&gt;0),C58,C57)</f>
        <v>1.3</v>
      </c>
      <c r="D64" s="49">
        <f>IF(($E58&gt;0),D58,D57)</f>
        <v>1.69</v>
      </c>
      <c r="E64" s="56">
        <f>MAX(C64:D64)</f>
        <v>1.69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25.603000000000002</v>
      </c>
      <c r="D66" s="56">
        <f>D60</f>
        <v>7.34</v>
      </c>
      <c r="E66" s="56">
        <f>MAX(C66:D66)</f>
        <v>25.603000000000002</v>
      </c>
      <c r="G66" s="1" t="str">
        <f>G60</f>
        <v>per 1000 youth</v>
      </c>
      <c r="L66" s="58">
        <f>L60</f>
        <v>1000</v>
      </c>
      <c r="M66" s="58">
        <f>IF((B66=G66),1,2)</f>
        <v>1</v>
      </c>
    </row>
    <row r="67" spans="2:13" ht="15" hidden="1" customHeight="1">
      <c r="B67" s="49" t="str">
        <f t="shared" ref="B67:D68" si="12">IF(($E61&gt;0),B61,B60)</f>
        <v>per 100 arrests</v>
      </c>
      <c r="C67" s="49">
        <f t="shared" si="12"/>
        <v>4.0599999999999996</v>
      </c>
      <c r="D67" s="49">
        <f t="shared" si="12"/>
        <v>2.33</v>
      </c>
      <c r="E67" s="49">
        <f>MAX(C67:D67)</f>
        <v>4.0599999999999996</v>
      </c>
      <c r="G67" s="1" t="str">
        <f>G61</f>
        <v>per 100 arrests</v>
      </c>
      <c r="L67" s="58">
        <f>IF(($E61&gt;0),L61,L60)</f>
        <v>100</v>
      </c>
      <c r="M67" s="58">
        <f>IF((B67=G67),1,2)</f>
        <v>1</v>
      </c>
    </row>
    <row r="68" spans="2:13" ht="15" hidden="1" customHeight="1">
      <c r="B68" s="49" t="str">
        <f t="shared" si="12"/>
        <v>per 100 referrals</v>
      </c>
      <c r="C68" s="49">
        <f t="shared" si="12"/>
        <v>3.84</v>
      </c>
      <c r="D68" s="49">
        <f t="shared" si="12"/>
        <v>3.96</v>
      </c>
      <c r="E68" s="49">
        <f>MAX(C68:D68)</f>
        <v>3.96</v>
      </c>
      <c r="G68" s="1" t="str">
        <f>G62</f>
        <v>per 100 referrals</v>
      </c>
      <c r="L68" s="58">
        <f>IF(($E62&gt;0),L62,L61)</f>
        <v>100</v>
      </c>
      <c r="M68" s="58">
        <f>IF((B68=G68),1,2)</f>
        <v>1</v>
      </c>
    </row>
    <row r="69" spans="2:13" ht="15" hidden="1" customHeight="1">
      <c r="B69" s="49" t="str">
        <f>IF(($E63&gt;0),B63,B61)</f>
        <v>per 100 youth petitioned</v>
      </c>
      <c r="C69" s="49">
        <f>IF(($E63&gt;0),C63,C62)</f>
        <v>2.68</v>
      </c>
      <c r="D69" s="49">
        <f>IF(($E63&gt;0),D63,D62)</f>
        <v>3.12</v>
      </c>
      <c r="E69" s="49">
        <f>MAX(C69:D69)</f>
        <v>3.12</v>
      </c>
      <c r="G69" s="1" t="str">
        <f>G63</f>
        <v>per 100 youth petitioned</v>
      </c>
      <c r="L69" s="58">
        <f>IF(($E63&gt;0),L63,L62)</f>
        <v>100</v>
      </c>
      <c r="M69" s="58">
        <f>IF((B69=G69),1,2)</f>
        <v>1</v>
      </c>
    </row>
    <row r="70" spans="2:13" ht="15" hidden="1" customHeight="1">
      <c r="B70" s="49" t="str">
        <f>IF(($E64&gt;0),B64,B63)</f>
        <v>per 100 youth found delinquent</v>
      </c>
      <c r="C70" s="49">
        <f>IF(($E64&gt;0),C64,C63)</f>
        <v>1.3</v>
      </c>
      <c r="D70" s="49">
        <f>IF(($E64&gt;0),D64,D63)</f>
        <v>1.69</v>
      </c>
      <c r="E70" s="56">
        <f>MAX(C70:D70)</f>
        <v>1.69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Ottawa</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8.8436491129844281</v>
      </c>
      <c r="D7" s="72">
        <f>Hispanic!G7</f>
        <v>0.78052638710114497</v>
      </c>
      <c r="E7" s="72">
        <f>Asian!G7</f>
        <v>1.0200254976494356</v>
      </c>
      <c r="F7" s="72" t="str">
        <f>Hawaiian!G7</f>
        <v>*</v>
      </c>
      <c r="G7" s="72" t="str">
        <f>'Am Indian'!G7</f>
        <v>*</v>
      </c>
      <c r="H7" s="72" t="str">
        <f>'Other - Mixed'!G7</f>
        <v>*</v>
      </c>
      <c r="I7" s="73">
        <f>'All Minorities'!G7</f>
        <v>2.0018184319673562</v>
      </c>
      <c r="L7" s="1">
        <f>'Black or African-American'!L7</f>
        <v>1</v>
      </c>
      <c r="M7" s="1">
        <f>Hispanic!L7</f>
        <v>2</v>
      </c>
      <c r="N7" s="1">
        <f>Asian!L7</f>
        <v>2</v>
      </c>
      <c r="O7" s="1" t="e">
        <f>Hawaiian!L7</f>
        <v>#VALUE!</v>
      </c>
      <c r="P7" s="1">
        <f>'Am Indian'!L7</f>
        <v>139</v>
      </c>
      <c r="Q7" s="1" t="e">
        <f>'Other - Mixed'!L7</f>
        <v>#VALUE!</v>
      </c>
      <c r="R7" s="1">
        <f>'All Minorities'!L7</f>
        <v>1</v>
      </c>
    </row>
    <row r="8" spans="2:18" ht="15" customHeight="1">
      <c r="B8" s="71" t="s">
        <v>9</v>
      </c>
      <c r="C8" s="72">
        <f>'Black or African-American'!$G8</f>
        <v>0.59429466230936812</v>
      </c>
      <c r="D8" s="72">
        <f>Hispanic!G8</f>
        <v>3.4236111111111107</v>
      </c>
      <c r="E8" s="72" t="str">
        <f>Asian!G8</f>
        <v>**</v>
      </c>
      <c r="F8" s="72" t="str">
        <f>Hawaiian!G8</f>
        <v>*</v>
      </c>
      <c r="G8" s="72" t="str">
        <f>'Am Indian'!G8</f>
        <v>*</v>
      </c>
      <c r="H8" s="72" t="str">
        <f>'Other - Mixed'!G8</f>
        <v>*</v>
      </c>
      <c r="I8" s="73">
        <f>'All Minorities'!G8</f>
        <v>1.7969420600858366</v>
      </c>
      <c r="L8" s="1">
        <f>'Black or African-American'!L8</f>
        <v>1</v>
      </c>
      <c r="M8" s="1">
        <f>Hispanic!L8</f>
        <v>1</v>
      </c>
      <c r="N8" s="1">
        <f>Asian!L8</f>
        <v>20</v>
      </c>
      <c r="O8" s="1">
        <f>Hawaiian!L8</f>
        <v>139</v>
      </c>
      <c r="P8" s="1">
        <f>'Am Indian'!L8</f>
        <v>119</v>
      </c>
      <c r="Q8" s="1">
        <f>'Other - Mixed'!L8</f>
        <v>119</v>
      </c>
      <c r="R8" s="1">
        <f>'All Minorities'!L8</f>
        <v>1</v>
      </c>
    </row>
    <row r="9" spans="2:18" ht="15" customHeight="1">
      <c r="B9" s="71" t="s">
        <v>10</v>
      </c>
      <c r="C9" s="72">
        <f>'Black or African-American'!$G9</f>
        <v>0.61587810745789895</v>
      </c>
      <c r="D9" s="72">
        <f>Hispanic!G9</f>
        <v>0.82758620689655171</v>
      </c>
      <c r="E9" s="72" t="str">
        <f>Asian!G9</f>
        <v>**</v>
      </c>
      <c r="F9" s="72" t="str">
        <f>Hawaiian!G9</f>
        <v>*</v>
      </c>
      <c r="G9" s="72" t="str">
        <f>'Am Indian'!G9</f>
        <v>*</v>
      </c>
      <c r="H9" s="72" t="str">
        <f>'Other - Mixed'!G9</f>
        <v>*</v>
      </c>
      <c r="I9" s="73">
        <f>'All Minorities'!G9</f>
        <v>0.70219435736677105</v>
      </c>
      <c r="L9" s="1">
        <f>'Black or African-American'!L9</f>
        <v>1</v>
      </c>
      <c r="M9" s="1">
        <f>Hispanic!L9</f>
        <v>2</v>
      </c>
      <c r="N9" s="1">
        <f>Asian!L9</f>
        <v>40</v>
      </c>
      <c r="O9" s="1" t="e">
        <f>Hawaiian!L9</f>
        <v>#VALUE!</v>
      </c>
      <c r="P9" s="1">
        <f>'Am Indian'!L9</f>
        <v>139</v>
      </c>
      <c r="Q9" s="1">
        <f>'Other - Mixed'!L9</f>
        <v>100</v>
      </c>
      <c r="R9" s="1">
        <f>'All Minorities'!L9</f>
        <v>1</v>
      </c>
    </row>
    <row r="10" spans="2:18" ht="15" customHeight="1">
      <c r="B10" s="71" t="s">
        <v>11</v>
      </c>
      <c r="C10" s="72">
        <f>'Black or African-American'!$G10</f>
        <v>2.1627906976744184</v>
      </c>
      <c r="D10" s="72">
        <f>Hispanic!G10</f>
        <v>1.4705882352941175</v>
      </c>
      <c r="E10" s="72" t="str">
        <f>Asian!G10</f>
        <v>**</v>
      </c>
      <c r="F10" s="72" t="str">
        <f>Hawaiian!G10</f>
        <v>*</v>
      </c>
      <c r="G10" s="72" t="str">
        <f>'Am Indian'!G10</f>
        <v>*</v>
      </c>
      <c r="H10" s="72" t="str">
        <f>'Other - Mixed'!G10</f>
        <v>*</v>
      </c>
      <c r="I10" s="73">
        <f>'All Minorities'!G10</f>
        <v>1.6363636363636362</v>
      </c>
      <c r="L10" s="1">
        <f>'Black or African-American'!L10</f>
        <v>1</v>
      </c>
      <c r="M10" s="1">
        <f>Hispanic!L10</f>
        <v>1</v>
      </c>
      <c r="N10" s="1">
        <f>Asian!L10</f>
        <v>40</v>
      </c>
      <c r="O10" s="1" t="e">
        <f>Hawaiian!L10</f>
        <v>#VALUE!</v>
      </c>
      <c r="P10" s="1">
        <f>'Am Indian'!L10</f>
        <v>139</v>
      </c>
      <c r="Q10" s="1">
        <f>'Other - Mixed'!L10</f>
        <v>100</v>
      </c>
      <c r="R10" s="1">
        <f>'All Minorities'!L10</f>
        <v>1</v>
      </c>
    </row>
    <row r="11" spans="2:18" ht="15" customHeight="1">
      <c r="B11" s="71" t="s">
        <v>95</v>
      </c>
      <c r="C11" s="72">
        <f>'Black or African-American'!$G11</f>
        <v>1.1662617146824017</v>
      </c>
      <c r="D11" s="72">
        <f>Hispanic!G11</f>
        <v>1.0746268656716418</v>
      </c>
      <c r="E11" s="72" t="str">
        <f>Asian!G11</f>
        <v>**</v>
      </c>
      <c r="F11" s="72" t="str">
        <f>Hawaiian!G11</f>
        <v>*</v>
      </c>
      <c r="G11" s="72" t="str">
        <f>'Am Indian'!G11</f>
        <v>*</v>
      </c>
      <c r="H11" s="72" t="str">
        <f>'Other - Mixed'!G11</f>
        <v>*</v>
      </c>
      <c r="I11" s="73">
        <f>'All Minorities'!G11</f>
        <v>1.1289009497964719</v>
      </c>
      <c r="L11" s="1">
        <f>'Black or African-American'!L11</f>
        <v>1</v>
      </c>
      <c r="M11" s="1">
        <f>Hispanic!L11</f>
        <v>2</v>
      </c>
      <c r="N11" s="1">
        <f>Asian!L11</f>
        <v>40</v>
      </c>
      <c r="O11" s="1" t="e">
        <f>Hawaiian!L11</f>
        <v>#VALUE!</v>
      </c>
      <c r="P11" s="1">
        <f>'Am Indian'!L11</f>
        <v>139</v>
      </c>
      <c r="Q11" s="1">
        <f>'Other - Mixed'!L11</f>
        <v>100</v>
      </c>
      <c r="R11" s="1">
        <f>'All Minorities'!L11</f>
        <v>1</v>
      </c>
    </row>
    <row r="12" spans="2:18" ht="15" customHeight="1">
      <c r="B12" s="71" t="s">
        <v>13</v>
      </c>
      <c r="C12" s="72">
        <f>'Black or African-American'!$G12</f>
        <v>1.0307692307692309</v>
      </c>
      <c r="D12" s="72">
        <f>Hispanic!G12</f>
        <v>1.1857214680744095</v>
      </c>
      <c r="E12" s="72" t="str">
        <f>Asian!G12</f>
        <v>**</v>
      </c>
      <c r="F12" s="72" t="str">
        <f>Hawaiian!G12</f>
        <v>*</v>
      </c>
      <c r="G12" s="72" t="str">
        <f>'Am Indian'!G12</f>
        <v>*</v>
      </c>
      <c r="H12" s="72" t="str">
        <f>'Other - Mixed'!G12</f>
        <v>*</v>
      </c>
      <c r="I12" s="73">
        <f>'All Minorities'!G12</f>
        <v>1.1166666666666667</v>
      </c>
      <c r="L12" s="1">
        <f>'Black or African-American'!L12</f>
        <v>2</v>
      </c>
      <c r="M12" s="1">
        <f>Hispanic!L12</f>
        <v>2</v>
      </c>
      <c r="N12" s="1">
        <f>Asian!L12</f>
        <v>40</v>
      </c>
      <c r="O12" s="1" t="e">
        <f>Hawaiian!L12</f>
        <v>#VALUE!</v>
      </c>
      <c r="P12" s="1">
        <f>'Am Indian'!L12</f>
        <v>139</v>
      </c>
      <c r="Q12" s="1">
        <f>'Other - Mixed'!L12</f>
        <v>101</v>
      </c>
      <c r="R12" s="1">
        <f>'All Minorities'!L12</f>
        <v>2</v>
      </c>
    </row>
    <row r="13" spans="2:18" ht="15" customHeight="1">
      <c r="B13" s="71" t="s">
        <v>14</v>
      </c>
      <c r="C13" s="72">
        <f>'Black or African-American'!$G13</f>
        <v>1.0821147356580427</v>
      </c>
      <c r="D13" s="72">
        <f>Hispanic!G13</f>
        <v>0.69792412312097352</v>
      </c>
      <c r="E13" s="72" t="str">
        <f>Asian!G13</f>
        <v>**</v>
      </c>
      <c r="F13" s="72" t="str">
        <f>Hawaiian!G13</f>
        <v>*</v>
      </c>
      <c r="G13" s="72" t="str">
        <f>'Am Indian'!G13</f>
        <v>*</v>
      </c>
      <c r="H13" s="72" t="str">
        <f>'Other - Mixed'!G13</f>
        <v>*</v>
      </c>
      <c r="I13" s="73">
        <f>'All Minorities'!G13</f>
        <v>0.72077528770442156</v>
      </c>
      <c r="L13" s="1">
        <f>'Black or African-American'!L13</f>
        <v>1</v>
      </c>
      <c r="M13" s="1">
        <f>Hispanic!L13</f>
        <v>1</v>
      </c>
      <c r="N13" s="1">
        <f>Asian!L13</f>
        <v>20</v>
      </c>
      <c r="O13" s="1" t="e">
        <f>Hawaiian!L13</f>
        <v>#VALUE!</v>
      </c>
      <c r="P13" s="1">
        <f>'Am Indian'!L13</f>
        <v>119</v>
      </c>
      <c r="Q13" s="1">
        <f>'Other - Mixed'!L13</f>
        <v>100</v>
      </c>
      <c r="R13" s="1">
        <f>'All Minorities'!L13</f>
        <v>1</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40</v>
      </c>
      <c r="M14" s="1">
        <f>Hispanic!L14</f>
        <v>40</v>
      </c>
      <c r="N14" s="1">
        <f>Asian!L14</f>
        <v>40</v>
      </c>
      <c r="O14" s="1" t="e">
        <f>Hawaiian!L14</f>
        <v>#VALUE!</v>
      </c>
      <c r="P14" s="1">
        <f>'Am Indian'!L14</f>
        <v>139</v>
      </c>
      <c r="Q14" s="1">
        <f>'Other - Mixed'!L14</f>
        <v>139</v>
      </c>
      <c r="R14" s="1">
        <f>'All Minorities'!L14</f>
        <v>40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f>Hispanic!L15</f>
        <v>40</v>
      </c>
      <c r="N15" s="1" t="e">
        <f>Asian!L15</f>
        <v>#VALUE!</v>
      </c>
      <c r="O15" s="1" t="e">
        <f>Hawaiian!L15</f>
        <v>#VALUE!</v>
      </c>
      <c r="P15" s="1" t="e">
        <f>'Am Indian'!L15</f>
        <v>#VALUE!</v>
      </c>
      <c r="Q15" s="1" t="e">
        <f>'Other - Mixed'!L15</f>
        <v>#VALUE!</v>
      </c>
      <c r="R15" s="1">
        <f>'All Minorities'!L15</f>
        <v>40</v>
      </c>
    </row>
    <row r="16" spans="2:18" ht="15" customHeight="1">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32943</v>
      </c>
      <c r="D3" s="57">
        <f>'Data Entry'!C6</f>
        <v>25603</v>
      </c>
      <c r="E3" s="57">
        <f>'Data Entry'!D6</f>
        <v>1091</v>
      </c>
      <c r="F3" s="57">
        <f>'Data Entry'!E6</f>
        <v>5090</v>
      </c>
      <c r="G3" s="57">
        <f>'Data Entry'!F6</f>
        <v>1051</v>
      </c>
      <c r="H3" s="57">
        <f>'Data Entry'!G6</f>
        <v>0</v>
      </c>
      <c r="I3" s="57">
        <f>'Data Entry'!H6</f>
        <v>108</v>
      </c>
      <c r="J3" s="57">
        <f>'Data Entry'!I6</f>
        <v>0</v>
      </c>
      <c r="K3" s="57">
        <f>'Data Entry'!J6</f>
        <v>7340</v>
      </c>
    </row>
    <row r="4" spans="2:11" ht="15" customHeight="1">
      <c r="B4" s="16" t="s">
        <v>8</v>
      </c>
      <c r="C4" s="1">
        <f>IF((C$3&gt;0),(1000*('Data Entry'!B7/'Data Entry'!B$6)), 0)</f>
        <v>22.068421212397169</v>
      </c>
      <c r="D4" s="1">
        <f>IF((D$3&gt;0),(1000*('Data Entry'!C7/'Data Entry'!C$6)), 0)</f>
        <v>15.857516697262039</v>
      </c>
      <c r="E4" s="1">
        <f>IF((E$3&gt;0),(1000*('Data Entry'!D7/'Data Entry'!D$6)), 0)</f>
        <v>140.23831347387716</v>
      </c>
      <c r="F4" s="1">
        <f>IF((F$3&gt;0),(1000*('Data Entry'!E7/'Data Entry'!E$6)), 0)</f>
        <v>12.37721021611002</v>
      </c>
      <c r="G4" s="1">
        <f>IF((G$3&gt;0),(1000*('Data Entry'!F7/'Data Entry'!F$6)), 0)</f>
        <v>16.175071360608946</v>
      </c>
      <c r="H4" s="1">
        <f>IF((H$3&gt;0),(1000*('Data Entry'!G7/'Data Entry'!G$6)), 0)</f>
        <v>0</v>
      </c>
      <c r="I4" s="1">
        <f>IF((I$3&gt;0),(1000*('Data Entry'!H7/'Data Entry'!H$6)), 0)</f>
        <v>0</v>
      </c>
      <c r="J4" s="1">
        <f>IF((J$3&gt;0),(1000*('Data Entry'!I7/'Data Entry'!I$6)), 0)</f>
        <v>0</v>
      </c>
      <c r="K4" s="1">
        <f>IF((K$3&gt;0),(1000*('Data Entry'!J7/'Data Entry'!J$6)), 0)</f>
        <v>31.743869209809262</v>
      </c>
    </row>
    <row r="5" spans="2:11" ht="15" customHeight="1">
      <c r="B5" s="16" t="s">
        <v>9</v>
      </c>
      <c r="C5" s="1">
        <f>IF((C$3&gt;0),(1000*('Data Entry'!B8/'Data Entry'!B$6)), 0)</f>
        <v>24.830768296755004</v>
      </c>
      <c r="D5" s="1">
        <f>IF((D$3&gt;0),(1000*('Data Entry'!C8/'Data Entry'!C$6)), 0)</f>
        <v>14.998242393469516</v>
      </c>
      <c r="E5" s="1">
        <f>IF((E$3&gt;0),(1000*('Data Entry'!D8/'Data Entry'!D$6)), 0)</f>
        <v>78.826764436296983</v>
      </c>
      <c r="F5" s="1">
        <f>IF((F$3&gt;0),(1000*('Data Entry'!E8/'Data Entry'!E$6)), 0)</f>
        <v>40.078585461689592</v>
      </c>
      <c r="G5" s="1">
        <f>IF((G$3&gt;0),(1000*('Data Entry'!F8/'Data Entry'!F$6)), 0)</f>
        <v>13.320647002854425</v>
      </c>
      <c r="H5" s="1">
        <f>IF((H$3&gt;0),(1000*('Data Entry'!G8/'Data Entry'!G$6)), 0)</f>
        <v>0</v>
      </c>
      <c r="I5" s="1">
        <f>IF((I$3&gt;0),(1000*('Data Entry'!H8/'Data Entry'!H$6)), 0)</f>
        <v>64.81481481481481</v>
      </c>
      <c r="J5" s="1">
        <f>IF((J$3&gt;0),(1000*('Data Entry'!I8/'Data Entry'!I$6)), 0)</f>
        <v>0</v>
      </c>
      <c r="K5" s="1">
        <f>IF((K$3&gt;0),(1000*('Data Entry'!J8/'Data Entry'!J$6)), 0)</f>
        <v>53.950953678474114</v>
      </c>
    </row>
    <row r="6" spans="2:11" ht="15" customHeight="1">
      <c r="B6" s="16" t="s">
        <v>10</v>
      </c>
      <c r="C6" s="1">
        <f>IF((C$3&gt;0),(1000*('Data Entry'!B9/'Data Entry'!B$6)), 0)</f>
        <v>6.0710924930941328</v>
      </c>
      <c r="D6" s="1">
        <f>IF((D$3&gt;0),(1000*('Data Entry'!C9/'Data Entry'!C$6)), 0)</f>
        <v>4.5307190563605824</v>
      </c>
      <c r="E6" s="1">
        <f>IF((E$3&gt;0),(1000*('Data Entry'!D9/'Data Entry'!D$6)), 0)</f>
        <v>14.66544454628781</v>
      </c>
      <c r="F6" s="1">
        <f>IF((F$3&gt;0),(1000*('Data Entry'!E9/'Data Entry'!E$6)), 0)</f>
        <v>10.019646365422398</v>
      </c>
      <c r="G6" s="1">
        <f>IF((G$3&gt;0),(1000*('Data Entry'!F9/'Data Entry'!F$6)), 0)</f>
        <v>3.805899143672693</v>
      </c>
      <c r="H6" s="1">
        <f>IF((H$3&gt;0),(1000*('Data Entry'!G9/'Data Entry'!G$6)), 0)</f>
        <v>0</v>
      </c>
      <c r="I6" s="1">
        <f>IF((I$3&gt;0),(1000*('Data Entry'!H9/'Data Entry'!H$6)), 0)</f>
        <v>9.2592592592592595</v>
      </c>
      <c r="J6" s="1">
        <f>IF((J$3&gt;0),(1000*('Data Entry'!I9/'Data Entry'!I$6)), 0)</f>
        <v>0</v>
      </c>
      <c r="K6" s="1">
        <f>IF((K$3&gt;0),(1000*('Data Entry'!J9/'Data Entry'!J$6)), 0)</f>
        <v>11.444141689373298</v>
      </c>
    </row>
    <row r="7" spans="2:11" ht="15" customHeight="1">
      <c r="B7" s="16" t="s">
        <v>11</v>
      </c>
      <c r="C7" s="1">
        <f>IF((C$3&gt;0),(1000*('Data Entry'!B10/'Data Entry'!B$6)), 0)</f>
        <v>5.2514950065264241</v>
      </c>
      <c r="D7" s="1">
        <f>IF((D$3&gt;0),(1000*('Data Entry'!C10/'Data Entry'!C$6)), 0)</f>
        <v>2.4997070655782525</v>
      </c>
      <c r="E7" s="1">
        <f>IF((E$3&gt;0),(1000*('Data Entry'!D10/'Data Entry'!D$6)), 0)</f>
        <v>28.41429880843263</v>
      </c>
      <c r="F7" s="1">
        <f>IF((F$3&gt;0),(1000*('Data Entry'!E10/'Data Entry'!E$6)), 0)</f>
        <v>9.8231827111984273</v>
      </c>
      <c r="G7" s="1">
        <f>IF((G$3&gt;0),(1000*('Data Entry'!F10/'Data Entry'!F$6)), 0)</f>
        <v>0.95147478591817325</v>
      </c>
      <c r="H7" s="1">
        <f>IF((H$3&gt;0),(1000*('Data Entry'!G10/'Data Entry'!G$6)), 0)</f>
        <v>0</v>
      </c>
      <c r="I7" s="1">
        <f>IF((I$3&gt;0),(1000*('Data Entry'!H10/'Data Entry'!H$6)), 0)</f>
        <v>0</v>
      </c>
      <c r="J7" s="1">
        <f>IF((J$3&gt;0),(1000*('Data Entry'!I10/'Data Entry'!I$6)), 0)</f>
        <v>0</v>
      </c>
      <c r="K7" s="1">
        <f>IF((K$3&gt;0),(1000*('Data Entry'!J10/'Data Entry'!J$6)), 0)</f>
        <v>14.713896457765667</v>
      </c>
    </row>
    <row r="8" spans="2:11" ht="15" customHeight="1">
      <c r="B8" s="16" t="s">
        <v>95</v>
      </c>
      <c r="C8" s="1">
        <f>IF((C$3&gt;0),(1000*('Data Entry'!B11/'Data Entry'!B$6)), 0)</f>
        <v>18.759675803660869</v>
      </c>
      <c r="D8" s="1">
        <f>IF((D$3&gt;0),(1000*('Data Entry'!C11/'Data Entry'!C$6)), 0)</f>
        <v>10.467523337108933</v>
      </c>
      <c r="E8" s="1">
        <f>IF((E$3&gt;0),(1000*('Data Entry'!D11/'Data Entry'!D$6)), 0)</f>
        <v>64.161319890009167</v>
      </c>
      <c r="F8" s="1">
        <f>IF((F$3&gt;0),(1000*('Data Entry'!E11/'Data Entry'!E$6)), 0)</f>
        <v>30.058939096267192</v>
      </c>
      <c r="G8" s="1">
        <f>IF((G$3&gt;0),(1000*('Data Entry'!F11/'Data Entry'!F$6)), 0)</f>
        <v>9.5147478591817318</v>
      </c>
      <c r="H8" s="1">
        <f>IF((H$3&gt;0),(1000*('Data Entry'!G11/'Data Entry'!G$6)), 0)</f>
        <v>0</v>
      </c>
      <c r="I8" s="1">
        <f>IF((I$3&gt;0),(1000*('Data Entry'!H11/'Data Entry'!H$6)), 0)</f>
        <v>55.55555555555555</v>
      </c>
      <c r="J8" s="1">
        <f>IF((J$3&gt;0),(1000*('Data Entry'!I11/'Data Entry'!I$6)), 0)</f>
        <v>0</v>
      </c>
      <c r="K8" s="1">
        <f>IF((K$3&gt;0),(1000*('Data Entry'!J11/'Data Entry'!J$6)), 0)</f>
        <v>42.506811989100818</v>
      </c>
    </row>
    <row r="9" spans="2:11" ht="15" customHeight="1">
      <c r="B9" s="16" t="s">
        <v>13</v>
      </c>
      <c r="C9" s="1">
        <f>IF((C$3&gt;0),(1000*('Data Entry'!B12/'Data Entry'!B$6)), 0)</f>
        <v>9.6226816015542003</v>
      </c>
      <c r="D9" s="1">
        <f>IF((D$3&gt;0),(1000*('Data Entry'!C12/'Data Entry'!C$6)), 0)</f>
        <v>5.0775299769558249</v>
      </c>
      <c r="E9" s="1">
        <f>IF((E$3&gt;0),(1000*('Data Entry'!D12/'Data Entry'!D$6)), 0)</f>
        <v>32.080659945004584</v>
      </c>
      <c r="F9" s="1">
        <f>IF((F$3&gt;0),(1000*('Data Entry'!E12/'Data Entry'!E$6)), 0)</f>
        <v>17.288801571709236</v>
      </c>
      <c r="G9" s="1">
        <f>IF((G$3&gt;0),(1000*('Data Entry'!F12/'Data Entry'!F$6)), 0)</f>
        <v>4.7573739295908659</v>
      </c>
      <c r="H9" s="1">
        <f>IF((H$3&gt;0),(1000*('Data Entry'!G12/'Data Entry'!G$6)), 0)</f>
        <v>0</v>
      </c>
      <c r="I9" s="1">
        <f>IF((I$3&gt;0),(1000*('Data Entry'!H12/'Data Entry'!H$6)), 0)</f>
        <v>27.777777777777775</v>
      </c>
      <c r="J9" s="1">
        <f>IF((J$3&gt;0),(1000*('Data Entry'!I12/'Data Entry'!I$6)), 0)</f>
        <v>0</v>
      </c>
      <c r="K9" s="1">
        <f>IF((K$3&gt;0),(1000*('Data Entry'!J12/'Data Entry'!J$6)), 0)</f>
        <v>23.024523160762943</v>
      </c>
    </row>
    <row r="10" spans="2:11" ht="15" customHeight="1">
      <c r="B10" s="16" t="s">
        <v>14</v>
      </c>
      <c r="C10" s="1">
        <f>IF((C$3&gt;0),(1000*('Data Entry'!B13/'Data Entry'!B$6)), 0)</f>
        <v>7.5585101539021951</v>
      </c>
      <c r="D10" s="1">
        <f>IF((D$3&gt;0),(1000*('Data Entry'!C13/'Data Entry'!C$6)), 0)</f>
        <v>4.9603562082568446</v>
      </c>
      <c r="E10" s="1">
        <f>IF((E$3&gt;0),(1000*('Data Entry'!D13/'Data Entry'!D$6)), 0)</f>
        <v>33.913840513290559</v>
      </c>
      <c r="F10" s="1">
        <f>IF((F$3&gt;0),(1000*('Data Entry'!E13/'Data Entry'!E$6)), 0)</f>
        <v>11.787819253438114</v>
      </c>
      <c r="G10" s="1">
        <f>IF((G$3&gt;0),(1000*('Data Entry'!F13/'Data Entry'!F$6)), 0)</f>
        <v>0.95147478591817325</v>
      </c>
      <c r="H10" s="1">
        <f>IF((H$3&gt;0),(1000*('Data Entry'!G13/'Data Entry'!G$6)), 0)</f>
        <v>0</v>
      </c>
      <c r="I10" s="1">
        <f>IF((I$3&gt;0),(1000*('Data Entry'!H13/'Data Entry'!H$6)), 0)</f>
        <v>0</v>
      </c>
      <c r="J10" s="1">
        <f>IF((J$3&gt;0),(1000*('Data Entry'!I13/'Data Entry'!I$6)), 0)</f>
        <v>0</v>
      </c>
      <c r="K10" s="1">
        <f>IF((K$3&gt;0),(1000*('Data Entry'!J13/'Data Entry'!J$6)), 0)</f>
        <v>16.212534059945504</v>
      </c>
    </row>
    <row r="11" spans="2:11" ht="25.5" customHeight="1">
      <c r="B11" s="16" t="s">
        <v>15</v>
      </c>
      <c r="C11" s="1">
        <f>IF((C$3&gt;0),(1000*('Data Entry'!B14/'Data Entry'!B$6)), 0)</f>
        <v>6.0710924930941323E-2</v>
      </c>
      <c r="D11" s="1">
        <f>IF((D$3&gt;0),(1000*('Data Entry'!C14/'Data Entry'!C$6)), 0)</f>
        <v>7.8115845799320391E-2</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3.0355462465470662E-2</v>
      </c>
      <c r="D12" s="1">
        <f>IF((D$3&gt;0),(1000*('Data Entry'!C15/'Data Entry'!C$6)), 0)</f>
        <v>0</v>
      </c>
      <c r="E12" s="1">
        <f>IF((E$3&gt;0),(1000*('Data Entry'!D15/'Data Entry'!D$6)), 0)</f>
        <v>0</v>
      </c>
      <c r="F12" s="1">
        <f>IF((F$3&gt;0),(1000*('Data Entry'!E15/'Data Entry'!E$6)), 0)</f>
        <v>0.19646365422396855</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0.13623978201634879</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Ottawa</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8.8436491129844264</v>
      </c>
      <c r="E19" s="72">
        <f t="shared" si="1"/>
        <v>0.78052638710114497</v>
      </c>
      <c r="F19" s="72">
        <f t="shared" si="1"/>
        <v>1.0200254976494356</v>
      </c>
      <c r="G19" s="72" t="str">
        <f t="shared" si="1"/>
        <v>--</v>
      </c>
      <c r="H19" s="72" t="str">
        <f t="shared" si="1"/>
        <v>--</v>
      </c>
      <c r="I19" s="72" t="str">
        <f t="shared" si="1"/>
        <v>--</v>
      </c>
      <c r="J19" s="73">
        <f t="shared" si="1"/>
        <v>2.0018184319673562</v>
      </c>
    </row>
    <row r="20" spans="2:10" ht="15" customHeight="1">
      <c r="B20" s="71" t="s">
        <v>9</v>
      </c>
      <c r="C20" s="72">
        <f t="shared" ref="C20:J27" si="2">IF(AND(($D5&gt;0),(D5&gt;0)), (D5/$D5),"--")</f>
        <v>1</v>
      </c>
      <c r="D20" s="72">
        <f t="shared" si="2"/>
        <v>5.2557334631836241</v>
      </c>
      <c r="E20" s="72">
        <f t="shared" si="2"/>
        <v>2.6722188113948921</v>
      </c>
      <c r="F20" s="72">
        <f t="shared" si="2"/>
        <v>0.88814720107833811</v>
      </c>
      <c r="G20" s="72" t="str">
        <f t="shared" si="2"/>
        <v>--</v>
      </c>
      <c r="H20" s="72">
        <f t="shared" si="2"/>
        <v>4.3214940200617278</v>
      </c>
      <c r="I20" s="72" t="str">
        <f t="shared" si="2"/>
        <v>--</v>
      </c>
      <c r="J20" s="73">
        <f t="shared" si="2"/>
        <v>3.5971517370572204</v>
      </c>
    </row>
    <row r="21" spans="2:10" ht="15" customHeight="1">
      <c r="B21" s="71" t="s">
        <v>10</v>
      </c>
      <c r="C21" s="72">
        <f t="shared" si="2"/>
        <v>1</v>
      </c>
      <c r="D21" s="72">
        <f t="shared" si="2"/>
        <v>3.2368911786086798</v>
      </c>
      <c r="E21" s="72">
        <f t="shared" si="2"/>
        <v>2.2114914301199109</v>
      </c>
      <c r="F21" s="72">
        <f t="shared" si="2"/>
        <v>0.84002099806424113</v>
      </c>
      <c r="G21" s="72" t="str">
        <f t="shared" si="2"/>
        <v>--</v>
      </c>
      <c r="H21" s="72">
        <f t="shared" si="2"/>
        <v>2.0436621966794384</v>
      </c>
      <c r="I21" s="72" t="str">
        <f t="shared" si="2"/>
        <v>--</v>
      </c>
      <c r="J21" s="73">
        <f t="shared" si="2"/>
        <v>2.5258996523536603</v>
      </c>
    </row>
    <row r="22" spans="2:10" ht="15" customHeight="1">
      <c r="B22" s="71" t="s">
        <v>11</v>
      </c>
      <c r="C22" s="72">
        <f t="shared" si="2"/>
        <v>1</v>
      </c>
      <c r="D22" s="72">
        <f t="shared" si="2"/>
        <v>11.367051443629697</v>
      </c>
      <c r="E22" s="72">
        <f t="shared" si="2"/>
        <v>3.9297335461689586</v>
      </c>
      <c r="F22" s="72">
        <f t="shared" si="2"/>
        <v>0.3806345147478592</v>
      </c>
      <c r="G22" s="72" t="str">
        <f t="shared" si="2"/>
        <v>--</v>
      </c>
      <c r="H22" s="72" t="str">
        <f t="shared" si="2"/>
        <v>--</v>
      </c>
      <c r="I22" s="72" t="str">
        <f t="shared" si="2"/>
        <v>--</v>
      </c>
      <c r="J22" s="73">
        <f t="shared" si="2"/>
        <v>5.8862482970027248</v>
      </c>
    </row>
    <row r="23" spans="2:10" ht="15" customHeight="1">
      <c r="B23" s="71" t="s">
        <v>95</v>
      </c>
      <c r="C23" s="72">
        <f t="shared" si="2"/>
        <v>1</v>
      </c>
      <c r="D23" s="72">
        <f t="shared" si="2"/>
        <v>6.1295607206862117</v>
      </c>
      <c r="E23" s="72">
        <f t="shared" si="2"/>
        <v>2.8716381256780927</v>
      </c>
      <c r="F23" s="72">
        <f t="shared" si="2"/>
        <v>0.90897794566652934</v>
      </c>
      <c r="G23" s="72" t="str">
        <f t="shared" si="2"/>
        <v>--</v>
      </c>
      <c r="H23" s="72">
        <f t="shared" si="2"/>
        <v>5.307421227197346</v>
      </c>
      <c r="I23" s="72" t="str">
        <f t="shared" si="2"/>
        <v>--</v>
      </c>
      <c r="J23" s="73">
        <f t="shared" si="2"/>
        <v>4.060828012525926</v>
      </c>
    </row>
    <row r="24" spans="2:10" ht="15" customHeight="1">
      <c r="B24" s="71" t="s">
        <v>13</v>
      </c>
      <c r="C24" s="72">
        <f t="shared" si="2"/>
        <v>1</v>
      </c>
      <c r="D24" s="72">
        <f t="shared" si="2"/>
        <v>6.318162589015019</v>
      </c>
      <c r="E24" s="72">
        <f t="shared" si="2"/>
        <v>3.4049629741574741</v>
      </c>
      <c r="F24" s="72">
        <f t="shared" si="2"/>
        <v>0.93694649784088424</v>
      </c>
      <c r="G24" s="72" t="str">
        <f t="shared" si="2"/>
        <v>--</v>
      </c>
      <c r="H24" s="72">
        <f t="shared" si="2"/>
        <v>5.4707264957264963</v>
      </c>
      <c r="I24" s="72" t="str">
        <f t="shared" si="2"/>
        <v>--</v>
      </c>
      <c r="J24" s="73">
        <f t="shared" si="2"/>
        <v>4.5345912806539515</v>
      </c>
    </row>
    <row r="25" spans="2:10" ht="15" customHeight="1">
      <c r="B25" s="71" t="s">
        <v>14</v>
      </c>
      <c r="C25" s="72">
        <f t="shared" si="2"/>
        <v>1</v>
      </c>
      <c r="D25" s="72">
        <f t="shared" si="2"/>
        <v>6.8369768398565212</v>
      </c>
      <c r="E25" s="72">
        <f t="shared" si="2"/>
        <v>2.3764057979982365</v>
      </c>
      <c r="F25" s="72">
        <f t="shared" si="2"/>
        <v>0.1918158184556141</v>
      </c>
      <c r="G25" s="72" t="str">
        <f t="shared" si="2"/>
        <v>--</v>
      </c>
      <c r="H25" s="72" t="str">
        <f t="shared" si="2"/>
        <v>--</v>
      </c>
      <c r="I25" s="72" t="str">
        <f t="shared" si="2"/>
        <v>--</v>
      </c>
      <c r="J25" s="73">
        <f t="shared" si="2"/>
        <v>3.2684213349353133</v>
      </c>
    </row>
    <row r="26" spans="2:10" ht="25.5" customHeight="1">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Ottawa</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25603</v>
      </c>
      <c r="D7" s="104">
        <f>'Data Entry'!D6</f>
        <v>1091</v>
      </c>
      <c r="E7" s="105"/>
      <c r="F7" s="106">
        <f>'Data Entry'!E6</f>
        <v>5090</v>
      </c>
      <c r="G7" s="105"/>
      <c r="H7" s="106">
        <f>'Data Entry'!F6</f>
        <v>1051</v>
      </c>
      <c r="I7" s="105"/>
      <c r="J7" s="106">
        <f>'Data Entry'!G6</f>
        <v>0</v>
      </c>
      <c r="K7" s="105"/>
      <c r="L7" s="106">
        <f>'Data Entry'!H6</f>
        <v>108</v>
      </c>
      <c r="M7" s="105"/>
      <c r="N7" s="106">
        <f>'Data Entry'!I6</f>
        <v>0</v>
      </c>
      <c r="O7" s="105"/>
      <c r="P7" s="106">
        <f>'Data Entry'!J6</f>
        <v>7340</v>
      </c>
      <c r="Q7" s="107"/>
    </row>
    <row r="8" spans="2:26" s="1" customFormat="1" ht="15" customHeight="1">
      <c r="B8" s="142" t="s">
        <v>8</v>
      </c>
      <c r="C8" s="103">
        <f>'Data Entry'!C7</f>
        <v>406</v>
      </c>
      <c r="D8" s="104">
        <f>'Data Entry'!D7</f>
        <v>153</v>
      </c>
      <c r="E8" s="105">
        <f>'Black or African-American'!$G7</f>
        <v>8.8436491129844281</v>
      </c>
      <c r="F8" s="106">
        <f>'Data Entry'!E7</f>
        <v>63</v>
      </c>
      <c r="G8" s="105">
        <f>Hispanic!G7</f>
        <v>0.78052638710114497</v>
      </c>
      <c r="H8" s="106">
        <f>'Data Entry'!F7</f>
        <v>17</v>
      </c>
      <c r="I8" s="105">
        <f>Asian!G7</f>
        <v>1.0200254976494356</v>
      </c>
      <c r="J8" s="106">
        <f>'Data Entry'!G7</f>
        <v>0</v>
      </c>
      <c r="K8" s="105" t="str">
        <f>Hawaiian!G7</f>
        <v>*</v>
      </c>
      <c r="L8" s="106">
        <f>'Data Entry'!H7</f>
        <v>0</v>
      </c>
      <c r="M8" s="105" t="str">
        <f>'Am Indian'!G7</f>
        <v>*</v>
      </c>
      <c r="N8" s="106">
        <f>'Data Entry'!I7</f>
        <v>0</v>
      </c>
      <c r="O8" s="105" t="str">
        <f>'Other - Mixed'!G7</f>
        <v>*</v>
      </c>
      <c r="P8" s="106">
        <f>'Data Entry'!J7</f>
        <v>233</v>
      </c>
      <c r="Q8" s="107">
        <f>'All Minorities'!G7</f>
        <v>2.0018184319673562</v>
      </c>
      <c r="R8"/>
      <c r="T8" s="1">
        <f>'Black or African-American'!L7</f>
        <v>1</v>
      </c>
      <c r="U8" s="1">
        <f>Hispanic!L7</f>
        <v>2</v>
      </c>
      <c r="V8" s="1">
        <f>Asian!L7</f>
        <v>2</v>
      </c>
      <c r="W8" s="1" t="e">
        <f>Hawaiian!L7</f>
        <v>#VALUE!</v>
      </c>
      <c r="X8" s="1">
        <f>'Am Indian'!L7</f>
        <v>139</v>
      </c>
      <c r="Y8" s="1" t="e">
        <f>'Other - Mixed'!L7</f>
        <v>#VALUE!</v>
      </c>
      <c r="Z8" s="1">
        <f>'All Minorities'!L7</f>
        <v>1</v>
      </c>
    </row>
    <row r="9" spans="2:26" s="1" customFormat="1" ht="15" customHeight="1">
      <c r="B9" s="142" t="s">
        <v>134</v>
      </c>
      <c r="C9" s="103">
        <f>'Data Entry'!C8</f>
        <v>384</v>
      </c>
      <c r="D9" s="108">
        <f>'Data Entry'!D8</f>
        <v>86</v>
      </c>
      <c r="E9" s="109">
        <f>'Black or African-American'!$G8</f>
        <v>0.59429466230936812</v>
      </c>
      <c r="F9" s="110">
        <f>'Data Entry'!E8</f>
        <v>204</v>
      </c>
      <c r="G9" s="109">
        <f>Hispanic!G8</f>
        <v>3.4236111111111107</v>
      </c>
      <c r="H9" s="110">
        <f>'Data Entry'!F8</f>
        <v>14</v>
      </c>
      <c r="I9" s="109" t="str">
        <f>Asian!G8</f>
        <v>**</v>
      </c>
      <c r="J9" s="110">
        <f>'Data Entry'!G8</f>
        <v>0</v>
      </c>
      <c r="K9" s="109" t="str">
        <f>Hawaiian!G8</f>
        <v>*</v>
      </c>
      <c r="L9" s="110">
        <f>'Data Entry'!H8</f>
        <v>7</v>
      </c>
      <c r="M9" s="109" t="str">
        <f>'Am Indian'!G8</f>
        <v>*</v>
      </c>
      <c r="N9" s="110">
        <f>'Data Entry'!I8</f>
        <v>85</v>
      </c>
      <c r="O9" s="109" t="str">
        <f>'Other - Mixed'!G8</f>
        <v>*</v>
      </c>
      <c r="P9" s="110">
        <f>'Data Entry'!J8</f>
        <v>396</v>
      </c>
      <c r="Q9" s="111">
        <f>'All Minorities'!G8</f>
        <v>1.7969420600858366</v>
      </c>
      <c r="R9"/>
      <c r="T9" s="1">
        <f>'Black or African-American'!L8</f>
        <v>1</v>
      </c>
      <c r="U9" s="1">
        <f>Hispanic!L8</f>
        <v>1</v>
      </c>
      <c r="V9" s="1">
        <f>Asian!L8</f>
        <v>20</v>
      </c>
      <c r="W9" s="1">
        <f>Hawaiian!L8</f>
        <v>139</v>
      </c>
      <c r="X9" s="1">
        <f>'Am Indian'!L8</f>
        <v>119</v>
      </c>
      <c r="Y9" s="1">
        <f>'Other - Mixed'!L8</f>
        <v>119</v>
      </c>
      <c r="Z9" s="1">
        <f>'All Minorities'!L8</f>
        <v>1</v>
      </c>
    </row>
    <row r="10" spans="2:26" s="1" customFormat="1" ht="15" customHeight="1">
      <c r="B10" s="142" t="s">
        <v>10</v>
      </c>
      <c r="C10" s="103">
        <f>'Data Entry'!C9</f>
        <v>116</v>
      </c>
      <c r="D10" s="112">
        <f>'Data Entry'!D9</f>
        <v>16</v>
      </c>
      <c r="E10" s="113">
        <f>'Black or African-American'!$G9</f>
        <v>0.61587810745789895</v>
      </c>
      <c r="F10" s="114">
        <f>'Data Entry'!E9</f>
        <v>51</v>
      </c>
      <c r="G10" s="113">
        <f>Hispanic!G9</f>
        <v>0.82758620689655171</v>
      </c>
      <c r="H10" s="114">
        <f>'Data Entry'!F9</f>
        <v>4</v>
      </c>
      <c r="I10" s="113" t="str">
        <f>Asian!G9</f>
        <v>**</v>
      </c>
      <c r="J10" s="114">
        <f>'Data Entry'!G9</f>
        <v>0</v>
      </c>
      <c r="K10" s="113" t="str">
        <f>Hawaiian!G9</f>
        <v>*</v>
      </c>
      <c r="L10" s="114">
        <f>'Data Entry'!H9</f>
        <v>1</v>
      </c>
      <c r="M10" s="113" t="str">
        <f>'Am Indian'!G9</f>
        <v>*</v>
      </c>
      <c r="N10" s="114">
        <f>'Data Entry'!I9</f>
        <v>12</v>
      </c>
      <c r="O10" s="113" t="str">
        <f>'Other - Mixed'!G9</f>
        <v>*</v>
      </c>
      <c r="P10" s="114">
        <f>'Data Entry'!J9</f>
        <v>84</v>
      </c>
      <c r="Q10" s="115">
        <f>'All Minorities'!G9</f>
        <v>0.70219435736677105</v>
      </c>
      <c r="R10"/>
      <c r="T10" s="1">
        <f>'Black or African-American'!L9</f>
        <v>1</v>
      </c>
      <c r="U10" s="1">
        <f>Hispanic!L9</f>
        <v>2</v>
      </c>
      <c r="V10" s="1">
        <f>Asian!L9</f>
        <v>40</v>
      </c>
      <c r="W10" s="1" t="e">
        <f>Hawaiian!L9</f>
        <v>#VALUE!</v>
      </c>
      <c r="X10" s="1">
        <f>'Am Indian'!L9</f>
        <v>139</v>
      </c>
      <c r="Y10" s="1">
        <f>'Other - Mixed'!L9</f>
        <v>100</v>
      </c>
      <c r="Z10" s="1">
        <f>'All Minorities'!L9</f>
        <v>1</v>
      </c>
    </row>
    <row r="11" spans="2:26" s="1" customFormat="1" ht="15" customHeight="1">
      <c r="B11" s="142" t="s">
        <v>11</v>
      </c>
      <c r="C11" s="103">
        <f>'Data Entry'!C10</f>
        <v>64</v>
      </c>
      <c r="D11" s="108">
        <f>'Data Entry'!D10</f>
        <v>31</v>
      </c>
      <c r="E11" s="109">
        <f>'Black or African-American'!$G10</f>
        <v>2.1627906976744184</v>
      </c>
      <c r="F11" s="110">
        <f>'Data Entry'!E10</f>
        <v>50</v>
      </c>
      <c r="G11" s="109">
        <f>Hispanic!G10</f>
        <v>1.4705882352941175</v>
      </c>
      <c r="H11" s="110">
        <f>'Data Entry'!F10</f>
        <v>1</v>
      </c>
      <c r="I11" s="109" t="str">
        <f>Asian!G10</f>
        <v>**</v>
      </c>
      <c r="J11" s="110">
        <f>'Data Entry'!G10</f>
        <v>0</v>
      </c>
      <c r="K11" s="109" t="str">
        <f>Hawaiian!G10</f>
        <v>*</v>
      </c>
      <c r="L11" s="110">
        <f>'Data Entry'!H10</f>
        <v>0</v>
      </c>
      <c r="M11" s="109" t="str">
        <f>'Am Indian'!G10</f>
        <v>*</v>
      </c>
      <c r="N11" s="110">
        <f>'Data Entry'!I10</f>
        <v>26</v>
      </c>
      <c r="O11" s="109" t="str">
        <f>'Other - Mixed'!G10</f>
        <v>*</v>
      </c>
      <c r="P11" s="110">
        <f>'Data Entry'!J10</f>
        <v>108</v>
      </c>
      <c r="Q11" s="111">
        <f>'All Minorities'!G10</f>
        <v>1.6363636363636362</v>
      </c>
      <c r="R11"/>
      <c r="T11" s="1">
        <f>'Black or African-American'!L10</f>
        <v>1</v>
      </c>
      <c r="U11" s="1">
        <f>Hispanic!L10</f>
        <v>1</v>
      </c>
      <c r="V11" s="1">
        <f>Asian!L10</f>
        <v>40</v>
      </c>
      <c r="W11" s="1" t="e">
        <f>Hawaiian!L10</f>
        <v>#VALUE!</v>
      </c>
      <c r="X11" s="1">
        <f>'Am Indian'!L10</f>
        <v>139</v>
      </c>
      <c r="Y11" s="1">
        <f>'Other - Mixed'!L10</f>
        <v>100</v>
      </c>
      <c r="Z11" s="1">
        <f>'All Minorities'!L10</f>
        <v>1</v>
      </c>
    </row>
    <row r="12" spans="2:26" s="1" customFormat="1" ht="15" customHeight="1">
      <c r="B12" s="142" t="s">
        <v>95</v>
      </c>
      <c r="C12" s="103">
        <f>'Data Entry'!C11</f>
        <v>268</v>
      </c>
      <c r="D12" s="112">
        <f>'Data Entry'!D11</f>
        <v>70</v>
      </c>
      <c r="E12" s="113">
        <f>'Black or African-American'!$G11</f>
        <v>1.1662617146824017</v>
      </c>
      <c r="F12" s="114">
        <f>'Data Entry'!E11</f>
        <v>153</v>
      </c>
      <c r="G12" s="113">
        <f>Hispanic!G11</f>
        <v>1.0746268656716418</v>
      </c>
      <c r="H12" s="114">
        <f>'Data Entry'!F11</f>
        <v>10</v>
      </c>
      <c r="I12" s="113" t="str">
        <f>Asian!G11</f>
        <v>**</v>
      </c>
      <c r="J12" s="114">
        <f>'Data Entry'!G11</f>
        <v>0</v>
      </c>
      <c r="K12" s="113" t="str">
        <f>Hawaiian!G11</f>
        <v>*</v>
      </c>
      <c r="L12" s="114">
        <f>'Data Entry'!H11</f>
        <v>6</v>
      </c>
      <c r="M12" s="113" t="str">
        <f>'Am Indian'!G11</f>
        <v>*</v>
      </c>
      <c r="N12" s="114">
        <f>'Data Entry'!I11</f>
        <v>73</v>
      </c>
      <c r="O12" s="113" t="str">
        <f>'Other - Mixed'!G11</f>
        <v>*</v>
      </c>
      <c r="P12" s="114">
        <f>'Data Entry'!J11</f>
        <v>312</v>
      </c>
      <c r="Q12" s="115">
        <f>'All Minorities'!G11</f>
        <v>1.1289009497964719</v>
      </c>
      <c r="R12"/>
      <c r="T12" s="1">
        <f>'Black or African-American'!L11</f>
        <v>1</v>
      </c>
      <c r="U12" s="1">
        <f>Hispanic!L11</f>
        <v>2</v>
      </c>
      <c r="V12" s="1">
        <f>Asian!L11</f>
        <v>40</v>
      </c>
      <c r="W12" s="1" t="e">
        <f>Hawaiian!L11</f>
        <v>#VALUE!</v>
      </c>
      <c r="X12" s="1">
        <f>'Am Indian'!L11</f>
        <v>139</v>
      </c>
      <c r="Y12" s="1">
        <f>'Other - Mixed'!L11</f>
        <v>100</v>
      </c>
      <c r="Z12" s="1">
        <f>'All Minorities'!L11</f>
        <v>1</v>
      </c>
    </row>
    <row r="13" spans="2:26" s="1" customFormat="1" ht="15" customHeight="1">
      <c r="B13" s="142" t="s">
        <v>13</v>
      </c>
      <c r="C13" s="103">
        <f>'Data Entry'!C12</f>
        <v>130</v>
      </c>
      <c r="D13" s="108">
        <f>'Data Entry'!D12</f>
        <v>35</v>
      </c>
      <c r="E13" s="109">
        <f>'Black or African-American'!$G12</f>
        <v>1.0307692307692309</v>
      </c>
      <c r="F13" s="110">
        <f>'Data Entry'!E12</f>
        <v>88</v>
      </c>
      <c r="G13" s="109">
        <f>Hispanic!G12</f>
        <v>1.1857214680744095</v>
      </c>
      <c r="H13" s="110">
        <f>'Data Entry'!F12</f>
        <v>5</v>
      </c>
      <c r="I13" s="109" t="str">
        <f>Asian!G12</f>
        <v>**</v>
      </c>
      <c r="J13" s="110">
        <f>'Data Entry'!G12</f>
        <v>0</v>
      </c>
      <c r="K13" s="109" t="str">
        <f>Hawaiian!G12</f>
        <v>*</v>
      </c>
      <c r="L13" s="110">
        <f>'Data Entry'!H12</f>
        <v>3</v>
      </c>
      <c r="M13" s="109" t="str">
        <f>'Am Indian'!G12</f>
        <v>*</v>
      </c>
      <c r="N13" s="110">
        <f>'Data Entry'!I12</f>
        <v>38</v>
      </c>
      <c r="O13" s="109" t="str">
        <f>'Other - Mixed'!G12</f>
        <v>*</v>
      </c>
      <c r="P13" s="110">
        <f>'Data Entry'!J12</f>
        <v>169</v>
      </c>
      <c r="Q13" s="111">
        <f>'All Minorities'!G12</f>
        <v>1.1166666666666667</v>
      </c>
      <c r="R13"/>
      <c r="T13" s="1">
        <f>'Black or African-American'!L12</f>
        <v>2</v>
      </c>
      <c r="U13" s="1">
        <f>Hispanic!L12</f>
        <v>2</v>
      </c>
      <c r="V13" s="1">
        <f>Asian!L12</f>
        <v>40</v>
      </c>
      <c r="W13" s="1" t="e">
        <f>Hawaiian!L12</f>
        <v>#VALUE!</v>
      </c>
      <c r="X13" s="1">
        <f>'Am Indian'!L12</f>
        <v>139</v>
      </c>
      <c r="Y13" s="1">
        <f>'Other - Mixed'!L12</f>
        <v>101</v>
      </c>
      <c r="Z13" s="1">
        <f>'All Minorities'!L12</f>
        <v>2</v>
      </c>
    </row>
    <row r="14" spans="2:26" s="1" customFormat="1" ht="15" customHeight="1">
      <c r="B14" s="142" t="s">
        <v>133</v>
      </c>
      <c r="C14" s="103">
        <f>'Data Entry'!C13</f>
        <v>127</v>
      </c>
      <c r="D14" s="112">
        <f>'Data Entry'!D13</f>
        <v>37</v>
      </c>
      <c r="E14" s="113">
        <f>'Black or African-American'!$G13</f>
        <v>1.0821147356580427</v>
      </c>
      <c r="F14" s="114">
        <f>'Data Entry'!E13</f>
        <v>60</v>
      </c>
      <c r="G14" s="113">
        <f>Hispanic!G13</f>
        <v>0.69792412312097352</v>
      </c>
      <c r="H14" s="114">
        <f>'Data Entry'!F13</f>
        <v>1</v>
      </c>
      <c r="I14" s="113" t="str">
        <f>Asian!G13</f>
        <v>**</v>
      </c>
      <c r="J14" s="114">
        <f>'Data Entry'!G13</f>
        <v>0</v>
      </c>
      <c r="K14" s="113" t="str">
        <f>Hawaiian!G13</f>
        <v>*</v>
      </c>
      <c r="L14" s="114">
        <f>'Data Entry'!H13</f>
        <v>0</v>
      </c>
      <c r="M14" s="113" t="str">
        <f>'Am Indian'!G13</f>
        <v>*</v>
      </c>
      <c r="N14" s="114">
        <f>'Data Entry'!I13</f>
        <v>21</v>
      </c>
      <c r="O14" s="113" t="str">
        <f>'Other - Mixed'!G13</f>
        <v>*</v>
      </c>
      <c r="P14" s="114">
        <f>'Data Entry'!J13</f>
        <v>119</v>
      </c>
      <c r="Q14" s="115">
        <f>'All Minorities'!G13</f>
        <v>0.72077528770442156</v>
      </c>
      <c r="R14"/>
      <c r="T14" s="1">
        <f>'Black or African-American'!L13</f>
        <v>1</v>
      </c>
      <c r="U14" s="1">
        <f>Hispanic!L13</f>
        <v>1</v>
      </c>
      <c r="V14" s="1">
        <f>Asian!L13</f>
        <v>20</v>
      </c>
      <c r="W14" s="1" t="e">
        <f>Hawaiian!L13</f>
        <v>#VALUE!</v>
      </c>
      <c r="X14" s="1">
        <f>'Am Indian'!L13</f>
        <v>119</v>
      </c>
      <c r="Y14" s="1">
        <f>'Other - Mixed'!L13</f>
        <v>100</v>
      </c>
      <c r="Z14" s="1">
        <f>'All Minorities'!L13</f>
        <v>1</v>
      </c>
    </row>
    <row r="15" spans="2:26" s="1" customFormat="1" ht="33">
      <c r="B15" s="144" t="s">
        <v>123</v>
      </c>
      <c r="C15" s="103">
        <f>'Data Entry'!C14</f>
        <v>2</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f>'Black or African-American'!L14</f>
        <v>40</v>
      </c>
      <c r="U15" s="1">
        <f>Hispanic!L14</f>
        <v>40</v>
      </c>
      <c r="V15" s="1">
        <f>Asian!L14</f>
        <v>40</v>
      </c>
      <c r="W15" s="1" t="e">
        <f>Hawaiian!L14</f>
        <v>#VALUE!</v>
      </c>
      <c r="X15" s="1">
        <f>'Am Indian'!L14</f>
        <v>139</v>
      </c>
      <c r="Y15" s="1">
        <f>'Other - Mixed'!L14</f>
        <v>139</v>
      </c>
      <c r="Z15" s="1">
        <f>'All Minorities'!L14</f>
        <v>40</v>
      </c>
    </row>
    <row r="16" spans="2:26" s="1" customFormat="1" ht="15" customHeight="1">
      <c r="B16" s="142" t="s">
        <v>16</v>
      </c>
      <c r="C16" s="103">
        <f>'Data Entry'!C15</f>
        <v>0</v>
      </c>
      <c r="D16" s="116">
        <f>'Data Entry'!D15</f>
        <v>0</v>
      </c>
      <c r="E16" s="117" t="str">
        <f>'Black or African-American'!$G15</f>
        <v>--</v>
      </c>
      <c r="F16" s="118">
        <f>'Data Entry'!E15</f>
        <v>1</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1</v>
      </c>
      <c r="Q16" s="119" t="str">
        <f>'All Minorities'!G15</f>
        <v>**</v>
      </c>
      <c r="R16"/>
      <c r="T16" s="1" t="e">
        <f>'Black or African-American'!L15</f>
        <v>#VALUE!</v>
      </c>
      <c r="U16" s="1">
        <f>Hispanic!L15</f>
        <v>40</v>
      </c>
      <c r="V16" s="1" t="e">
        <f>Asian!L15</f>
        <v>#VALUE!</v>
      </c>
      <c r="W16" s="1" t="e">
        <f>Hawaiian!L15</f>
        <v>#VALUE!</v>
      </c>
      <c r="X16" s="1" t="e">
        <f>'Am Indian'!L15</f>
        <v>#VALUE!</v>
      </c>
      <c r="Y16" s="1" t="e">
        <f>'Other - Mixed'!L15</f>
        <v>#VALUE!</v>
      </c>
      <c r="Z16" s="1">
        <f>'All Minorities'!L15</f>
        <v>40</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Ottawa</v>
      </c>
    </row>
    <row r="6" spans="1:12">
      <c r="A6" s="135" t="str">
        <f>CONCATENATE("Percentage of Minorities at Stages of the Juvenile Justice System, ", A5, " 2024")</f>
        <v>Percentage of Minorities at Stages of the Juvenile Justice System, County: Ottawa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N=1</v>
      </c>
      <c r="B7" s="150">
        <f>'Data Entry'!D15/'Data Entry'!B15</f>
        <v>0</v>
      </c>
      <c r="C7" s="150">
        <f>'Data Entry'!E15/'Data Entry'!B15</f>
        <v>1</v>
      </c>
      <c r="D7" s="150">
        <f>'Data Entry'!F15/'Data Entry'!B15</f>
        <v>0</v>
      </c>
      <c r="E7" s="150">
        <f>'Data Entry'!G15/'Data Entry'!B15</f>
        <v>0</v>
      </c>
      <c r="F7" s="150">
        <f>'Data Entry'!H15/'Data Entry'!B15</f>
        <v>0</v>
      </c>
      <c r="G7" s="150">
        <f>'Data Entry'!I15/'Data Entry'!B15</f>
        <v>0</v>
      </c>
      <c r="H7" s="150">
        <f>SUM(D7:G7)/'Data Entry'!B15</f>
        <v>0</v>
      </c>
      <c r="I7" s="150">
        <f>'Data Entry'!C15/'Data Entry'!B15</f>
        <v>0</v>
      </c>
      <c r="K7" s="96" t="str">
        <f t="shared" ref="K7:K14" si="0">A7</f>
        <v>Waivers, total N=1</v>
      </c>
      <c r="L7">
        <f>I14/(SUM(B14:G14))</f>
        <v>3.4881471389645782</v>
      </c>
    </row>
    <row r="8" spans="1:12" ht="25.5" customHeight="1">
      <c r="A8" s="151" t="str">
        <f>CONCATENATE("Confinement, total N=", 'Data Entry'!B14)</f>
        <v>Confinement, total N=2</v>
      </c>
      <c r="B8" s="150">
        <f>'Data Entry'!D14/'Data Entry'!B14</f>
        <v>0</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1</v>
      </c>
      <c r="K8" s="96" t="str">
        <f>A8</f>
        <v>Confinement, total N=2</v>
      </c>
      <c r="L8">
        <f>I14/(SUM(B14:G14))</f>
        <v>3.4881471389645782</v>
      </c>
    </row>
    <row r="9" spans="1:12">
      <c r="A9" s="128" t="str">
        <f>CONCATENATE("Delinquent Findings, total N=", 'Data Entry'!B12)</f>
        <v>Delinquent Findings, total N=317</v>
      </c>
      <c r="B9" s="150">
        <f>'Data Entry'!D12/'Data Entry'!B12</f>
        <v>0.11041009463722397</v>
      </c>
      <c r="C9" s="150">
        <f>'Data Entry'!E12/'Data Entry'!B12</f>
        <v>0.27760252365930599</v>
      </c>
      <c r="D9" s="150">
        <f>'Data Entry'!F12/'Data Entry'!B12</f>
        <v>1.5772870662460567E-2</v>
      </c>
      <c r="E9" s="150">
        <f>'Data Entry'!G12/'Data Entry'!B12</f>
        <v>0</v>
      </c>
      <c r="F9" s="150">
        <f>'Data Entry'!H12/'Data Entry'!B12</f>
        <v>9.4637223974763408E-3</v>
      </c>
      <c r="G9" s="150">
        <f>'Data Entry'!I12/'Data Entry'!B12</f>
        <v>0.11987381703470032</v>
      </c>
      <c r="H9" s="150">
        <f>SUM(D9:G9)/'Data Entry'!B12</f>
        <v>4.5776154603986512E-4</v>
      </c>
      <c r="I9" s="150">
        <f>'Data Entry'!C12/'Data Entry'!B12</f>
        <v>0.41009463722397477</v>
      </c>
      <c r="K9" s="96" t="str">
        <f t="shared" si="0"/>
        <v>Delinquent Findings, total N=317</v>
      </c>
      <c r="L9">
        <f>I14/(SUM(B14:G14))</f>
        <v>3.4881471389645782</v>
      </c>
    </row>
    <row r="10" spans="1:12">
      <c r="A10" s="128" t="str">
        <f>CONCATENATE("Petitions, total N=", 'Data Entry'!B11)</f>
        <v>Petitions, total N=618</v>
      </c>
      <c r="B10" s="150">
        <f>'Data Entry'!D11/'Data Entry'!B11</f>
        <v>0.11326860841423948</v>
      </c>
      <c r="C10" s="150">
        <f>'Data Entry'!E11/'Data Entry'!B11</f>
        <v>0.24757281553398058</v>
      </c>
      <c r="D10" s="150">
        <f>'Data Entry'!F11/'Data Entry'!B11</f>
        <v>1.6181229773462782E-2</v>
      </c>
      <c r="E10" s="150">
        <f>'Data Entry'!G11/'Data Entry'!B11</f>
        <v>0</v>
      </c>
      <c r="F10" s="150">
        <f>'Data Entry'!H11/'Data Entry'!B11</f>
        <v>9.7087378640776691E-3</v>
      </c>
      <c r="G10" s="150">
        <f>'Data Entry'!I11/'Data Entry'!B11</f>
        <v>0.11812297734627832</v>
      </c>
      <c r="H10" s="150">
        <f>SUM(D10:G10)/'Data Entry'!B11</f>
        <v>2.3303065531362263E-4</v>
      </c>
      <c r="I10" s="150">
        <f>'Data Entry'!C11/'Data Entry'!B11</f>
        <v>0.4336569579288026</v>
      </c>
      <c r="K10" s="96" t="str">
        <f t="shared" si="0"/>
        <v>Petitions, total N=618</v>
      </c>
      <c r="L10">
        <f>I14/(SUM(B14:G14))</f>
        <v>3.4881471389645782</v>
      </c>
    </row>
    <row r="11" spans="1:12">
      <c r="A11" s="128" t="str">
        <f>CONCATENATE("Detentions, total N=", 'Data Entry'!B10)</f>
        <v>Detentions, total N=173</v>
      </c>
      <c r="B11" s="150">
        <f>'Data Entry'!D10/'Data Entry'!B10</f>
        <v>0.1791907514450867</v>
      </c>
      <c r="C11" s="150">
        <f>'Data Entry'!E10/'Data Entry'!B10</f>
        <v>0.28901734104046245</v>
      </c>
      <c r="D11" s="150">
        <f>'Data Entry'!F10/'Data Entry'!B10</f>
        <v>5.7803468208092483E-3</v>
      </c>
      <c r="E11" s="150">
        <f>'Data Entry'!G10/'Data Entry'!B10</f>
        <v>0</v>
      </c>
      <c r="F11" s="150">
        <f>'Data Entry'!H10/'Data Entry'!B10</f>
        <v>0</v>
      </c>
      <c r="G11" s="150">
        <f>'Data Entry'!I10/'Data Entry'!B10</f>
        <v>0.15028901734104047</v>
      </c>
      <c r="H11" s="150">
        <f>SUM(D11:G11)/'Data Entry'!B10</f>
        <v>9.021350529586689E-4</v>
      </c>
      <c r="I11" s="150">
        <f>'Data Entry'!C10/'Data Entry'!B10</f>
        <v>0.36994219653179189</v>
      </c>
      <c r="K11" s="96" t="str">
        <f t="shared" si="0"/>
        <v>Detentions, total N=173</v>
      </c>
      <c r="L11">
        <f>I14/(SUM(B14:G14))</f>
        <v>3.4881471389645782</v>
      </c>
    </row>
    <row r="12" spans="1:12">
      <c r="A12" s="128" t="str">
        <f>CONCATENATE("Referrals, total N=", 'Data Entry'!B8)</f>
        <v>Referrals, total N=818</v>
      </c>
      <c r="B12" s="150">
        <f>'Data Entry'!D8/'Data Entry'!B8</f>
        <v>0.10513447432762836</v>
      </c>
      <c r="C12" s="150">
        <f>'Data Entry'!E8/'Data Entry'!B8</f>
        <v>0.24938875305623473</v>
      </c>
      <c r="D12" s="150">
        <f>'Data Entry'!F8/'Data Entry'!B8</f>
        <v>1.7114914425427872E-2</v>
      </c>
      <c r="E12" s="150">
        <f>'Data Entry'!G8/'Data Entry'!B8</f>
        <v>0</v>
      </c>
      <c r="F12" s="150">
        <f>'Data Entry'!H8/'Data Entry'!B8</f>
        <v>8.557457212713936E-3</v>
      </c>
      <c r="G12" s="150">
        <f>'Data Entry'!I8/'Data Entry'!B8</f>
        <v>0.10391198044009781</v>
      </c>
      <c r="H12" s="150">
        <f>SUM(D12:G12)/'Data Entry'!B8</f>
        <v>1.5841607833525626E-4</v>
      </c>
      <c r="I12" s="150">
        <f>'Data Entry'!C8/'Data Entry'!B8</f>
        <v>0.46943765281173594</v>
      </c>
      <c r="K12" s="96" t="str">
        <f t="shared" si="0"/>
        <v>Referrals, total N=818</v>
      </c>
      <c r="L12">
        <f>I14/(SUM(B14:G14))</f>
        <v>3.4881471389645782</v>
      </c>
    </row>
    <row r="13" spans="1:12">
      <c r="A13" s="128" t="str">
        <f>CONCATENATE("Arrests, total N=", 'Data Entry'!B7)</f>
        <v>Arrests, total N=727</v>
      </c>
      <c r="B13" s="150">
        <f>'Data Entry'!D7/'Data Entry'!B7</f>
        <v>0.21045392022008252</v>
      </c>
      <c r="C13" s="150">
        <f>'Data Entry'!E7/'Data Entry'!B7</f>
        <v>8.6657496561210454E-2</v>
      </c>
      <c r="D13" s="150">
        <f>'Data Entry'!F7/'Data Entry'!B7</f>
        <v>2.3383768913342505E-2</v>
      </c>
      <c r="E13" s="150">
        <f>'Data Entry'!G7/'Data Entry'!B7</f>
        <v>0</v>
      </c>
      <c r="F13" s="150">
        <f>'Data Entry'!H7/'Data Entry'!B7</f>
        <v>0</v>
      </c>
      <c r="G13" s="150">
        <f>'Data Entry'!I7/'Data Entry'!B7</f>
        <v>0</v>
      </c>
      <c r="H13" s="150">
        <f>SUM(D13:G13)/'Data Entry'!B7</f>
        <v>3.2164744034859018E-5</v>
      </c>
      <c r="I13" s="150">
        <f>'Data Entry'!C7/'Data Entry'!B7</f>
        <v>0.55845942228335621</v>
      </c>
      <c r="K13" s="96" t="str">
        <f t="shared" si="0"/>
        <v>Arrests, total N=727</v>
      </c>
      <c r="L13">
        <f>I14/(SUM(B14:G14))</f>
        <v>3.4881471389645782</v>
      </c>
    </row>
    <row r="14" spans="1:12">
      <c r="A14" s="128" t="str">
        <f>CONCATENATE("Population, total N=", 'Data Entry'!B6)</f>
        <v>Population, total N=32943</v>
      </c>
      <c r="B14" s="150">
        <f>'Data Entry'!D6/'Data Entry'!B6</f>
        <v>3.3117809549828493E-2</v>
      </c>
      <c r="C14" s="150">
        <f>'Data Entry'!E6/'Data Entry'!B6</f>
        <v>0.15450930394924567</v>
      </c>
      <c r="D14" s="150">
        <f>'Data Entry'!F6/'Data Entry'!B6</f>
        <v>3.1903591051209663E-2</v>
      </c>
      <c r="E14" s="150">
        <f>'Data Entry'!G6/'Data Entry'!B6</f>
        <v>0</v>
      </c>
      <c r="F14" s="150">
        <f>'Data Entry'!H6/'Data Entry'!B6</f>
        <v>3.2783899462708313E-3</v>
      </c>
      <c r="G14" s="150">
        <f>'Data Entry'!I6/'Data Entry'!B6</f>
        <v>0</v>
      </c>
      <c r="H14" s="150">
        <f>SUM(D14:G14)/'Data Entry'!B6</f>
        <v>1.0679653036299213E-6</v>
      </c>
      <c r="I14" s="150">
        <f>'Data Entry'!C6/'Data Entry'!B6</f>
        <v>0.77719090550344538</v>
      </c>
      <c r="K14" s="96" t="str">
        <f t="shared" si="0"/>
        <v>Population, total N=32943</v>
      </c>
      <c r="L14">
        <f>I14/(SUM(B14:G14))</f>
        <v>3.4881471389645782</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Ottawa</v>
      </c>
      <c r="C4" s="102"/>
      <c r="D4" s="102"/>
      <c r="E4" s="120"/>
      <c r="F4" s="120"/>
      <c r="G4" s="120"/>
      <c r="H4" s="177" t="str">
        <f>'Data Entry'!C4</f>
        <v>10/1/23 through 9/30/24</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25603</v>
      </c>
      <c r="D7" s="104">
        <f>'Data Entry'!D6</f>
        <v>1091</v>
      </c>
      <c r="E7" s="105"/>
      <c r="F7" s="106">
        <f>'Data Entry'!E6</f>
        <v>5090</v>
      </c>
      <c r="G7" s="105"/>
      <c r="H7" s="106">
        <f>'Data Entry'!F6</f>
        <v>1051</v>
      </c>
      <c r="I7" s="105"/>
      <c r="J7" s="106">
        <f>'Data Entry'!J6</f>
        <v>7340</v>
      </c>
      <c r="K7" s="107"/>
    </row>
    <row r="8" spans="2:30" s="1" customFormat="1" ht="15" customHeight="1">
      <c r="B8" s="121" t="s">
        <v>8</v>
      </c>
      <c r="C8" s="103">
        <f>'Data Entry'!C7</f>
        <v>406</v>
      </c>
      <c r="D8" s="104">
        <f>'Data Entry'!D7</f>
        <v>153</v>
      </c>
      <c r="E8" s="105">
        <f>'Black or African-American'!$G7</f>
        <v>8.8436491129844281</v>
      </c>
      <c r="F8" s="106">
        <f>'Data Entry'!E7</f>
        <v>63</v>
      </c>
      <c r="G8" s="105">
        <f>Hispanic!G7</f>
        <v>0.78052638710114497</v>
      </c>
      <c r="H8" s="106">
        <f>'Data Entry'!F7</f>
        <v>17</v>
      </c>
      <c r="I8" s="105">
        <f>Asian!G7</f>
        <v>1.0200254976494356</v>
      </c>
      <c r="J8" s="106">
        <f>'Data Entry'!J7</f>
        <v>233</v>
      </c>
      <c r="K8" s="107">
        <f>'All Minorities'!G7</f>
        <v>2.0018184319673562</v>
      </c>
      <c r="L8"/>
      <c r="N8" s="1">
        <f>'Black or African-American'!L7</f>
        <v>1</v>
      </c>
      <c r="O8" s="1">
        <f>Hispanic!L7</f>
        <v>2</v>
      </c>
      <c r="P8" s="1">
        <f>Asian!L7</f>
        <v>2</v>
      </c>
      <c r="Q8" s="1" t="e">
        <f>Hawaiian!L7</f>
        <v>#VALUE!</v>
      </c>
      <c r="R8" s="1">
        <f>'Am Indian'!L7</f>
        <v>139</v>
      </c>
      <c r="S8" s="1" t="e">
        <f>'Other - Mixed'!L7</f>
        <v>#VALUE!</v>
      </c>
      <c r="T8" s="1">
        <f>'All Minorities'!L7</f>
        <v>1</v>
      </c>
    </row>
    <row r="9" spans="2:30" s="1" customFormat="1" ht="15" customHeight="1">
      <c r="B9" s="121" t="s">
        <v>134</v>
      </c>
      <c r="C9" s="103">
        <f>'Data Entry'!C8</f>
        <v>384</v>
      </c>
      <c r="D9" s="108">
        <f>'Data Entry'!D8</f>
        <v>86</v>
      </c>
      <c r="E9" s="109">
        <f>'Black or African-American'!$G8</f>
        <v>0.59429466230936812</v>
      </c>
      <c r="F9" s="110">
        <f>'Data Entry'!E8</f>
        <v>204</v>
      </c>
      <c r="G9" s="109">
        <f>Hispanic!G8</f>
        <v>3.4236111111111107</v>
      </c>
      <c r="H9" s="110">
        <f>'Data Entry'!F8</f>
        <v>14</v>
      </c>
      <c r="I9" s="109" t="str">
        <f>Asian!G8</f>
        <v>**</v>
      </c>
      <c r="J9" s="110">
        <f>'Data Entry'!J8</f>
        <v>396</v>
      </c>
      <c r="K9" s="111">
        <f>'All Minorities'!G8</f>
        <v>1.7969420600858366</v>
      </c>
      <c r="L9"/>
      <c r="N9" s="1">
        <f>'Black or African-American'!L8</f>
        <v>1</v>
      </c>
      <c r="O9" s="1">
        <f>Hispanic!L8</f>
        <v>1</v>
      </c>
      <c r="P9" s="1">
        <f>Asian!L8</f>
        <v>20</v>
      </c>
      <c r="Q9" s="1">
        <f>Hawaiian!L8</f>
        <v>139</v>
      </c>
      <c r="R9" s="1">
        <f>'Am Indian'!L8</f>
        <v>119</v>
      </c>
      <c r="S9" s="1">
        <f>'Other - Mixed'!L8</f>
        <v>119</v>
      </c>
      <c r="T9" s="1">
        <f>'All Minorities'!L8</f>
        <v>1</v>
      </c>
    </row>
    <row r="10" spans="2:30" s="1" customFormat="1" ht="15" customHeight="1">
      <c r="B10" s="121" t="s">
        <v>10</v>
      </c>
      <c r="C10" s="103">
        <f>'Data Entry'!C9</f>
        <v>116</v>
      </c>
      <c r="D10" s="112">
        <f>'Data Entry'!D9</f>
        <v>16</v>
      </c>
      <c r="E10" s="113">
        <f>'Black or African-American'!$G9</f>
        <v>0.61587810745789895</v>
      </c>
      <c r="F10" s="114">
        <f>'Data Entry'!E9</f>
        <v>51</v>
      </c>
      <c r="G10" s="113">
        <f>Hispanic!G9</f>
        <v>0.82758620689655171</v>
      </c>
      <c r="H10" s="114">
        <f>'Data Entry'!F9</f>
        <v>4</v>
      </c>
      <c r="I10" s="113" t="str">
        <f>Asian!G9</f>
        <v>**</v>
      </c>
      <c r="J10" s="114">
        <f>'Data Entry'!J9</f>
        <v>84</v>
      </c>
      <c r="K10" s="115">
        <f>'All Minorities'!G9</f>
        <v>0.70219435736677105</v>
      </c>
      <c r="L10"/>
      <c r="N10" s="1">
        <f>'Black or African-American'!L9</f>
        <v>1</v>
      </c>
      <c r="O10" s="1">
        <f>Hispanic!L9</f>
        <v>2</v>
      </c>
      <c r="P10" s="1">
        <f>Asian!L9</f>
        <v>40</v>
      </c>
      <c r="Q10" s="1" t="e">
        <f>Hawaiian!L9</f>
        <v>#VALUE!</v>
      </c>
      <c r="R10" s="1">
        <f>'Am Indian'!L9</f>
        <v>139</v>
      </c>
      <c r="S10" s="1">
        <f>'Other - Mixed'!L9</f>
        <v>100</v>
      </c>
      <c r="T10" s="1">
        <f>'All Minorities'!L9</f>
        <v>1</v>
      </c>
    </row>
    <row r="11" spans="2:30" s="1" customFormat="1" ht="15" customHeight="1">
      <c r="B11" s="121" t="s">
        <v>11</v>
      </c>
      <c r="C11" s="103">
        <f>'Data Entry'!C10</f>
        <v>64</v>
      </c>
      <c r="D11" s="108">
        <f>'Data Entry'!D10</f>
        <v>31</v>
      </c>
      <c r="E11" s="109">
        <f>'Black or African-American'!$G10</f>
        <v>2.1627906976744184</v>
      </c>
      <c r="F11" s="110">
        <f>'Data Entry'!E10</f>
        <v>50</v>
      </c>
      <c r="G11" s="109">
        <f>Hispanic!G10</f>
        <v>1.4705882352941175</v>
      </c>
      <c r="H11" s="110">
        <f>'Data Entry'!F10</f>
        <v>1</v>
      </c>
      <c r="I11" s="109" t="str">
        <f>Asian!G10</f>
        <v>**</v>
      </c>
      <c r="J11" s="110">
        <f>'Data Entry'!J10</f>
        <v>108</v>
      </c>
      <c r="K11" s="111">
        <f>'All Minorities'!G10</f>
        <v>1.6363636363636362</v>
      </c>
      <c r="L11"/>
      <c r="N11" s="1">
        <f>'Black or African-American'!L10</f>
        <v>1</v>
      </c>
      <c r="O11" s="1">
        <f>Hispanic!L10</f>
        <v>1</v>
      </c>
      <c r="P11" s="1">
        <f>Asian!L10</f>
        <v>40</v>
      </c>
      <c r="Q11" s="1" t="e">
        <f>Hawaiian!L10</f>
        <v>#VALUE!</v>
      </c>
      <c r="R11" s="1">
        <f>'Am Indian'!L10</f>
        <v>139</v>
      </c>
      <c r="S11" s="1">
        <f>'Other - Mixed'!L10</f>
        <v>100</v>
      </c>
      <c r="T11" s="1">
        <f>'All Minorities'!L10</f>
        <v>1</v>
      </c>
    </row>
    <row r="12" spans="2:30" s="1" customFormat="1" ht="15" customHeight="1">
      <c r="B12" s="121" t="s">
        <v>95</v>
      </c>
      <c r="C12" s="103">
        <f>'Data Entry'!C11</f>
        <v>268</v>
      </c>
      <c r="D12" s="112">
        <f>'Data Entry'!D11</f>
        <v>70</v>
      </c>
      <c r="E12" s="113">
        <f>'Black or African-American'!$G11</f>
        <v>1.1662617146824017</v>
      </c>
      <c r="F12" s="114">
        <f>'Data Entry'!E11</f>
        <v>153</v>
      </c>
      <c r="G12" s="113">
        <f>Hispanic!G11</f>
        <v>1.0746268656716418</v>
      </c>
      <c r="H12" s="114">
        <f>'Data Entry'!F11</f>
        <v>10</v>
      </c>
      <c r="I12" s="113" t="str">
        <f>Asian!G11</f>
        <v>**</v>
      </c>
      <c r="J12" s="114">
        <f>'Data Entry'!J11</f>
        <v>312</v>
      </c>
      <c r="K12" s="115">
        <f>'All Minorities'!G11</f>
        <v>1.1289009497964719</v>
      </c>
      <c r="L12"/>
      <c r="N12" s="1">
        <f>'Black or African-American'!L11</f>
        <v>1</v>
      </c>
      <c r="O12" s="1">
        <f>Hispanic!L11</f>
        <v>2</v>
      </c>
      <c r="P12" s="1">
        <f>Asian!L11</f>
        <v>40</v>
      </c>
      <c r="Q12" s="1" t="e">
        <f>Hawaiian!L11</f>
        <v>#VALUE!</v>
      </c>
      <c r="R12" s="1">
        <f>'Am Indian'!L11</f>
        <v>139</v>
      </c>
      <c r="S12" s="1">
        <f>'Other - Mixed'!L11</f>
        <v>100</v>
      </c>
      <c r="T12" s="1">
        <f>'All Minorities'!L11</f>
        <v>1</v>
      </c>
    </row>
    <row r="13" spans="2:30" s="1" customFormat="1" ht="15" customHeight="1">
      <c r="B13" s="121" t="s">
        <v>13</v>
      </c>
      <c r="C13" s="103">
        <f>'Data Entry'!C12</f>
        <v>130</v>
      </c>
      <c r="D13" s="108">
        <f>'Data Entry'!D12</f>
        <v>35</v>
      </c>
      <c r="E13" s="109">
        <f>'Black or African-American'!$G12</f>
        <v>1.0307692307692309</v>
      </c>
      <c r="F13" s="110">
        <f>'Data Entry'!E12</f>
        <v>88</v>
      </c>
      <c r="G13" s="109">
        <f>Hispanic!G12</f>
        <v>1.1857214680744095</v>
      </c>
      <c r="H13" s="110">
        <f>'Data Entry'!F12</f>
        <v>5</v>
      </c>
      <c r="I13" s="109" t="str">
        <f>Asian!G12</f>
        <v>**</v>
      </c>
      <c r="J13" s="110">
        <f>'Data Entry'!J12</f>
        <v>169</v>
      </c>
      <c r="K13" s="111">
        <f>'All Minorities'!G12</f>
        <v>1.1166666666666667</v>
      </c>
      <c r="L13"/>
      <c r="N13" s="1">
        <f>'Black or African-American'!L12</f>
        <v>2</v>
      </c>
      <c r="O13" s="1">
        <f>Hispanic!L12</f>
        <v>2</v>
      </c>
      <c r="P13" s="1">
        <f>Asian!L12</f>
        <v>40</v>
      </c>
      <c r="Q13" s="1" t="e">
        <f>Hawaiian!L12</f>
        <v>#VALUE!</v>
      </c>
      <c r="R13" s="1">
        <f>'Am Indian'!L12</f>
        <v>139</v>
      </c>
      <c r="S13" s="1">
        <f>'Other - Mixed'!L12</f>
        <v>101</v>
      </c>
      <c r="T13" s="1">
        <f>'All Minorities'!L12</f>
        <v>2</v>
      </c>
      <c r="W13" s="8"/>
      <c r="X13" s="8"/>
      <c r="Y13" s="8"/>
      <c r="Z13" s="8"/>
      <c r="AA13" s="8"/>
      <c r="AB13" s="8"/>
      <c r="AC13" s="8"/>
      <c r="AD13" s="8"/>
    </row>
    <row r="14" spans="2:30" s="1" customFormat="1" ht="15" customHeight="1">
      <c r="B14" s="121" t="s">
        <v>14</v>
      </c>
      <c r="C14" s="103">
        <f>'Data Entry'!C13</f>
        <v>127</v>
      </c>
      <c r="D14" s="112">
        <f>'Data Entry'!D13</f>
        <v>37</v>
      </c>
      <c r="E14" s="113">
        <f>'Black or African-American'!$G13</f>
        <v>1.0821147356580427</v>
      </c>
      <c r="F14" s="114">
        <f>'Data Entry'!E13</f>
        <v>60</v>
      </c>
      <c r="G14" s="113">
        <f>Hispanic!G13</f>
        <v>0.69792412312097352</v>
      </c>
      <c r="H14" s="114">
        <f>'Data Entry'!F13</f>
        <v>1</v>
      </c>
      <c r="I14" s="113" t="str">
        <f>Asian!G13</f>
        <v>**</v>
      </c>
      <c r="J14" s="114">
        <f>'Data Entry'!J13</f>
        <v>119</v>
      </c>
      <c r="K14" s="115">
        <f>'All Minorities'!G13</f>
        <v>0.72077528770442156</v>
      </c>
      <c r="L14"/>
      <c r="N14" s="1">
        <f>'Black or African-American'!L13</f>
        <v>1</v>
      </c>
      <c r="O14" s="1">
        <f>Hispanic!L13</f>
        <v>1</v>
      </c>
      <c r="P14" s="1">
        <f>Asian!L13</f>
        <v>20</v>
      </c>
      <c r="Q14" s="1" t="e">
        <f>Hawaiian!L13</f>
        <v>#VALUE!</v>
      </c>
      <c r="R14" s="1">
        <f>'Am Indian'!L13</f>
        <v>119</v>
      </c>
      <c r="S14" s="1">
        <f>'Other - Mixed'!L13</f>
        <v>100</v>
      </c>
      <c r="T14" s="1">
        <f>'All Minorities'!L13</f>
        <v>1</v>
      </c>
      <c r="W14" s="8"/>
      <c r="X14" s="8"/>
      <c r="Y14" s="8"/>
      <c r="Z14" s="8"/>
      <c r="AA14" s="8"/>
      <c r="AB14" s="8"/>
      <c r="AC14" s="8"/>
      <c r="AD14" s="8"/>
    </row>
    <row r="15" spans="2:30" s="1" customFormat="1" ht="33">
      <c r="B15" s="126" t="s">
        <v>123</v>
      </c>
      <c r="C15" s="103">
        <f>'Data Entry'!C14</f>
        <v>2</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f>'Black or African-American'!L14</f>
        <v>40</v>
      </c>
      <c r="O15" s="1">
        <f>Hispanic!L14</f>
        <v>40</v>
      </c>
      <c r="P15" s="1">
        <f>Asian!L14</f>
        <v>40</v>
      </c>
      <c r="Q15" s="1" t="e">
        <f>Hawaiian!L14</f>
        <v>#VALUE!</v>
      </c>
      <c r="R15" s="1">
        <f>'Am Indian'!L14</f>
        <v>139</v>
      </c>
      <c r="S15" s="1">
        <f>'Other - Mixed'!L14</f>
        <v>139</v>
      </c>
      <c r="T15" s="1">
        <f>'All Minorities'!L14</f>
        <v>40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1</v>
      </c>
      <c r="G16" s="117" t="str">
        <f>Hispanic!G15</f>
        <v>**</v>
      </c>
      <c r="H16" s="118">
        <f>'Data Entry'!F15</f>
        <v>0</v>
      </c>
      <c r="I16" s="117" t="str">
        <f>Asian!G15</f>
        <v>--</v>
      </c>
      <c r="J16" s="118">
        <f>'Data Entry'!J15</f>
        <v>1</v>
      </c>
      <c r="K16" s="119" t="str">
        <f>'All Minorities'!G15</f>
        <v>**</v>
      </c>
      <c r="L16"/>
      <c r="N16" s="1" t="e">
        <f>'Black or African-American'!L15</f>
        <v>#VALUE!</v>
      </c>
      <c r="O16" s="1">
        <f>Hispanic!L15</f>
        <v>40</v>
      </c>
      <c r="P16" s="1" t="e">
        <f>Asian!L15</f>
        <v>#VALUE!</v>
      </c>
      <c r="Q16" s="1" t="e">
        <f>Hawaiian!L15</f>
        <v>#VALUE!</v>
      </c>
      <c r="R16" s="1" t="e">
        <f>'Am Indian'!L15</f>
        <v>#VALUE!</v>
      </c>
      <c r="S16" s="1" t="e">
        <f>'Other - Mixed'!L15</f>
        <v>#VALUE!</v>
      </c>
      <c r="T16" s="1">
        <f>'All Minorities'!L15</f>
        <v>40</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Ottawa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25603</v>
      </c>
      <c r="D6" s="34"/>
      <c r="E6" s="33">
        <f>'Data Entry'!D6</f>
        <v>1091</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406</v>
      </c>
      <c r="D7" s="34">
        <f>IF((AND(C66&gt;0,C7&gt;0)),(C7/C66),0)</f>
        <v>15.857516697262039</v>
      </c>
      <c r="E7" s="33">
        <f>'Data Entry'!D7</f>
        <v>153</v>
      </c>
      <c r="F7" s="34">
        <f>IF((AND($E$7&gt;0,$D$66&gt;0)),($E$7/$D$66),0)</f>
        <v>140.23831347387718</v>
      </c>
      <c r="G7" s="39">
        <f>IF(L$6=100,"*",IF(M7=FALSE,"--",IF(K7=20,"**",($F7/$D7))))</f>
        <v>8.8436491129844281</v>
      </c>
      <c r="H7" s="40"/>
      <c r="I7" s="41"/>
      <c r="J7" s="40">
        <f>IF((ABS($U7)&gt;Defaults!D$7),1,2)</f>
        <v>1</v>
      </c>
      <c r="K7" s="39">
        <f>IF((AND(N7&gt;Defaults!B$12,(N7+O7)&gt;Defaults!B$13, P7 &gt; Defaults!B$12, (P7+Q7) &gt; Defaults!B$13)),1,20)</f>
        <v>1</v>
      </c>
      <c r="L7" s="1">
        <f>(J7*K7+L$6)-1</f>
        <v>1</v>
      </c>
      <c r="M7" s="1" t="b">
        <f t="shared" ref="M7:M15" si="0">(ISNUMBER(J7))</f>
        <v>1</v>
      </c>
      <c r="N7" s="42">
        <f t="shared" ref="N7:N15" si="1">E7</f>
        <v>153</v>
      </c>
      <c r="O7" s="42">
        <f>E6-E7</f>
        <v>938</v>
      </c>
      <c r="P7" s="42">
        <f t="shared" ref="P7:P15" si="2">C7</f>
        <v>406</v>
      </c>
      <c r="Q7" s="42">
        <f>C6-C7</f>
        <v>25197</v>
      </c>
      <c r="R7" s="42">
        <f t="shared" ref="R7:R15" si="3">SUM(N7:Q7)</f>
        <v>26694</v>
      </c>
      <c r="S7" s="30">
        <f t="shared" ref="S7:S15" si="4">R7*((((N7*Q7)-(O7*P7))^2))</f>
        <v>3.2221929184164051E+17</v>
      </c>
      <c r="T7" s="30">
        <f t="shared" ref="T7:T15" si="5">(N7+O7)*(P7+Q7)*(N7+P7)*(O7+Q7)</f>
        <v>408084330442945</v>
      </c>
      <c r="U7" s="31">
        <f t="shared" ref="U7:U15" si="6">IF((S7&gt;0),S7/T7,"- -")</f>
        <v>789.58996414269473</v>
      </c>
    </row>
    <row r="8" spans="2:21" ht="18" customHeight="1">
      <c r="B8" s="32" t="str">
        <f>'Data Entry'!A8</f>
        <v>3. Refer to Juvenile Court</v>
      </c>
      <c r="C8" s="33">
        <f>'Data Entry'!C8</f>
        <v>384</v>
      </c>
      <c r="D8" s="34">
        <f>IF((AND(C67&gt;0,C8&gt;0)),(C8/C67),0)</f>
        <v>94.581280788177352</v>
      </c>
      <c r="E8" s="33">
        <f>'Data Entry'!D8</f>
        <v>86</v>
      </c>
      <c r="F8" s="34">
        <f>IF((AND($E$8&gt;0,$D$67&gt;0)),($E8/$D67),0)</f>
        <v>56.209150326797385</v>
      </c>
      <c r="G8" s="39">
        <f t="shared" ref="G8:G15" si="7">IF(L$6=100,"*",IF(M8=FALSE,"--",IF(K8=20,"**",($F8/$D8))))</f>
        <v>0.59429466230936812</v>
      </c>
      <c r="H8" s="40"/>
      <c r="I8" s="41"/>
      <c r="J8" s="40">
        <f>IF((ABS($U8)&gt;Defaults!D$7),1,2)</f>
        <v>1</v>
      </c>
      <c r="K8" s="39">
        <f>IF((AND(N8&gt;Defaults!B$12,(N8+O8)&gt;Defaults!B$13, P8 &gt; Defaults!B$12, (P8+Q8) &gt; Defaults!B$13)),1,20)</f>
        <v>1</v>
      </c>
      <c r="L8" s="1">
        <f t="shared" ref="L8:L15" si="8">(J8*K8+L$6)-1</f>
        <v>1</v>
      </c>
      <c r="M8" s="1" t="b">
        <f t="shared" si="0"/>
        <v>1</v>
      </c>
      <c r="N8" s="42">
        <f t="shared" si="1"/>
        <v>86</v>
      </c>
      <c r="O8" s="42">
        <f>((D67*L67)-E8)+0.05</f>
        <v>67.05</v>
      </c>
      <c r="P8" s="42">
        <f t="shared" si="2"/>
        <v>384</v>
      </c>
      <c r="Q8" s="42">
        <f>(C$67*L67)-C8</f>
        <v>21.999999999999943</v>
      </c>
      <c r="R8" s="42">
        <f t="shared" si="3"/>
        <v>559.04999999999995</v>
      </c>
      <c r="S8" s="30">
        <f t="shared" si="4"/>
        <v>318138900503.71204</v>
      </c>
      <c r="T8" s="30">
        <f t="shared" si="5"/>
        <v>2600705339.0499978</v>
      </c>
      <c r="U8" s="31">
        <f t="shared" si="6"/>
        <v>122.32792993762371</v>
      </c>
    </row>
    <row r="9" spans="2:21" ht="18" customHeight="1">
      <c r="B9" s="32" t="str">
        <f>'Data Entry'!A9</f>
        <v xml:space="preserve">4. Cases Diverted </v>
      </c>
      <c r="C9" s="33">
        <f>'Data Entry'!C9</f>
        <v>116</v>
      </c>
      <c r="D9" s="34">
        <f>IF((AND(C68&gt;0,C9&gt;0)),((C9/C68)),0)</f>
        <v>30.208333333333336</v>
      </c>
      <c r="E9" s="33">
        <f>'Data Entry'!D9</f>
        <v>16</v>
      </c>
      <c r="F9" s="34">
        <f>IF((AND($E$9&gt;0,$D$68&gt;0)),(($E$9/$D$68)),0)</f>
        <v>18.604651162790699</v>
      </c>
      <c r="G9" s="39">
        <f t="shared" si="7"/>
        <v>0.61587810745789895</v>
      </c>
      <c r="H9" s="40"/>
      <c r="I9" s="41"/>
      <c r="J9" s="40">
        <f>IF((ABS($U9)&gt;Defaults!D$7),1,2)</f>
        <v>1</v>
      </c>
      <c r="K9" s="39">
        <f>IF((AND(N9&gt;Defaults!B$12,(N9+O9)&gt;Defaults!B$13, P9 &gt; Defaults!B$12, (P9+Q9) &gt; Defaults!B$13)),1,20)</f>
        <v>1</v>
      </c>
      <c r="L9" s="1">
        <f t="shared" si="8"/>
        <v>1</v>
      </c>
      <c r="M9" s="1" t="b">
        <f t="shared" si="0"/>
        <v>1</v>
      </c>
      <c r="N9" s="42">
        <f t="shared" si="1"/>
        <v>16</v>
      </c>
      <c r="O9" s="42">
        <f>(D$68*L68)-E9</f>
        <v>70</v>
      </c>
      <c r="P9" s="42">
        <f t="shared" si="2"/>
        <v>116</v>
      </c>
      <c r="Q9" s="42">
        <f>(C$68*L68)-C9</f>
        <v>268</v>
      </c>
      <c r="R9" s="42">
        <f t="shared" si="3"/>
        <v>470</v>
      </c>
      <c r="S9" s="30">
        <f t="shared" si="4"/>
        <v>6901585280</v>
      </c>
      <c r="T9" s="30">
        <f t="shared" si="5"/>
        <v>1473398784</v>
      </c>
      <c r="U9" s="31">
        <f t="shared" si="6"/>
        <v>4.6841258150515754</v>
      </c>
    </row>
    <row r="10" spans="2:21" ht="18" customHeight="1">
      <c r="B10" s="32" t="str">
        <f>'Data Entry'!A10</f>
        <v>5. Cases Involving Secure Detention</v>
      </c>
      <c r="C10" s="33">
        <f>'Data Entry'!C10</f>
        <v>64</v>
      </c>
      <c r="D10" s="34">
        <f>IF(((AND(C68&gt;0,C10&gt;0))),(C10/(C68)),0)</f>
        <v>16.666666666666668</v>
      </c>
      <c r="E10" s="33">
        <f>'Data Entry'!D10</f>
        <v>31</v>
      </c>
      <c r="F10" s="34">
        <f>IF(((AND($E$10&gt;0,$D$68&gt;0))),($E$10/($D$68)),0)</f>
        <v>36.04651162790698</v>
      </c>
      <c r="G10" s="39">
        <f t="shared" si="7"/>
        <v>2.1627906976744184</v>
      </c>
      <c r="H10" s="40"/>
      <c r="I10" s="41"/>
      <c r="J10" s="40">
        <f>IF((ABS($U10)&gt;Defaults!D$7),1,2)</f>
        <v>1</v>
      </c>
      <c r="K10" s="39">
        <f>IF((AND(N10&gt;Defaults!B$12,(N10+O10)&gt;Defaults!B$13, P10 &gt; Defaults!B$12, (P10+Q10) &gt; Defaults!B$13)),1,20)</f>
        <v>1</v>
      </c>
      <c r="L10" s="1">
        <f t="shared" si="8"/>
        <v>1</v>
      </c>
      <c r="M10" s="1" t="b">
        <f t="shared" si="0"/>
        <v>1</v>
      </c>
      <c r="N10" s="42">
        <f t="shared" si="1"/>
        <v>31</v>
      </c>
      <c r="O10" s="42">
        <f>(D$68*L68)-E10</f>
        <v>55</v>
      </c>
      <c r="P10" s="42">
        <f t="shared" si="2"/>
        <v>64</v>
      </c>
      <c r="Q10" s="42">
        <f>(C$68*L68)-C10</f>
        <v>320</v>
      </c>
      <c r="R10" s="42">
        <f t="shared" si="3"/>
        <v>470</v>
      </c>
      <c r="S10" s="30">
        <f t="shared" si="4"/>
        <v>19251200000</v>
      </c>
      <c r="T10" s="30">
        <f t="shared" si="5"/>
        <v>1176480000</v>
      </c>
      <c r="U10" s="31">
        <f t="shared" si="6"/>
        <v>16.363389092887257</v>
      </c>
    </row>
    <row r="11" spans="2:21" ht="18" customHeight="1">
      <c r="B11" s="32" t="str">
        <f>'Data Entry'!A11</f>
        <v>6. Cases Petitioned (Charge Filed)</v>
      </c>
      <c r="C11" s="33">
        <f>'Data Entry'!C11</f>
        <v>268</v>
      </c>
      <c r="D11" s="34">
        <f>IF(((AND(C68&gt;0,C11&gt;0))),(C11/(C68)),0)</f>
        <v>69.791666666666671</v>
      </c>
      <c r="E11" s="33">
        <f>'Data Entry'!D11</f>
        <v>70</v>
      </c>
      <c r="F11" s="34">
        <f>IF(((AND($E$11&gt;0,$D$68&gt;0))),($E$11/($D$68)),0)</f>
        <v>81.395348837209298</v>
      </c>
      <c r="G11" s="39">
        <f t="shared" si="7"/>
        <v>1.1662617146824017</v>
      </c>
      <c r="H11" s="40"/>
      <c r="I11" s="41"/>
      <c r="J11" s="40">
        <f>IF((ABS($U11)&gt;Defaults!D$7),1,2)</f>
        <v>1</v>
      </c>
      <c r="K11" s="39">
        <f>IF((AND(N11&gt;Defaults!B$12,(N11+O11)&gt;Defaults!B$13, P11 &gt; Defaults!B$12, (P11+Q11) &gt; Defaults!B$13)),1,20)</f>
        <v>1</v>
      </c>
      <c r="L11" s="1">
        <f t="shared" si="8"/>
        <v>1</v>
      </c>
      <c r="M11" s="1" t="b">
        <f t="shared" si="0"/>
        <v>1</v>
      </c>
      <c r="N11" s="42">
        <f t="shared" si="1"/>
        <v>70</v>
      </c>
      <c r="O11" s="42">
        <f>(D$68*L68)-E11</f>
        <v>16</v>
      </c>
      <c r="P11" s="42">
        <f t="shared" si="2"/>
        <v>268</v>
      </c>
      <c r="Q11" s="42">
        <f>(C$68*L68)-C11</f>
        <v>116</v>
      </c>
      <c r="R11" s="42">
        <f t="shared" si="3"/>
        <v>470</v>
      </c>
      <c r="S11" s="30">
        <f t="shared" si="4"/>
        <v>6901585280</v>
      </c>
      <c r="T11" s="30">
        <f t="shared" si="5"/>
        <v>1473398784</v>
      </c>
      <c r="U11" s="31">
        <f t="shared" si="6"/>
        <v>4.6841258150515754</v>
      </c>
    </row>
    <row r="12" spans="2:21" ht="18" customHeight="1">
      <c r="B12" s="32" t="str">
        <f>'Data Entry'!A12</f>
        <v>7. Cases Resulting in Delinquent Findings</v>
      </c>
      <c r="C12" s="33">
        <f>'Data Entry'!C12</f>
        <v>130</v>
      </c>
      <c r="D12" s="34">
        <f>IF(((AND(C69&gt;0,C12&gt;0))),(C12/(C69)),0)</f>
        <v>48.507462686567159</v>
      </c>
      <c r="E12" s="33">
        <f>'Data Entry'!D12</f>
        <v>35</v>
      </c>
      <c r="F12" s="34">
        <f>IF(((AND($D$69&gt;0,$E$12&gt;0))),(E12/(D69)),0)</f>
        <v>50</v>
      </c>
      <c r="G12" s="39">
        <f t="shared" si="7"/>
        <v>1.0307692307692309</v>
      </c>
      <c r="H12" s="40"/>
      <c r="I12" s="41"/>
      <c r="J12" s="40">
        <f>IF((ABS($U12)&gt;Defaults!D$7),1,2)</f>
        <v>2</v>
      </c>
      <c r="K12" s="39">
        <f>IF((AND(N12&gt;Defaults!B$12,(N12+O12)&gt;Defaults!B$13, P12 &gt; Defaults!B$12, (P12+Q12) &gt; Defaults!B$13)),1,20)</f>
        <v>1</v>
      </c>
      <c r="L12" s="1">
        <f t="shared" si="8"/>
        <v>2</v>
      </c>
      <c r="M12" s="1" t="b">
        <f t="shared" si="0"/>
        <v>1</v>
      </c>
      <c r="N12" s="42">
        <f t="shared" si="1"/>
        <v>35</v>
      </c>
      <c r="O12" s="42">
        <f>(D69*L69)-E12</f>
        <v>35</v>
      </c>
      <c r="P12" s="42">
        <f t="shared" si="2"/>
        <v>130</v>
      </c>
      <c r="Q12" s="42">
        <f>(C69*L69)-C12</f>
        <v>138</v>
      </c>
      <c r="R12" s="42">
        <f t="shared" si="3"/>
        <v>338</v>
      </c>
      <c r="S12" s="30">
        <f t="shared" si="4"/>
        <v>26499200</v>
      </c>
      <c r="T12" s="30">
        <f t="shared" si="5"/>
        <v>535504200</v>
      </c>
      <c r="U12" s="31">
        <f t="shared" si="6"/>
        <v>4.9484579205914724E-2</v>
      </c>
    </row>
    <row r="13" spans="2:21" ht="18" customHeight="1">
      <c r="B13" s="32" t="str">
        <f>'Data Entry'!A13</f>
        <v>8. Cases Resulting in Probation Placement</v>
      </c>
      <c r="C13" s="33">
        <f>'Data Entry'!C13</f>
        <v>127</v>
      </c>
      <c r="D13" s="34">
        <f>IF(((AND(C70&gt;0,C13&gt;0))),(C13/(C70)),0)</f>
        <v>97.692307692307693</v>
      </c>
      <c r="E13" s="33">
        <f>'Data Entry'!D13</f>
        <v>37</v>
      </c>
      <c r="F13" s="34">
        <f>IF(((AND($D$70&gt;0,$E$13&gt;0))),($E$13/($D$70)),0)</f>
        <v>105.71428571428572</v>
      </c>
      <c r="G13" s="39">
        <f t="shared" si="7"/>
        <v>1.0821147356580427</v>
      </c>
      <c r="H13" s="40"/>
      <c r="I13" s="41"/>
      <c r="J13" s="40">
        <f>IF((ABS($U13)&gt;Defaults!D$7),1,2)</f>
        <v>1</v>
      </c>
      <c r="K13" s="39">
        <f>IF((AND(N13&gt;Defaults!B$12,(N13+O13)&gt;Defaults!B$13, P13 &gt; Defaults!B$12, (P13+Q13) &gt; Defaults!B$13)),1,20)</f>
        <v>1</v>
      </c>
      <c r="L13" s="1">
        <f t="shared" si="8"/>
        <v>1</v>
      </c>
      <c r="M13" s="1" t="b">
        <f t="shared" si="0"/>
        <v>1</v>
      </c>
      <c r="N13" s="42">
        <f t="shared" si="1"/>
        <v>37</v>
      </c>
      <c r="O13" s="42">
        <f>(D70*L70)-E13</f>
        <v>-2</v>
      </c>
      <c r="P13" s="42">
        <f t="shared" si="2"/>
        <v>127</v>
      </c>
      <c r="Q13" s="42">
        <f>(C70*L70)-C13</f>
        <v>3</v>
      </c>
      <c r="R13" s="42">
        <f t="shared" si="3"/>
        <v>165</v>
      </c>
      <c r="S13" s="30">
        <f t="shared" si="4"/>
        <v>21982125</v>
      </c>
      <c r="T13" s="30">
        <f t="shared" si="5"/>
        <v>746200</v>
      </c>
      <c r="U13" s="31">
        <f t="shared" si="6"/>
        <v>29.458757705708926</v>
      </c>
    </row>
    <row r="14" spans="2:21" ht="30.75" customHeight="1">
      <c r="B14" s="32" t="str">
        <f>'Data Entry'!A14</f>
        <v xml:space="preserve">9. Cases Resulting in Confinement in Secure Juvenile Correctional Facilities </v>
      </c>
      <c r="C14" s="33">
        <f>'Data Entry'!C14</f>
        <v>2</v>
      </c>
      <c r="D14" s="34">
        <f>IF(((AND(C70&gt;0,C14&gt;0))), ((C14/(C70))),0)</f>
        <v>1.5384615384615383</v>
      </c>
      <c r="E14" s="33">
        <f>'Data Entry'!D14</f>
        <v>0</v>
      </c>
      <c r="F14" s="34">
        <f>IF(((AND($D$70&gt;0,$E$14&gt;0))), (($E$14/($D$70))),0)</f>
        <v>0</v>
      </c>
      <c r="G14" s="39" t="str">
        <f t="shared" si="7"/>
        <v>**</v>
      </c>
      <c r="H14" s="40"/>
      <c r="I14" s="41"/>
      <c r="J14" s="40">
        <f>IF((ABS($U14)&gt;Defaults!D$7),1,2)</f>
        <v>2</v>
      </c>
      <c r="K14" s="39">
        <f>IF((AND(N14&gt;Defaults!B$12,(N14+O14)&gt;Defaults!B$13, P14 &gt; Defaults!B$12, (P14+Q14) &gt; Defaults!B$13)),1,20)</f>
        <v>20</v>
      </c>
      <c r="L14" s="1">
        <f t="shared" si="8"/>
        <v>40</v>
      </c>
      <c r="M14" s="1" t="b">
        <f t="shared" si="0"/>
        <v>1</v>
      </c>
      <c r="N14" s="42">
        <f t="shared" si="1"/>
        <v>0</v>
      </c>
      <c r="O14" s="42">
        <f>(D70*L70)-E14</f>
        <v>35</v>
      </c>
      <c r="P14" s="42">
        <f t="shared" si="2"/>
        <v>2</v>
      </c>
      <c r="Q14" s="42">
        <f>(C70*L70)-C14</f>
        <v>128</v>
      </c>
      <c r="R14" s="42">
        <f t="shared" si="3"/>
        <v>165</v>
      </c>
      <c r="S14" s="30">
        <f t="shared" si="4"/>
        <v>808500</v>
      </c>
      <c r="T14" s="30">
        <f t="shared" si="5"/>
        <v>1483300</v>
      </c>
      <c r="U14" s="31">
        <f t="shared" si="6"/>
        <v>0.54506842850401127</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70</v>
      </c>
      <c r="P15" s="42">
        <f t="shared" si="2"/>
        <v>0</v>
      </c>
      <c r="Q15" s="42">
        <f>(C69*L69)-C15</f>
        <v>268</v>
      </c>
      <c r="R15" s="42">
        <f t="shared" si="3"/>
        <v>338</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25.603000000000002</v>
      </c>
      <c r="D42" s="56">
        <f>E6/1000</f>
        <v>1.091</v>
      </c>
      <c r="E42" s="56">
        <f>MAX(C42:D42)</f>
        <v>25.603000000000002</v>
      </c>
      <c r="G42" s="1" t="str">
        <f>B42</f>
        <v>per 1000 youth</v>
      </c>
      <c r="L42" s="57">
        <v>1000</v>
      </c>
      <c r="M42" s="57"/>
      <c r="R42" s="49"/>
    </row>
    <row r="43" spans="2:18" ht="15" hidden="1" customHeight="1">
      <c r="B43" s="49" t="s">
        <v>87</v>
      </c>
      <c r="C43" s="56">
        <f>C7/100</f>
        <v>4.0599999999999996</v>
      </c>
      <c r="D43" s="56">
        <f>E7/100</f>
        <v>1.53</v>
      </c>
      <c r="E43" s="56">
        <f>MAX(C43:D43,0)</f>
        <v>4.0599999999999996</v>
      </c>
      <c r="G43" s="1" t="str">
        <f>B43</f>
        <v>per 100 arrests</v>
      </c>
      <c r="L43" s="57">
        <v>100</v>
      </c>
      <c r="M43" s="57"/>
      <c r="R43" s="49"/>
    </row>
    <row r="44" spans="2:18" ht="15" hidden="1" customHeight="1">
      <c r="B44" s="49" t="s">
        <v>88</v>
      </c>
      <c r="C44" s="56">
        <f>C8/100</f>
        <v>3.84</v>
      </c>
      <c r="D44" s="56">
        <f>E8/100</f>
        <v>0.86</v>
      </c>
      <c r="E44" s="56">
        <f>MAX(C44:D44,0)</f>
        <v>3.84</v>
      </c>
      <c r="G44" s="1" t="str">
        <f>B44</f>
        <v>per 100 referrals</v>
      </c>
      <c r="L44" s="57">
        <v>100</v>
      </c>
      <c r="M44" s="57"/>
      <c r="R44" s="49"/>
    </row>
    <row r="45" spans="2:18" ht="15" hidden="1" customHeight="1">
      <c r="B45" s="49" t="s">
        <v>89</v>
      </c>
      <c r="C45" s="49">
        <f>C11/100</f>
        <v>2.68</v>
      </c>
      <c r="D45" s="49">
        <f>E11/100</f>
        <v>0.7</v>
      </c>
      <c r="E45" s="56">
        <f>MAX(C45:D45,0)</f>
        <v>2.68</v>
      </c>
      <c r="G45" s="1" t="str">
        <f>B45</f>
        <v>per 100 youth petitioned</v>
      </c>
      <c r="L45" s="57">
        <v>100</v>
      </c>
      <c r="M45" s="57"/>
      <c r="R45" s="49"/>
    </row>
    <row r="46" spans="2:18" ht="15" hidden="1" customHeight="1">
      <c r="B46" s="49" t="s">
        <v>90</v>
      </c>
      <c r="C46" s="49">
        <f>C12/100</f>
        <v>1.3</v>
      </c>
      <c r="D46" s="49">
        <f>E12/100</f>
        <v>0.35</v>
      </c>
      <c r="E46" s="56">
        <f>MAX(C46:D46)</f>
        <v>1.3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25.603000000000002</v>
      </c>
      <c r="D48" s="56">
        <f>D42</f>
        <v>1.091</v>
      </c>
      <c r="E48" s="56">
        <f>MAX(C48:D48)</f>
        <v>25.603000000000002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4.0599999999999996</v>
      </c>
      <c r="D49" s="49">
        <f t="shared" si="9"/>
        <v>1.53</v>
      </c>
      <c r="E49" s="49">
        <f>MAX(C49:D49)</f>
        <v>4.0599999999999996</v>
      </c>
      <c r="G49" s="1" t="str">
        <f>G43</f>
        <v>per 100 arrests</v>
      </c>
      <c r="L49" s="58">
        <f>IF(($E43&gt;0),L43,L42)</f>
        <v>100</v>
      </c>
      <c r="M49" s="58"/>
      <c r="N49" s="21"/>
      <c r="O49" s="21"/>
      <c r="P49" s="21"/>
      <c r="Q49" s="21"/>
      <c r="R49" s="21"/>
    </row>
    <row r="50" spans="2:18" ht="15" hidden="1" customHeight="1">
      <c r="B50" s="49" t="str">
        <f t="shared" si="9"/>
        <v>per 100 referrals</v>
      </c>
      <c r="C50" s="49">
        <f t="shared" si="9"/>
        <v>3.84</v>
      </c>
      <c r="D50" s="49">
        <f t="shared" si="9"/>
        <v>0.86</v>
      </c>
      <c r="E50" s="49">
        <f>MAX(C50:D50)</f>
        <v>3.84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2.68</v>
      </c>
      <c r="D51" s="49">
        <f>IF(($E45&gt;0),D45,D44)</f>
        <v>0.7</v>
      </c>
      <c r="E51" s="49">
        <f>MAX(C51:D51)</f>
        <v>2.68</v>
      </c>
      <c r="G51" s="1" t="str">
        <f>G45</f>
        <v>per 100 youth petitioned</v>
      </c>
      <c r="L51" s="58">
        <f>IF(($E45&gt;0),L45,L44)</f>
        <v>100</v>
      </c>
      <c r="M51" s="58"/>
    </row>
    <row r="52" spans="2:18" ht="15" hidden="1" customHeight="1">
      <c r="B52" s="49" t="str">
        <f>IF(($E46&gt;0),B46,B45)</f>
        <v>per 100 youth found delinquent</v>
      </c>
      <c r="C52" s="49">
        <f>IF(($E46&gt;0),C46,C45)</f>
        <v>1.3</v>
      </c>
      <c r="D52" s="49">
        <f>IF(($E46&gt;0),D46,D45)</f>
        <v>0.35</v>
      </c>
      <c r="E52" s="56">
        <f>MAX(C52:D52)</f>
        <v>1.3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25.603000000000002</v>
      </c>
      <c r="D54" s="56">
        <f>D48</f>
        <v>1.091</v>
      </c>
      <c r="E54" s="56">
        <f>MAX(C54:D54)</f>
        <v>25.603000000000002</v>
      </c>
      <c r="G54" s="1" t="str">
        <f>G48</f>
        <v>per 1000 youth</v>
      </c>
      <c r="L54" s="58">
        <f>L48</f>
        <v>1000</v>
      </c>
      <c r="M54" s="58"/>
    </row>
    <row r="55" spans="2:18" ht="15" hidden="1" customHeight="1">
      <c r="B55" s="49" t="str">
        <f t="shared" ref="B55:D56" si="10">IF(($E49&gt;0),B49,B48)</f>
        <v>per 100 arrests</v>
      </c>
      <c r="C55" s="49">
        <f t="shared" si="10"/>
        <v>4.0599999999999996</v>
      </c>
      <c r="D55" s="49">
        <f t="shared" si="10"/>
        <v>1.53</v>
      </c>
      <c r="E55" s="49">
        <f>MAX(C55:D55)</f>
        <v>4.0599999999999996</v>
      </c>
      <c r="G55" s="1" t="str">
        <f>G49</f>
        <v>per 100 arrests</v>
      </c>
      <c r="L55" s="58">
        <f>IF(($E49&gt;0),L49,L48)</f>
        <v>100</v>
      </c>
      <c r="M55" s="58"/>
    </row>
    <row r="56" spans="2:18" ht="15" hidden="1" customHeight="1">
      <c r="B56" s="49" t="str">
        <f t="shared" si="10"/>
        <v>per 100 referrals</v>
      </c>
      <c r="C56" s="49">
        <f t="shared" si="10"/>
        <v>3.84</v>
      </c>
      <c r="D56" s="49">
        <f t="shared" si="10"/>
        <v>0.86</v>
      </c>
      <c r="E56" s="49">
        <f>MAX(C56:D56)</f>
        <v>3.84</v>
      </c>
      <c r="G56" s="1" t="str">
        <f>G50</f>
        <v>per 100 referrals</v>
      </c>
      <c r="L56" s="58">
        <f>IF(($E50&gt;0),L50,L49)</f>
        <v>100</v>
      </c>
      <c r="M56" s="58"/>
    </row>
    <row r="57" spans="2:18" ht="15" hidden="1" customHeight="1">
      <c r="B57" s="49" t="str">
        <f>IF(($E51&gt;0),B51,B49)</f>
        <v>per 100 youth petitioned</v>
      </c>
      <c r="C57" s="49">
        <f>IF(($E51&gt;0),C51,C50)</f>
        <v>2.68</v>
      </c>
      <c r="D57" s="49">
        <f>IF(($E51&gt;0),D51,D50)</f>
        <v>0.7</v>
      </c>
      <c r="E57" s="49">
        <f>MAX(C57:D57)</f>
        <v>2.68</v>
      </c>
      <c r="G57" s="1" t="str">
        <f>G51</f>
        <v>per 100 youth petitioned</v>
      </c>
      <c r="L57" s="58">
        <f>IF(($E51&gt;0),L51,L50)</f>
        <v>100</v>
      </c>
      <c r="M57" s="58"/>
    </row>
    <row r="58" spans="2:18" ht="15" hidden="1" customHeight="1">
      <c r="B58" s="49" t="str">
        <f>IF(($E52&gt;0),B52,B51)</f>
        <v>per 100 youth found delinquent</v>
      </c>
      <c r="C58" s="49">
        <f>IF(($E52&gt;0),C52,C51)</f>
        <v>1.3</v>
      </c>
      <c r="D58" s="49">
        <f>IF(($E52&gt;0),D52,D51)</f>
        <v>0.35</v>
      </c>
      <c r="E58" s="56">
        <f>MAX(C58:D58)</f>
        <v>1.3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25.603000000000002</v>
      </c>
      <c r="D60" s="56">
        <f>D54</f>
        <v>1.091</v>
      </c>
      <c r="E60" s="56">
        <f>MAX(C60:D60)</f>
        <v>25.603000000000002</v>
      </c>
      <c r="G60" s="1" t="str">
        <f>G54</f>
        <v>per 1000 youth</v>
      </c>
      <c r="L60" s="58">
        <f>L54</f>
        <v>1000</v>
      </c>
      <c r="M60" s="58"/>
    </row>
    <row r="61" spans="2:18" ht="15" hidden="1" customHeight="1">
      <c r="B61" s="49" t="str">
        <f t="shared" ref="B61:D62" si="11">IF(($E55&gt;0),B55,B54)</f>
        <v>per 100 arrests</v>
      </c>
      <c r="C61" s="49">
        <f t="shared" si="11"/>
        <v>4.0599999999999996</v>
      </c>
      <c r="D61" s="49">
        <f t="shared" si="11"/>
        <v>1.53</v>
      </c>
      <c r="E61" s="49">
        <f>MAX(C61:D61)</f>
        <v>4.0599999999999996</v>
      </c>
      <c r="G61" s="1" t="str">
        <f>G55</f>
        <v>per 100 arrests</v>
      </c>
      <c r="L61" s="58">
        <f>IF(($E55&gt;0),L55,L54)</f>
        <v>100</v>
      </c>
      <c r="M61" s="58"/>
    </row>
    <row r="62" spans="2:18" ht="15" hidden="1" customHeight="1">
      <c r="B62" s="49" t="str">
        <f t="shared" si="11"/>
        <v>per 100 referrals</v>
      </c>
      <c r="C62" s="49">
        <f t="shared" si="11"/>
        <v>3.84</v>
      </c>
      <c r="D62" s="49">
        <f t="shared" si="11"/>
        <v>0.86</v>
      </c>
      <c r="E62" s="49">
        <f>MAX(C62:D62)</f>
        <v>3.84</v>
      </c>
      <c r="G62" s="1" t="str">
        <f>G56</f>
        <v>per 100 referrals</v>
      </c>
      <c r="L62" s="58">
        <f>IF(($E56&gt;0),L56,L55)</f>
        <v>100</v>
      </c>
      <c r="M62" s="58"/>
    </row>
    <row r="63" spans="2:18" ht="15" hidden="1" customHeight="1">
      <c r="B63" s="49" t="str">
        <f>IF(($E57&gt;0),B57,B55)</f>
        <v>per 100 youth petitioned</v>
      </c>
      <c r="C63" s="49">
        <f>IF(($E57&gt;0),C57,C56)</f>
        <v>2.68</v>
      </c>
      <c r="D63" s="49">
        <f>IF(($E57&gt;0),D57,D56)</f>
        <v>0.7</v>
      </c>
      <c r="E63" s="49">
        <f>MAX(C63:D63)</f>
        <v>2.68</v>
      </c>
      <c r="G63" s="1" t="str">
        <f>G57</f>
        <v>per 100 youth petitioned</v>
      </c>
      <c r="L63" s="58">
        <f>IF(($E57&gt;0),L57,L56)</f>
        <v>100</v>
      </c>
      <c r="M63" s="58"/>
    </row>
    <row r="64" spans="2:18" ht="15" hidden="1" customHeight="1">
      <c r="B64" s="49" t="str">
        <f>IF(($E58&gt;0),B58,B57)</f>
        <v>per 100 youth found delinquent</v>
      </c>
      <c r="C64" s="49">
        <f>IF(($E58&gt;0),C58,C57)</f>
        <v>1.3</v>
      </c>
      <c r="D64" s="49">
        <f>IF(($E58&gt;0),D58,D57)</f>
        <v>0.35</v>
      </c>
      <c r="E64" s="56">
        <f>MAX(C64:D64)</f>
        <v>1.3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25.603000000000002</v>
      </c>
      <c r="D66" s="56">
        <f>D60</f>
        <v>1.091</v>
      </c>
      <c r="E66" s="56">
        <f>MAX(C66:D66)</f>
        <v>25.603000000000002</v>
      </c>
      <c r="G66" s="1" t="str">
        <f>G60</f>
        <v>per 1000 youth</v>
      </c>
      <c r="L66" s="58">
        <f>L60</f>
        <v>1000</v>
      </c>
      <c r="M66" s="58">
        <f>IF((B66=G66),1,2)</f>
        <v>1</v>
      </c>
    </row>
    <row r="67" spans="2:13" ht="15" hidden="1" customHeight="1">
      <c r="B67" s="49" t="str">
        <f t="shared" ref="B67:D68" si="12">IF(($E61&gt;0),B61,B60)</f>
        <v>per 100 arrests</v>
      </c>
      <c r="C67" s="49">
        <f t="shared" si="12"/>
        <v>4.0599999999999996</v>
      </c>
      <c r="D67" s="49">
        <f t="shared" si="12"/>
        <v>1.53</v>
      </c>
      <c r="E67" s="49">
        <f>MAX(C67:D67)</f>
        <v>4.0599999999999996</v>
      </c>
      <c r="G67" s="1" t="str">
        <f>G61</f>
        <v>per 100 arrests</v>
      </c>
      <c r="L67" s="58">
        <f>IF(($E61&gt;0),L61,L60)</f>
        <v>100</v>
      </c>
      <c r="M67" s="58">
        <f>IF((B67=G67),1,2)</f>
        <v>1</v>
      </c>
    </row>
    <row r="68" spans="2:13" ht="15" hidden="1" customHeight="1">
      <c r="B68" s="49" t="str">
        <f t="shared" si="12"/>
        <v>per 100 referrals</v>
      </c>
      <c r="C68" s="49">
        <f t="shared" si="12"/>
        <v>3.84</v>
      </c>
      <c r="D68" s="49">
        <f t="shared" si="12"/>
        <v>0.86</v>
      </c>
      <c r="E68" s="49">
        <f>MAX(C68:D68)</f>
        <v>3.84</v>
      </c>
      <c r="G68" s="1" t="str">
        <f>G62</f>
        <v>per 100 referrals</v>
      </c>
      <c r="L68" s="58">
        <f>IF(($E62&gt;0),L62,L61)</f>
        <v>100</v>
      </c>
      <c r="M68" s="58">
        <f>IF((B68=G68),1,2)</f>
        <v>1</v>
      </c>
    </row>
    <row r="69" spans="2:13" ht="15" hidden="1" customHeight="1">
      <c r="B69" s="49" t="str">
        <f>IF(($E63&gt;0),B63,B61)</f>
        <v>per 100 youth petitioned</v>
      </c>
      <c r="C69" s="49">
        <f>IF(($E63&gt;0),C63,C62)</f>
        <v>2.68</v>
      </c>
      <c r="D69" s="49">
        <f>IF(($E63&gt;0),D63,D62)</f>
        <v>0.7</v>
      </c>
      <c r="E69" s="49">
        <f>MAX(C69:D69)</f>
        <v>2.68</v>
      </c>
      <c r="G69" s="1" t="str">
        <f>G63</f>
        <v>per 100 youth petitioned</v>
      </c>
      <c r="L69" s="58">
        <f>IF(($E63&gt;0),L63,L62)</f>
        <v>100</v>
      </c>
      <c r="M69" s="58">
        <f>IF((B69=G69),1,2)</f>
        <v>1</v>
      </c>
    </row>
    <row r="70" spans="2:13" ht="15" hidden="1" customHeight="1">
      <c r="B70" s="49" t="str">
        <f>IF(($E64&gt;0),B64,B63)</f>
        <v>per 100 youth found delinquent</v>
      </c>
      <c r="C70" s="49">
        <f>IF(($E64&gt;0),C64,C63)</f>
        <v>1.3</v>
      </c>
      <c r="D70" s="49">
        <f>IF(($E64&gt;0),D64,D63)</f>
        <v>0.35</v>
      </c>
      <c r="E70" s="56">
        <f>MAX(C70:D70)</f>
        <v>1.3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Ottawa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25603</v>
      </c>
      <c r="D6" s="34"/>
      <c r="E6" s="33">
        <f>'Data Entry'!F6</f>
        <v>1051</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406</v>
      </c>
      <c r="D7" s="34">
        <f>IF((AND(C66&gt;0,C7&gt;0)),(C7/C66),0)</f>
        <v>15.857516697262039</v>
      </c>
      <c r="E7" s="33">
        <f>'Data Entry'!F7</f>
        <v>17</v>
      </c>
      <c r="F7" s="34">
        <f>IF((AND($E$7&gt;0,$D$66&gt;0)),($E$7/$D$66),0)</f>
        <v>16.175071360608946</v>
      </c>
      <c r="G7" s="39">
        <f t="shared" ref="G7:G15" si="0">IF(L$6=100,"*",IF(M7=FALSE,"--",IF(K7=20,"**",($F7/$D7))))</f>
        <v>1.0200254976494356</v>
      </c>
      <c r="H7" s="40"/>
      <c r="I7" s="41"/>
      <c r="J7" s="40">
        <f>IF((ABS($U7)&gt;Defaults!D$7),1,2)</f>
        <v>2</v>
      </c>
      <c r="K7" s="39">
        <f>IF((AND(N7&gt;Defaults!B$12,(N7+O7)&gt;Defaults!B$13, P7 &gt; Defaults!B$12, (P7+Q7) &gt; Defaults!B$13)),1,20)</f>
        <v>1</v>
      </c>
      <c r="L7" s="1">
        <f t="shared" ref="L7:L15" si="1">(J7*K7+L$6)-1</f>
        <v>2</v>
      </c>
      <c r="M7" s="1" t="b">
        <f t="shared" ref="M7:M15" si="2">(ISNUMBER(J7))</f>
        <v>1</v>
      </c>
      <c r="N7" s="42">
        <f t="shared" ref="N7:N15" si="3">E7</f>
        <v>17</v>
      </c>
      <c r="O7" s="42">
        <f>E6-E7</f>
        <v>1034</v>
      </c>
      <c r="P7" s="42">
        <f t="shared" ref="P7:P15" si="4">C7</f>
        <v>406</v>
      </c>
      <c r="Q7" s="42">
        <f>C6-C7</f>
        <v>25197</v>
      </c>
      <c r="R7" s="42">
        <f t="shared" ref="R7:R15" si="5">SUM(N7:Q7)</f>
        <v>26654</v>
      </c>
      <c r="S7" s="30">
        <f t="shared" ref="S7:S15" si="6">R7*((((N7*Q7)-(O7*P7))^2))</f>
        <v>1946195784350</v>
      </c>
      <c r="T7" s="30">
        <f t="shared" ref="T7:T15" si="7">(N7+O7)*(P7+Q7)*(N7+P7)*(O7+Q7)</f>
        <v>298571800475889</v>
      </c>
      <c r="U7" s="31">
        <f t="shared" ref="U7:U15" si="8">IF((S7&gt;0),S7/T7,"- -")</f>
        <v>6.5183509669968446E-3</v>
      </c>
    </row>
    <row r="8" spans="2:21" ht="18" customHeight="1">
      <c r="B8" s="32" t="str">
        <f>'Data Entry'!A8</f>
        <v>3. Refer to Juvenile Court</v>
      </c>
      <c r="C8" s="33">
        <f>'Data Entry'!C8</f>
        <v>384</v>
      </c>
      <c r="D8" s="34">
        <f>IF((AND(C67&gt;0,C8&gt;0)),(C8/C67),0)</f>
        <v>94.581280788177352</v>
      </c>
      <c r="E8" s="33">
        <f>'Data Entry'!F8</f>
        <v>14</v>
      </c>
      <c r="F8" s="34">
        <f>IF((AND($E$8&gt;0,$D$67&gt;0)),($E8/$D67),0)</f>
        <v>82.35294117647058</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14</v>
      </c>
      <c r="O8" s="42">
        <f>((D67*L67)-E8)+0.05</f>
        <v>3.05</v>
      </c>
      <c r="P8" s="42">
        <f t="shared" si="4"/>
        <v>384</v>
      </c>
      <c r="Q8" s="42">
        <f>(C$67*L67)-C8</f>
        <v>21.999999999999943</v>
      </c>
      <c r="R8" s="42">
        <f t="shared" si="5"/>
        <v>423.04999999999995</v>
      </c>
      <c r="S8" s="30">
        <f t="shared" si="6"/>
        <v>315220579.23200041</v>
      </c>
      <c r="T8" s="30">
        <f t="shared" si="7"/>
        <v>69014638.769999847</v>
      </c>
      <c r="U8" s="31">
        <f t="shared" si="8"/>
        <v>4.567445180471255</v>
      </c>
    </row>
    <row r="9" spans="2:21" ht="18" customHeight="1">
      <c r="B9" s="32" t="str">
        <f>'Data Entry'!A9</f>
        <v xml:space="preserve">4. Cases Diverted </v>
      </c>
      <c r="C9" s="33">
        <f>'Data Entry'!C9</f>
        <v>116</v>
      </c>
      <c r="D9" s="34">
        <f>IF((AND(C68&gt;0,C9&gt;0)),((C9/C68)),0)</f>
        <v>30.208333333333336</v>
      </c>
      <c r="E9" s="33">
        <f>'Data Entry'!F9</f>
        <v>4</v>
      </c>
      <c r="F9" s="34">
        <f>IF((AND($E$9&gt;0,$D$68&gt;0)),(($E$9/$D$68)),0)</f>
        <v>28.571428571428569</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4</v>
      </c>
      <c r="O9" s="42">
        <f>(D$68*L68)-E9</f>
        <v>10.000000000000002</v>
      </c>
      <c r="P9" s="42">
        <f t="shared" si="4"/>
        <v>116</v>
      </c>
      <c r="Q9" s="42">
        <f>(C$68*L68)-C9</f>
        <v>268</v>
      </c>
      <c r="R9" s="42">
        <f t="shared" si="5"/>
        <v>398</v>
      </c>
      <c r="S9" s="30">
        <f t="shared" si="6"/>
        <v>3082112.0000000158</v>
      </c>
      <c r="T9" s="30">
        <f t="shared" si="7"/>
        <v>179343360.00000003</v>
      </c>
      <c r="U9" s="31">
        <f t="shared" si="8"/>
        <v>1.7185537284458232E-2</v>
      </c>
    </row>
    <row r="10" spans="2:21" ht="18" customHeight="1">
      <c r="B10" s="32" t="str">
        <f>'Data Entry'!A10</f>
        <v>5. Cases Involving Secure Detention</v>
      </c>
      <c r="C10" s="33">
        <f>'Data Entry'!C10</f>
        <v>64</v>
      </c>
      <c r="D10" s="34">
        <f>IF(((AND(C68&gt;0,C10&gt;0))),(C10/(C68)),0)</f>
        <v>16.666666666666668</v>
      </c>
      <c r="E10" s="33">
        <f>'Data Entry'!F10</f>
        <v>1</v>
      </c>
      <c r="F10" s="34">
        <f>IF(((AND($E$10&gt;0,$D$68&gt;0))),($E$10/($D$68)),0)</f>
        <v>7.1428571428571423</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1</v>
      </c>
      <c r="O10" s="42">
        <f>(D$68*L68)-E10</f>
        <v>13.000000000000002</v>
      </c>
      <c r="P10" s="42">
        <f t="shared" si="4"/>
        <v>64</v>
      </c>
      <c r="Q10" s="42">
        <f>(C$68*L68)-C10</f>
        <v>320</v>
      </c>
      <c r="R10" s="42">
        <f t="shared" si="5"/>
        <v>398</v>
      </c>
      <c r="S10" s="30">
        <f t="shared" si="6"/>
        <v>104333312.00000004</v>
      </c>
      <c r="T10" s="30">
        <f t="shared" si="7"/>
        <v>116363520.00000001</v>
      </c>
      <c r="U10" s="31">
        <f t="shared" si="8"/>
        <v>0.89661529661529693</v>
      </c>
    </row>
    <row r="11" spans="2:21" ht="18" customHeight="1">
      <c r="B11" s="32" t="str">
        <f>'Data Entry'!A11</f>
        <v>6. Cases Petitioned (Charge Filed)</v>
      </c>
      <c r="C11" s="33">
        <f>'Data Entry'!C11</f>
        <v>268</v>
      </c>
      <c r="D11" s="34">
        <f>IF(((AND(C68&gt;0,C11&gt;0))),(C11/(C68)),0)</f>
        <v>69.791666666666671</v>
      </c>
      <c r="E11" s="33">
        <f>'Data Entry'!F11</f>
        <v>10</v>
      </c>
      <c r="F11" s="34">
        <f>IF(((AND($E$11&gt;0,$D$68&gt;0))),($E$11/($D$68)),0)</f>
        <v>71.428571428571416</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10</v>
      </c>
      <c r="O11" s="42">
        <f>(D$68*L68)-E11</f>
        <v>4.0000000000000018</v>
      </c>
      <c r="P11" s="42">
        <f t="shared" si="4"/>
        <v>268</v>
      </c>
      <c r="Q11" s="42">
        <f>(C$68*L68)-C11</f>
        <v>116</v>
      </c>
      <c r="R11" s="42">
        <f t="shared" si="5"/>
        <v>398</v>
      </c>
      <c r="S11" s="30">
        <f t="shared" si="6"/>
        <v>3082111.9999999683</v>
      </c>
      <c r="T11" s="30">
        <f t="shared" si="7"/>
        <v>179343360.00000003</v>
      </c>
      <c r="U11" s="31">
        <f t="shared" si="8"/>
        <v>1.7185537284457968E-2</v>
      </c>
    </row>
    <row r="12" spans="2:21" ht="18" customHeight="1">
      <c r="B12" s="32" t="str">
        <f>'Data Entry'!A12</f>
        <v>7. Cases Resulting in Delinquent Findings</v>
      </c>
      <c r="C12" s="33">
        <f>'Data Entry'!C12</f>
        <v>130</v>
      </c>
      <c r="D12" s="34">
        <f>IF(((AND(C69&gt;0,C12&gt;0))),(C12/(C69)),0)</f>
        <v>48.507462686567159</v>
      </c>
      <c r="E12" s="33">
        <f>'Data Entry'!F12</f>
        <v>5</v>
      </c>
      <c r="F12" s="34">
        <f>IF(((AND($D$69&gt;0,$E$12&gt;0))),(E12/(D69)),0)</f>
        <v>50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5</v>
      </c>
      <c r="O12" s="42">
        <f>(D69*L69)-E12</f>
        <v>5</v>
      </c>
      <c r="P12" s="42">
        <f t="shared" si="4"/>
        <v>130</v>
      </c>
      <c r="Q12" s="42">
        <f>(C69*L69)-C12</f>
        <v>138</v>
      </c>
      <c r="R12" s="42">
        <f t="shared" si="5"/>
        <v>278</v>
      </c>
      <c r="S12" s="30">
        <f t="shared" si="6"/>
        <v>444800</v>
      </c>
      <c r="T12" s="30">
        <f t="shared" si="7"/>
        <v>51737400</v>
      </c>
      <c r="U12" s="31">
        <f t="shared" si="8"/>
        <v>8.5972623286056128E-3</v>
      </c>
    </row>
    <row r="13" spans="2:21" ht="18" customHeight="1">
      <c r="B13" s="32" t="str">
        <f>'Data Entry'!A13</f>
        <v>8. Cases Resulting in Probation Placement</v>
      </c>
      <c r="C13" s="33">
        <f>'Data Entry'!C13</f>
        <v>127</v>
      </c>
      <c r="D13" s="34">
        <f>IF(((AND(C70&gt;0,C13&gt;0))),(C13/(C70)),0)</f>
        <v>97.692307692307693</v>
      </c>
      <c r="E13" s="33">
        <f>'Data Entry'!F13</f>
        <v>1</v>
      </c>
      <c r="F13" s="34">
        <f>IF(((AND($D$70&gt;0,$E$13&gt;0))),($E$13/($D$70)),0)</f>
        <v>20</v>
      </c>
      <c r="G13" s="39" t="str">
        <f t="shared" si="0"/>
        <v>**</v>
      </c>
      <c r="H13" s="40"/>
      <c r="I13" s="41"/>
      <c r="J13" s="40">
        <f>IF((ABS($U13)&gt;Defaults!D$7),1,2)</f>
        <v>1</v>
      </c>
      <c r="K13" s="39">
        <f>IF((AND(N13&gt;Defaults!B$12,(N13+O13)&gt;Defaults!B$13, P13 &gt; Defaults!B$12, (P13+Q13) &gt; Defaults!B$13)),1,20)</f>
        <v>20</v>
      </c>
      <c r="L13" s="1">
        <f t="shared" si="1"/>
        <v>20</v>
      </c>
      <c r="M13" s="1" t="b">
        <f t="shared" si="2"/>
        <v>1</v>
      </c>
      <c r="N13" s="42">
        <f t="shared" si="3"/>
        <v>1</v>
      </c>
      <c r="O13" s="42">
        <f>(D70*L70)-E13</f>
        <v>4</v>
      </c>
      <c r="P13" s="42">
        <f t="shared" si="4"/>
        <v>127</v>
      </c>
      <c r="Q13" s="42">
        <f>(C70*L70)-C13</f>
        <v>3</v>
      </c>
      <c r="R13" s="42">
        <f t="shared" si="5"/>
        <v>135</v>
      </c>
      <c r="S13" s="30">
        <f t="shared" si="6"/>
        <v>34428375</v>
      </c>
      <c r="T13" s="30">
        <f t="shared" si="7"/>
        <v>582400</v>
      </c>
      <c r="U13" s="31">
        <f t="shared" si="8"/>
        <v>59.114654876373628</v>
      </c>
    </row>
    <row r="14" spans="2:21" ht="30.75" customHeight="1">
      <c r="B14" s="32" t="str">
        <f>'Data Entry'!A14</f>
        <v xml:space="preserve">9. Cases Resulting in Confinement in Secure Juvenile Correctional Facilities </v>
      </c>
      <c r="C14" s="33">
        <f>'Data Entry'!C14</f>
        <v>2</v>
      </c>
      <c r="D14" s="34">
        <f>IF(((AND(C70&gt;0,C14&gt;0))), ((C14/(C70))),0)</f>
        <v>1.5384615384615383</v>
      </c>
      <c r="E14" s="33">
        <f>'Data Entry'!F14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5</v>
      </c>
      <c r="P14" s="42">
        <f t="shared" si="4"/>
        <v>2</v>
      </c>
      <c r="Q14" s="42">
        <f>(C70*L70)-C14</f>
        <v>128</v>
      </c>
      <c r="R14" s="42">
        <f t="shared" si="5"/>
        <v>135</v>
      </c>
      <c r="S14" s="30">
        <f t="shared" si="6"/>
        <v>13500</v>
      </c>
      <c r="T14" s="30">
        <f t="shared" si="7"/>
        <v>172900</v>
      </c>
      <c r="U14" s="31">
        <f t="shared" si="8"/>
        <v>7.807981492192019E-2</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10</v>
      </c>
      <c r="P15" s="42">
        <f t="shared" si="4"/>
        <v>0</v>
      </c>
      <c r="Q15" s="42">
        <f>(C69*L69)-C15</f>
        <v>268</v>
      </c>
      <c r="R15" s="42">
        <f t="shared" si="5"/>
        <v>278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25.603000000000002</v>
      </c>
      <c r="D42" s="56">
        <f>E6/1000</f>
        <v>1.0509999999999999</v>
      </c>
      <c r="E42" s="56">
        <f>MAX(C42:D42)</f>
        <v>25.603000000000002</v>
      </c>
      <c r="G42" s="1" t="str">
        <f>B42</f>
        <v>per 1000 youth</v>
      </c>
      <c r="L42" s="57">
        <v>1000</v>
      </c>
      <c r="M42" s="57"/>
      <c r="R42" s="49"/>
    </row>
    <row r="43" spans="2:18" ht="15" hidden="1" customHeight="1">
      <c r="B43" s="49" t="s">
        <v>87</v>
      </c>
      <c r="C43" s="56">
        <f>C7/100</f>
        <v>4.0599999999999996</v>
      </c>
      <c r="D43" s="56">
        <f>E7/100</f>
        <v>0.17</v>
      </c>
      <c r="E43" s="56">
        <f>MAX(C43:D43,0)</f>
        <v>4.0599999999999996</v>
      </c>
      <c r="G43" s="1" t="str">
        <f>B43</f>
        <v>per 100 arrests</v>
      </c>
      <c r="L43" s="57">
        <v>100</v>
      </c>
      <c r="M43" s="57"/>
      <c r="R43" s="49"/>
    </row>
    <row r="44" spans="2:18" ht="15" hidden="1" customHeight="1">
      <c r="B44" s="49" t="s">
        <v>88</v>
      </c>
      <c r="C44" s="56">
        <f>C8/100</f>
        <v>3.84</v>
      </c>
      <c r="D44" s="56">
        <f>E8/100</f>
        <v>0.14000000000000001</v>
      </c>
      <c r="E44" s="56">
        <f>MAX(C44:D44,0)</f>
        <v>3.84</v>
      </c>
      <c r="G44" s="1" t="str">
        <f>B44</f>
        <v>per 100 referrals</v>
      </c>
      <c r="L44" s="57">
        <v>100</v>
      </c>
      <c r="M44" s="57"/>
      <c r="R44" s="49"/>
    </row>
    <row r="45" spans="2:18" ht="15" hidden="1" customHeight="1">
      <c r="B45" s="49" t="s">
        <v>89</v>
      </c>
      <c r="C45" s="49">
        <f>C11/100</f>
        <v>2.68</v>
      </c>
      <c r="D45" s="49">
        <f>E11/100</f>
        <v>0.1</v>
      </c>
      <c r="E45" s="56">
        <f>MAX(C45:D45,0)</f>
        <v>2.68</v>
      </c>
      <c r="G45" s="1" t="str">
        <f>B45</f>
        <v>per 100 youth petitioned</v>
      </c>
      <c r="L45" s="57">
        <v>100</v>
      </c>
      <c r="M45" s="57"/>
      <c r="R45" s="49"/>
    </row>
    <row r="46" spans="2:18" ht="15" hidden="1" customHeight="1">
      <c r="B46" s="49" t="s">
        <v>90</v>
      </c>
      <c r="C46" s="49">
        <f>C12/100</f>
        <v>1.3</v>
      </c>
      <c r="D46" s="49">
        <f>E12/100</f>
        <v>0.05</v>
      </c>
      <c r="E46" s="56">
        <f>MAX(C46:D46)</f>
        <v>1.3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25.603000000000002</v>
      </c>
      <c r="D48" s="56">
        <f>D42</f>
        <v>1.0509999999999999</v>
      </c>
      <c r="E48" s="56">
        <f>MAX(C48:D48)</f>
        <v>25.603000000000002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4.0599999999999996</v>
      </c>
      <c r="D49" s="49">
        <f t="shared" si="9"/>
        <v>0.17</v>
      </c>
      <c r="E49" s="49">
        <f>MAX(C49:D49)</f>
        <v>4.0599999999999996</v>
      </c>
      <c r="G49" s="1" t="str">
        <f>G43</f>
        <v>per 100 arrests</v>
      </c>
      <c r="L49" s="58">
        <f>IF(($E43&gt;0),L43,L42)</f>
        <v>100</v>
      </c>
      <c r="M49" s="58"/>
      <c r="N49" s="21"/>
      <c r="O49" s="21"/>
      <c r="P49" s="21"/>
      <c r="Q49" s="21"/>
      <c r="R49" s="21"/>
    </row>
    <row r="50" spans="2:18" ht="15" hidden="1" customHeight="1">
      <c r="B50" s="49" t="str">
        <f t="shared" si="9"/>
        <v>per 100 referrals</v>
      </c>
      <c r="C50" s="49">
        <f t="shared" si="9"/>
        <v>3.84</v>
      </c>
      <c r="D50" s="49">
        <f t="shared" si="9"/>
        <v>0.14000000000000001</v>
      </c>
      <c r="E50" s="49">
        <f>MAX(C50:D50)</f>
        <v>3.84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2.68</v>
      </c>
      <c r="D51" s="49">
        <f>IF(($E45&gt;0),D45,D44)</f>
        <v>0.1</v>
      </c>
      <c r="E51" s="49">
        <f>MAX(C51:D51)</f>
        <v>2.68</v>
      </c>
      <c r="G51" s="1" t="str">
        <f>G45</f>
        <v>per 100 youth petitioned</v>
      </c>
      <c r="L51" s="58">
        <f>IF(($E45&gt;0),L45,L44)</f>
        <v>100</v>
      </c>
      <c r="M51" s="58"/>
    </row>
    <row r="52" spans="2:18" ht="15" hidden="1" customHeight="1">
      <c r="B52" s="49" t="str">
        <f>IF(($E46&gt;0),B46,B45)</f>
        <v>per 100 youth found delinquent</v>
      </c>
      <c r="C52" s="49">
        <f>IF(($E46&gt;0),C46,C45)</f>
        <v>1.3</v>
      </c>
      <c r="D52" s="49">
        <f>IF(($E46&gt;0),D46,D45)</f>
        <v>0.05</v>
      </c>
      <c r="E52" s="56">
        <f>MAX(C52:D52)</f>
        <v>1.3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25.603000000000002</v>
      </c>
      <c r="D54" s="56">
        <f>D48</f>
        <v>1.0509999999999999</v>
      </c>
      <c r="E54" s="56">
        <f>MAX(C54:D54)</f>
        <v>25.603000000000002</v>
      </c>
      <c r="G54" s="1" t="str">
        <f>G48</f>
        <v>per 1000 youth</v>
      </c>
      <c r="L54" s="58">
        <f>L48</f>
        <v>1000</v>
      </c>
      <c r="M54" s="58"/>
    </row>
    <row r="55" spans="2:18" ht="15" hidden="1" customHeight="1">
      <c r="B55" s="49" t="str">
        <f t="shared" ref="B55:D56" si="10">IF(($E49&gt;0),B49,B48)</f>
        <v>per 100 arrests</v>
      </c>
      <c r="C55" s="49">
        <f t="shared" si="10"/>
        <v>4.0599999999999996</v>
      </c>
      <c r="D55" s="49">
        <f t="shared" si="10"/>
        <v>0.17</v>
      </c>
      <c r="E55" s="49">
        <f>MAX(C55:D55)</f>
        <v>4.0599999999999996</v>
      </c>
      <c r="G55" s="1" t="str">
        <f>G49</f>
        <v>per 100 arrests</v>
      </c>
      <c r="L55" s="58">
        <f>IF(($E49&gt;0),L49,L48)</f>
        <v>100</v>
      </c>
      <c r="M55" s="58"/>
    </row>
    <row r="56" spans="2:18" ht="15" hidden="1" customHeight="1">
      <c r="B56" s="49" t="str">
        <f t="shared" si="10"/>
        <v>per 100 referrals</v>
      </c>
      <c r="C56" s="49">
        <f t="shared" si="10"/>
        <v>3.84</v>
      </c>
      <c r="D56" s="49">
        <f t="shared" si="10"/>
        <v>0.14000000000000001</v>
      </c>
      <c r="E56" s="49">
        <f>MAX(C56:D56)</f>
        <v>3.84</v>
      </c>
      <c r="G56" s="1" t="str">
        <f>G50</f>
        <v>per 100 referrals</v>
      </c>
      <c r="L56" s="58">
        <f>IF(($E50&gt;0),L50,L49)</f>
        <v>100</v>
      </c>
      <c r="M56" s="58"/>
    </row>
    <row r="57" spans="2:18" ht="15" hidden="1" customHeight="1">
      <c r="B57" s="49" t="str">
        <f>IF(($E51&gt;0),B51,B49)</f>
        <v>per 100 youth petitioned</v>
      </c>
      <c r="C57" s="49">
        <f>IF(($E51&gt;0),C51,C50)</f>
        <v>2.68</v>
      </c>
      <c r="D57" s="49">
        <f>IF(($E51&gt;0),D51,D50)</f>
        <v>0.1</v>
      </c>
      <c r="E57" s="49">
        <f>MAX(C57:D57)</f>
        <v>2.68</v>
      </c>
      <c r="G57" s="1" t="str">
        <f>G51</f>
        <v>per 100 youth petitioned</v>
      </c>
      <c r="L57" s="58">
        <f>IF(($E51&gt;0),L51,L50)</f>
        <v>100</v>
      </c>
      <c r="M57" s="58"/>
    </row>
    <row r="58" spans="2:18" ht="15" hidden="1" customHeight="1">
      <c r="B58" s="49" t="str">
        <f>IF(($E52&gt;0),B52,B51)</f>
        <v>per 100 youth found delinquent</v>
      </c>
      <c r="C58" s="49">
        <f>IF(($E52&gt;0),C52,C51)</f>
        <v>1.3</v>
      </c>
      <c r="D58" s="49">
        <f>IF(($E52&gt;0),D52,D51)</f>
        <v>0.05</v>
      </c>
      <c r="E58" s="56">
        <f>MAX(C58:D58)</f>
        <v>1.3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25.603000000000002</v>
      </c>
      <c r="D60" s="56">
        <f>D54</f>
        <v>1.0509999999999999</v>
      </c>
      <c r="E60" s="56">
        <f>MAX(C60:D60)</f>
        <v>25.603000000000002</v>
      </c>
      <c r="G60" s="1" t="str">
        <f>G54</f>
        <v>per 1000 youth</v>
      </c>
      <c r="L60" s="58">
        <f>L54</f>
        <v>1000</v>
      </c>
      <c r="M60" s="58"/>
    </row>
    <row r="61" spans="2:18" ht="15" hidden="1" customHeight="1">
      <c r="B61" s="49" t="str">
        <f t="shared" ref="B61:D62" si="11">IF(($E55&gt;0),B55,B54)</f>
        <v>per 100 arrests</v>
      </c>
      <c r="C61" s="49">
        <f t="shared" si="11"/>
        <v>4.0599999999999996</v>
      </c>
      <c r="D61" s="49">
        <f t="shared" si="11"/>
        <v>0.17</v>
      </c>
      <c r="E61" s="49">
        <f>MAX(C61:D61)</f>
        <v>4.0599999999999996</v>
      </c>
      <c r="G61" s="1" t="str">
        <f>G55</f>
        <v>per 100 arrests</v>
      </c>
      <c r="L61" s="58">
        <f>IF(($E55&gt;0),L55,L54)</f>
        <v>100</v>
      </c>
      <c r="M61" s="58"/>
    </row>
    <row r="62" spans="2:18" ht="15" hidden="1" customHeight="1">
      <c r="B62" s="49" t="str">
        <f t="shared" si="11"/>
        <v>per 100 referrals</v>
      </c>
      <c r="C62" s="49">
        <f t="shared" si="11"/>
        <v>3.84</v>
      </c>
      <c r="D62" s="49">
        <f t="shared" si="11"/>
        <v>0.14000000000000001</v>
      </c>
      <c r="E62" s="49">
        <f>MAX(C62:D62)</f>
        <v>3.84</v>
      </c>
      <c r="G62" s="1" t="str">
        <f>G56</f>
        <v>per 100 referrals</v>
      </c>
      <c r="L62" s="58">
        <f>IF(($E56&gt;0),L56,L55)</f>
        <v>100</v>
      </c>
      <c r="M62" s="58"/>
    </row>
    <row r="63" spans="2:18" ht="15" hidden="1" customHeight="1">
      <c r="B63" s="49" t="str">
        <f>IF(($E57&gt;0),B57,B55)</f>
        <v>per 100 youth petitioned</v>
      </c>
      <c r="C63" s="49">
        <f>IF(($E57&gt;0),C57,C56)</f>
        <v>2.68</v>
      </c>
      <c r="D63" s="49">
        <f>IF(($E57&gt;0),D57,D56)</f>
        <v>0.1</v>
      </c>
      <c r="E63" s="49">
        <f>MAX(C63:D63)</f>
        <v>2.68</v>
      </c>
      <c r="G63" s="1" t="str">
        <f>G57</f>
        <v>per 100 youth petitioned</v>
      </c>
      <c r="L63" s="58">
        <f>IF(($E57&gt;0),L57,L56)</f>
        <v>100</v>
      </c>
      <c r="M63" s="58"/>
    </row>
    <row r="64" spans="2:18" ht="15" hidden="1" customHeight="1">
      <c r="B64" s="49" t="str">
        <f>IF(($E58&gt;0),B58,B57)</f>
        <v>per 100 youth found delinquent</v>
      </c>
      <c r="C64" s="49">
        <f>IF(($E58&gt;0),C58,C57)</f>
        <v>1.3</v>
      </c>
      <c r="D64" s="49">
        <f>IF(($E58&gt;0),D58,D57)</f>
        <v>0.05</v>
      </c>
      <c r="E64" s="56">
        <f>MAX(C64:D64)</f>
        <v>1.3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25.603000000000002</v>
      </c>
      <c r="D66" s="56">
        <f>D60</f>
        <v>1.0509999999999999</v>
      </c>
      <c r="E66" s="56">
        <f>MAX(C66:D66)</f>
        <v>25.603000000000002</v>
      </c>
      <c r="G66" s="1" t="str">
        <f>G60</f>
        <v>per 1000 youth</v>
      </c>
      <c r="L66" s="58">
        <f>L60</f>
        <v>1000</v>
      </c>
      <c r="M66" s="58">
        <f>IF((B66=G66),1,2)</f>
        <v>1</v>
      </c>
    </row>
    <row r="67" spans="2:13" ht="15" hidden="1" customHeight="1">
      <c r="B67" s="49" t="str">
        <f t="shared" ref="B67:D68" si="12">IF(($E61&gt;0),B61,B60)</f>
        <v>per 100 arrests</v>
      </c>
      <c r="C67" s="49">
        <f t="shared" si="12"/>
        <v>4.0599999999999996</v>
      </c>
      <c r="D67" s="49">
        <f t="shared" si="12"/>
        <v>0.17</v>
      </c>
      <c r="E67" s="49">
        <f>MAX(C67:D67)</f>
        <v>4.0599999999999996</v>
      </c>
      <c r="G67" s="1" t="str">
        <f>G61</f>
        <v>per 100 arrests</v>
      </c>
      <c r="L67" s="58">
        <f>IF(($E61&gt;0),L61,L60)</f>
        <v>100</v>
      </c>
      <c r="M67" s="58">
        <f>IF((B67=G67),1,2)</f>
        <v>1</v>
      </c>
    </row>
    <row r="68" spans="2:13" ht="15" hidden="1" customHeight="1">
      <c r="B68" s="49" t="str">
        <f t="shared" si="12"/>
        <v>per 100 referrals</v>
      </c>
      <c r="C68" s="49">
        <f t="shared" si="12"/>
        <v>3.84</v>
      </c>
      <c r="D68" s="49">
        <f t="shared" si="12"/>
        <v>0.14000000000000001</v>
      </c>
      <c r="E68" s="49">
        <f>MAX(C68:D68)</f>
        <v>3.84</v>
      </c>
      <c r="G68" s="1" t="str">
        <f>G62</f>
        <v>per 100 referrals</v>
      </c>
      <c r="L68" s="58">
        <f>IF(($E62&gt;0),L62,L61)</f>
        <v>100</v>
      </c>
      <c r="M68" s="58">
        <f>IF((B68=G68),1,2)</f>
        <v>1</v>
      </c>
    </row>
    <row r="69" spans="2:13" ht="15" hidden="1" customHeight="1">
      <c r="B69" s="49" t="str">
        <f>IF(($E63&gt;0),B63,B61)</f>
        <v>per 100 youth petitioned</v>
      </c>
      <c r="C69" s="49">
        <f>IF(($E63&gt;0),C63,C62)</f>
        <v>2.68</v>
      </c>
      <c r="D69" s="49">
        <f>IF(($E63&gt;0),D63,D62)</f>
        <v>0.1</v>
      </c>
      <c r="E69" s="49">
        <f>MAX(C69:D69)</f>
        <v>2.68</v>
      </c>
      <c r="G69" s="1" t="str">
        <f>G63</f>
        <v>per 100 youth petitioned</v>
      </c>
      <c r="L69" s="58">
        <f>IF(($E63&gt;0),L63,L62)</f>
        <v>100</v>
      </c>
      <c r="M69" s="58">
        <f>IF((B69=G69),1,2)</f>
        <v>1</v>
      </c>
    </row>
    <row r="70" spans="2:13" ht="15" hidden="1" customHeight="1">
      <c r="B70" s="49" t="str">
        <f>IF(($E64&gt;0),B64,B63)</f>
        <v>per 100 youth found delinquent</v>
      </c>
      <c r="C70" s="49">
        <f>IF(($E64&gt;0),C64,C63)</f>
        <v>1.3</v>
      </c>
      <c r="D70" s="49">
        <f>IF(($E64&gt;0),D64,D63)</f>
        <v>0.05</v>
      </c>
      <c r="E70" s="56">
        <f>MAX(C70:D70)</f>
        <v>1.3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Ottawa</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25603</v>
      </c>
      <c r="D6" s="34"/>
      <c r="E6" s="33">
        <f>'Data Entry'!E6</f>
        <v>5090</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406</v>
      </c>
      <c r="D7" s="34">
        <f>IF((AND(C66&gt;0,C7&gt;0)),(C7/C66),0)</f>
        <v>15.857516697262039</v>
      </c>
      <c r="E7" s="33">
        <f>'Data Entry'!E7</f>
        <v>63</v>
      </c>
      <c r="F7" s="34">
        <f>IF((AND($E$7&gt;0,$D$66&gt;0)),($E$7/$D$66),0)</f>
        <v>12.37721021611002</v>
      </c>
      <c r="G7" s="39">
        <f t="shared" ref="G7:G15" si="0">IF(L$6=100,"*",IF(M7=FALSE,"--",IF(K7=20,"**",($F7/$D7))))</f>
        <v>0.78052638710114497</v>
      </c>
      <c r="H7" s="40"/>
      <c r="I7" s="41"/>
      <c r="J7" s="40">
        <f>IF((ABS($U7)&gt;Defaults!D$7),1,2)</f>
        <v>2</v>
      </c>
      <c r="K7" s="39">
        <f>IF((AND(N7&gt;Defaults!B$12,(N7+O7)&gt;Defaults!B$13, P7 &gt; Defaults!B$12, (P7+Q7) &gt; Defaults!B$13)),1,20)</f>
        <v>1</v>
      </c>
      <c r="L7" s="1">
        <f t="shared" ref="L7:L15" si="1">(J7*K7+L$6)-1</f>
        <v>2</v>
      </c>
      <c r="M7" s="1" t="b">
        <f t="shared" ref="M7:M15" si="2">(ISNUMBER(J7))</f>
        <v>1</v>
      </c>
      <c r="N7" s="42">
        <f t="shared" ref="N7:N15" si="3">E7</f>
        <v>63</v>
      </c>
      <c r="O7" s="42">
        <f>E6-E7</f>
        <v>5027</v>
      </c>
      <c r="P7" s="42">
        <f t="shared" ref="P7:P15" si="4">C7</f>
        <v>406</v>
      </c>
      <c r="Q7" s="42">
        <f>C6-C7</f>
        <v>25197</v>
      </c>
      <c r="R7" s="42">
        <f t="shared" ref="R7:R15" si="5">SUM(N7:Q7)</f>
        <v>30693</v>
      </c>
      <c r="S7" s="30">
        <f t="shared" ref="S7:S15" si="6">R7*((((N7*Q7)-(O7*P7))^2))</f>
        <v>6313811285183493</v>
      </c>
      <c r="T7" s="30">
        <f t="shared" ref="T7:T15" si="7">(N7+O7)*(P7+Q7)*(N7+P7)*(O7+Q7)</f>
        <v>1847282950129120</v>
      </c>
      <c r="U7" s="31">
        <f t="shared" ref="U7:U15" si="8">IF((S7&gt;0),S7/T7,"- -")</f>
        <v>3.4178907377140977</v>
      </c>
    </row>
    <row r="8" spans="2:21" ht="18" customHeight="1">
      <c r="B8" s="32" t="str">
        <f>'Data Entry'!A8</f>
        <v>3. Refer to Juvenile Court</v>
      </c>
      <c r="C8" s="33">
        <f>'Data Entry'!C8</f>
        <v>384</v>
      </c>
      <c r="D8" s="34">
        <f>IF((AND(C67&gt;0,C8&gt;0)),(C8/C67),0)</f>
        <v>94.581280788177352</v>
      </c>
      <c r="E8" s="33">
        <f>'Data Entry'!E8</f>
        <v>204</v>
      </c>
      <c r="F8" s="34">
        <f>IF((AND($E$8&gt;0,$D$67&gt;0)),($E8/$D67),0)</f>
        <v>323.8095238095238</v>
      </c>
      <c r="G8" s="39">
        <f t="shared" si="0"/>
        <v>3.4236111111111107</v>
      </c>
      <c r="H8" s="40"/>
      <c r="I8" s="41"/>
      <c r="J8" s="40">
        <f>IF((ABS($U8)&gt;Defaults!D$7),1,2)</f>
        <v>1</v>
      </c>
      <c r="K8" s="39">
        <f>IF((AND(N8&gt;Defaults!B$12,(N8+O8)&gt;Defaults!B$13, P8 &gt; Defaults!B$12, (P8+Q8) &gt; Defaults!B$13)),1,20)</f>
        <v>1</v>
      </c>
      <c r="L8" s="1">
        <f t="shared" si="1"/>
        <v>1</v>
      </c>
      <c r="M8" s="1" t="b">
        <f t="shared" si="2"/>
        <v>1</v>
      </c>
      <c r="N8" s="42">
        <f t="shared" si="3"/>
        <v>204</v>
      </c>
      <c r="O8" s="42">
        <f>((D67*L67)-E8)+0.05</f>
        <v>-140.94999999999999</v>
      </c>
      <c r="P8" s="42">
        <f t="shared" si="4"/>
        <v>384</v>
      </c>
      <c r="Q8" s="42">
        <f>(C$67*L67)-C8</f>
        <v>21.999999999999943</v>
      </c>
      <c r="R8" s="42">
        <f t="shared" si="5"/>
        <v>469.04999999999995</v>
      </c>
      <c r="S8" s="30">
        <f t="shared" si="6"/>
        <v>1611402664897.1509</v>
      </c>
      <c r="T8" s="30">
        <f t="shared" si="7"/>
        <v>-1790411657.5800006</v>
      </c>
      <c r="U8" s="31">
        <f t="shared" si="8"/>
        <v>-900.01796965240601</v>
      </c>
    </row>
    <row r="9" spans="2:21" ht="18" customHeight="1">
      <c r="B9" s="32" t="str">
        <f>'Data Entry'!A9</f>
        <v xml:space="preserve">4. Cases Diverted </v>
      </c>
      <c r="C9" s="33">
        <f>'Data Entry'!C9</f>
        <v>116</v>
      </c>
      <c r="D9" s="34">
        <f>IF((AND(C68&gt;0,C9&gt;0)),((C9/C68)),0)</f>
        <v>30.208333333333336</v>
      </c>
      <c r="E9" s="33">
        <f>'Data Entry'!E9</f>
        <v>51</v>
      </c>
      <c r="F9" s="34">
        <f>IF((AND($E$9&gt;0,$D$68&gt;0)),(($E$9/$D$68)),0)</f>
        <v>25</v>
      </c>
      <c r="G9" s="39">
        <f t="shared" si="0"/>
        <v>0.82758620689655171</v>
      </c>
      <c r="H9" s="40"/>
      <c r="I9" s="41"/>
      <c r="J9" s="40">
        <f>IF((ABS($U9)&gt;Defaults!D$7),1,2)</f>
        <v>2</v>
      </c>
      <c r="K9" s="39">
        <f>IF((AND(N9&gt;Defaults!B$12,(N9+O9)&gt;Defaults!B$13, P9 &gt; Defaults!B$12, (P9+Q9) &gt; Defaults!B$13)),1,20)</f>
        <v>1</v>
      </c>
      <c r="L9" s="1">
        <f t="shared" si="1"/>
        <v>2</v>
      </c>
      <c r="M9" s="1" t="b">
        <f t="shared" si="2"/>
        <v>1</v>
      </c>
      <c r="N9" s="42">
        <f t="shared" si="3"/>
        <v>51</v>
      </c>
      <c r="O9" s="42">
        <f>(D$68*L68)-E9</f>
        <v>153</v>
      </c>
      <c r="P9" s="42">
        <f t="shared" si="4"/>
        <v>116</v>
      </c>
      <c r="Q9" s="42">
        <f>(C$68*L68)-C9</f>
        <v>268</v>
      </c>
      <c r="R9" s="42">
        <f t="shared" si="5"/>
        <v>588</v>
      </c>
      <c r="S9" s="30">
        <f t="shared" si="6"/>
        <v>9788083200</v>
      </c>
      <c r="T9" s="30">
        <f t="shared" si="7"/>
        <v>5507569152</v>
      </c>
      <c r="U9" s="31">
        <f t="shared" si="8"/>
        <v>1.7772056836445873</v>
      </c>
    </row>
    <row r="10" spans="2:21" ht="18" customHeight="1">
      <c r="B10" s="32" t="str">
        <f>'Data Entry'!A10</f>
        <v>5. Cases Involving Secure Detention</v>
      </c>
      <c r="C10" s="33">
        <f>'Data Entry'!C10</f>
        <v>64</v>
      </c>
      <c r="D10" s="34">
        <f>IF(((AND(C68&gt;0,C10&gt;0))),(C10/(C68)),0)</f>
        <v>16.666666666666668</v>
      </c>
      <c r="E10" s="33">
        <f>'Data Entry'!E10</f>
        <v>50</v>
      </c>
      <c r="F10" s="34">
        <f>IF(((AND($E$10&gt;0,$D$68&gt;0))),($E$10/($D$68)),0)</f>
        <v>24.509803921568626</v>
      </c>
      <c r="G10" s="39">
        <f t="shared" si="0"/>
        <v>1.4705882352941175</v>
      </c>
      <c r="H10" s="40"/>
      <c r="I10" s="41"/>
      <c r="J10" s="40">
        <f>IF((ABS($U10)&gt;Defaults!D$7),1,2)</f>
        <v>1</v>
      </c>
      <c r="K10" s="39">
        <f>IF((AND(N10&gt;Defaults!B$12,(N10+O10)&gt;Defaults!B$13, P10 &gt; Defaults!B$12, (P10+Q10) &gt; Defaults!B$13)),1,20)</f>
        <v>1</v>
      </c>
      <c r="L10" s="1">
        <f t="shared" si="1"/>
        <v>1</v>
      </c>
      <c r="M10" s="1" t="b">
        <f t="shared" si="2"/>
        <v>1</v>
      </c>
      <c r="N10" s="42">
        <f t="shared" si="3"/>
        <v>50</v>
      </c>
      <c r="O10" s="42">
        <f>(D$68*L68)-E10</f>
        <v>154</v>
      </c>
      <c r="P10" s="42">
        <f t="shared" si="4"/>
        <v>64</v>
      </c>
      <c r="Q10" s="42">
        <f>(C$68*L68)-C10</f>
        <v>320</v>
      </c>
      <c r="R10" s="42">
        <f t="shared" si="5"/>
        <v>588</v>
      </c>
      <c r="S10" s="30">
        <f t="shared" si="6"/>
        <v>22196256768</v>
      </c>
      <c r="T10" s="30">
        <f t="shared" si="7"/>
        <v>4232964096</v>
      </c>
      <c r="U10" s="31">
        <f t="shared" si="8"/>
        <v>5.2436676202792913</v>
      </c>
    </row>
    <row r="11" spans="2:21" ht="18" customHeight="1">
      <c r="B11" s="32" t="str">
        <f>'Data Entry'!A11</f>
        <v>6. Cases Petitioned (Charge Filed)</v>
      </c>
      <c r="C11" s="33">
        <f>'Data Entry'!C11</f>
        <v>268</v>
      </c>
      <c r="D11" s="34">
        <f>IF(((AND(C68&gt;0,C11&gt;0))),(C11/(C68)),0)</f>
        <v>69.791666666666671</v>
      </c>
      <c r="E11" s="33">
        <f>'Data Entry'!E11</f>
        <v>153</v>
      </c>
      <c r="F11" s="34">
        <f>IF(((AND($E$11&gt;0,$D$68&gt;0))),($E$11/($D$68)),0)</f>
        <v>75</v>
      </c>
      <c r="G11" s="39">
        <f t="shared" si="0"/>
        <v>1.0746268656716418</v>
      </c>
      <c r="H11" s="40"/>
      <c r="I11" s="41"/>
      <c r="J11" s="40">
        <f>IF((ABS($U11)&gt;Defaults!D$7),1,2)</f>
        <v>2</v>
      </c>
      <c r="K11" s="39">
        <f>IF((AND(N11&gt;Defaults!B$12,(N11+O11)&gt;Defaults!B$13, P11 &gt; Defaults!B$12, (P11+Q11) &gt; Defaults!B$13)),1,20)</f>
        <v>1</v>
      </c>
      <c r="L11" s="1">
        <f t="shared" si="1"/>
        <v>2</v>
      </c>
      <c r="M11" s="1" t="b">
        <f t="shared" si="2"/>
        <v>1</v>
      </c>
      <c r="N11" s="42">
        <f t="shared" si="3"/>
        <v>153</v>
      </c>
      <c r="O11" s="42">
        <f>(D$68*L68)-E11</f>
        <v>51</v>
      </c>
      <c r="P11" s="42">
        <f t="shared" si="4"/>
        <v>268</v>
      </c>
      <c r="Q11" s="42">
        <f>(C$68*L68)-C11</f>
        <v>116</v>
      </c>
      <c r="R11" s="42">
        <f t="shared" si="5"/>
        <v>588</v>
      </c>
      <c r="S11" s="30">
        <f t="shared" si="6"/>
        <v>9788083200</v>
      </c>
      <c r="T11" s="30">
        <f t="shared" si="7"/>
        <v>5507569152</v>
      </c>
      <c r="U11" s="31">
        <f t="shared" si="8"/>
        <v>1.7772056836445873</v>
      </c>
    </row>
    <row r="12" spans="2:21" ht="18" customHeight="1">
      <c r="B12" s="32" t="str">
        <f>'Data Entry'!A12</f>
        <v>7. Cases Resulting in Delinquent Findings</v>
      </c>
      <c r="C12" s="33">
        <f>'Data Entry'!C12</f>
        <v>130</v>
      </c>
      <c r="D12" s="34">
        <f>IF(((AND(C69&gt;0,C12&gt;0))),(C12/(C69)),0)</f>
        <v>48.507462686567159</v>
      </c>
      <c r="E12" s="33">
        <f>'Data Entry'!E12</f>
        <v>88</v>
      </c>
      <c r="F12" s="34">
        <f>IF(((AND($D$69&gt;0,$E$12&gt;0))),(E12/(D69)),0)</f>
        <v>57.516339869281047</v>
      </c>
      <c r="G12" s="39">
        <f t="shared" si="0"/>
        <v>1.1857214680744095</v>
      </c>
      <c r="H12" s="40"/>
      <c r="I12" s="41"/>
      <c r="J12" s="40">
        <f>IF((ABS($U12)&gt;Defaults!D$7),1,2)</f>
        <v>2</v>
      </c>
      <c r="K12" s="39">
        <f>IF((AND(N12&gt;Defaults!B$12,(N12+O12)&gt;Defaults!B$13, P12 &gt; Defaults!B$12, (P12+Q12) &gt; Defaults!B$13)),1,20)</f>
        <v>1</v>
      </c>
      <c r="L12" s="1">
        <f t="shared" si="1"/>
        <v>2</v>
      </c>
      <c r="M12" s="1" t="b">
        <f t="shared" si="2"/>
        <v>1</v>
      </c>
      <c r="N12" s="42">
        <f t="shared" si="3"/>
        <v>88</v>
      </c>
      <c r="O12" s="42">
        <f>(D69*L69)-E12</f>
        <v>65</v>
      </c>
      <c r="P12" s="42">
        <f t="shared" si="4"/>
        <v>130</v>
      </c>
      <c r="Q12" s="42">
        <f>(C69*L69)-C12</f>
        <v>138</v>
      </c>
      <c r="R12" s="42">
        <f t="shared" si="5"/>
        <v>421</v>
      </c>
      <c r="S12" s="30">
        <f t="shared" si="6"/>
        <v>5744812756</v>
      </c>
      <c r="T12" s="30">
        <f t="shared" si="7"/>
        <v>1814591016</v>
      </c>
      <c r="U12" s="31">
        <f t="shared" si="8"/>
        <v>3.1658994811203232</v>
      </c>
    </row>
    <row r="13" spans="2:21" ht="18" customHeight="1">
      <c r="B13" s="32" t="str">
        <f>'Data Entry'!A13</f>
        <v>8. Cases Resulting in Probation Placement</v>
      </c>
      <c r="C13" s="33">
        <f>'Data Entry'!C13</f>
        <v>127</v>
      </c>
      <c r="D13" s="34">
        <f>IF(((AND(C70&gt;0,C13&gt;0))),(C13/(C70)),0)</f>
        <v>97.692307692307693</v>
      </c>
      <c r="E13" s="33">
        <f>'Data Entry'!E13</f>
        <v>60</v>
      </c>
      <c r="F13" s="34">
        <f>IF(((AND($D$70&gt;0,$E$13&gt;0))),($E$13/($D$70)),0)</f>
        <v>68.181818181818187</v>
      </c>
      <c r="G13" s="39">
        <f t="shared" si="0"/>
        <v>0.69792412312097352</v>
      </c>
      <c r="H13" s="40"/>
      <c r="I13" s="41"/>
      <c r="J13" s="40">
        <f>IF((ABS($U13)&gt;Defaults!D$7),1,2)</f>
        <v>1</v>
      </c>
      <c r="K13" s="39">
        <f>IF((AND(N13&gt;Defaults!B$12,(N13+O13)&gt;Defaults!B$13, P13 &gt; Defaults!B$12, (P13+Q13) &gt; Defaults!B$13)),1,20)</f>
        <v>1</v>
      </c>
      <c r="L13" s="1">
        <f t="shared" si="1"/>
        <v>1</v>
      </c>
      <c r="M13" s="1" t="b">
        <f t="shared" si="2"/>
        <v>1</v>
      </c>
      <c r="N13" s="42">
        <f t="shared" si="3"/>
        <v>60</v>
      </c>
      <c r="O13" s="42">
        <f>(D70*L70)-E13</f>
        <v>28</v>
      </c>
      <c r="P13" s="42">
        <f t="shared" si="4"/>
        <v>127</v>
      </c>
      <c r="Q13" s="42">
        <f>(C70*L70)-C13</f>
        <v>3</v>
      </c>
      <c r="R13" s="42">
        <f t="shared" si="5"/>
        <v>218</v>
      </c>
      <c r="S13" s="30">
        <f t="shared" si="6"/>
        <v>2484627968</v>
      </c>
      <c r="T13" s="30">
        <f t="shared" si="7"/>
        <v>66317680</v>
      </c>
      <c r="U13" s="31">
        <f t="shared" si="8"/>
        <v>37.465544150519136</v>
      </c>
    </row>
    <row r="14" spans="2:21" ht="30.75" customHeight="1">
      <c r="B14" s="32" t="str">
        <f>'Data Entry'!A14</f>
        <v xml:space="preserve">9. Cases Resulting in Confinement in Secure Juvenile Correctional Facilities </v>
      </c>
      <c r="C14" s="33">
        <f>'Data Entry'!C14</f>
        <v>2</v>
      </c>
      <c r="D14" s="34">
        <f>IF(((AND(C70&gt;0,C14&gt;0))), ((C14/(C70))),0)</f>
        <v>1.5384615384615383</v>
      </c>
      <c r="E14" s="33">
        <f>'Data Entry'!E14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88</v>
      </c>
      <c r="P14" s="42">
        <f t="shared" si="4"/>
        <v>2</v>
      </c>
      <c r="Q14" s="42">
        <f>(C70*L70)-C14</f>
        <v>128</v>
      </c>
      <c r="R14" s="42">
        <f t="shared" si="5"/>
        <v>218</v>
      </c>
      <c r="S14" s="30">
        <f t="shared" si="6"/>
        <v>6752768</v>
      </c>
      <c r="T14" s="30">
        <f t="shared" si="7"/>
        <v>4942080</v>
      </c>
      <c r="U14" s="31">
        <f t="shared" si="8"/>
        <v>1.3663817663817663</v>
      </c>
    </row>
    <row r="15" spans="2:21" ht="15.75" customHeight="1">
      <c r="B15" s="32" t="str">
        <f>'Data Entry'!A15</f>
        <v xml:space="preserve">10. Cases Transferred to Adult Court </v>
      </c>
      <c r="C15" s="33">
        <f>'Data Entry'!C15</f>
        <v>0</v>
      </c>
      <c r="D15" s="34">
        <f>IF(((AND(C69&gt;0,C15&gt;0))),((C15/(C69))),0)</f>
        <v>0</v>
      </c>
      <c r="E15" s="33">
        <f>'Data Entry'!E15</f>
        <v>1</v>
      </c>
      <c r="F15" s="34">
        <f>IF(((AND($D$69&gt;0,$E$15&gt;0))),(($E$15/($D$69))),0)</f>
        <v>0.65359477124183007</v>
      </c>
      <c r="G15" s="39" t="str">
        <f t="shared" si="0"/>
        <v>**</v>
      </c>
      <c r="H15" s="40"/>
      <c r="I15" s="41"/>
      <c r="J15" s="40">
        <f>IF((ABS($U15)&gt;Defaults!D$7),1,2)</f>
        <v>2</v>
      </c>
      <c r="K15" s="39">
        <f>IF((AND(N15&gt;Defaults!B$12,(N15+O15)&gt;Defaults!B$13, P15 &gt; Defaults!B$12, (P15+Q15) &gt; Defaults!B$13)),1,20)</f>
        <v>20</v>
      </c>
      <c r="L15" s="1">
        <f t="shared" si="1"/>
        <v>40</v>
      </c>
      <c r="M15" s="1" t="b">
        <f t="shared" si="2"/>
        <v>1</v>
      </c>
      <c r="N15" s="42">
        <f t="shared" si="3"/>
        <v>1</v>
      </c>
      <c r="O15" s="42">
        <f>(D69*L69)-E15</f>
        <v>152</v>
      </c>
      <c r="P15" s="42">
        <f t="shared" si="4"/>
        <v>0</v>
      </c>
      <c r="Q15" s="42">
        <f>(C69*L69)-C15</f>
        <v>268</v>
      </c>
      <c r="R15" s="42">
        <f t="shared" si="5"/>
        <v>421</v>
      </c>
      <c r="S15" s="30">
        <f t="shared" si="6"/>
        <v>30237904</v>
      </c>
      <c r="T15" s="30">
        <f t="shared" si="7"/>
        <v>17221680</v>
      </c>
      <c r="U15" s="31">
        <f t="shared" si="8"/>
        <v>1.7558045440398382</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25.603000000000002</v>
      </c>
      <c r="D42" s="56">
        <f>E6/1000</f>
        <v>5.09</v>
      </c>
      <c r="E42" s="56">
        <f>MAX(C42:D42)</f>
        <v>25.603000000000002</v>
      </c>
      <c r="G42" s="1" t="str">
        <f>B42</f>
        <v>per 1000 youth</v>
      </c>
      <c r="L42" s="57">
        <v>1000</v>
      </c>
      <c r="M42" s="57"/>
      <c r="R42" s="49"/>
    </row>
    <row r="43" spans="2:18" ht="15" hidden="1" customHeight="1">
      <c r="B43" s="49" t="s">
        <v>87</v>
      </c>
      <c r="C43" s="56">
        <f>C7/100</f>
        <v>4.0599999999999996</v>
      </c>
      <c r="D43" s="56">
        <f>E7/100</f>
        <v>0.63</v>
      </c>
      <c r="E43" s="56">
        <f>MAX(C43:D43,0)</f>
        <v>4.0599999999999996</v>
      </c>
      <c r="G43" s="1" t="str">
        <f>B43</f>
        <v>per 100 arrests</v>
      </c>
      <c r="L43" s="57">
        <v>100</v>
      </c>
      <c r="M43" s="57"/>
      <c r="R43" s="49"/>
    </row>
    <row r="44" spans="2:18" ht="15" hidden="1" customHeight="1">
      <c r="B44" s="49" t="s">
        <v>88</v>
      </c>
      <c r="C44" s="56">
        <f>C8/100</f>
        <v>3.84</v>
      </c>
      <c r="D44" s="56">
        <f>E8/100</f>
        <v>2.04</v>
      </c>
      <c r="E44" s="56">
        <f>MAX(C44:D44,0)</f>
        <v>3.84</v>
      </c>
      <c r="G44" s="1" t="str">
        <f>B44</f>
        <v>per 100 referrals</v>
      </c>
      <c r="L44" s="57">
        <v>100</v>
      </c>
      <c r="M44" s="57"/>
      <c r="R44" s="49"/>
    </row>
    <row r="45" spans="2:18" ht="15" hidden="1" customHeight="1">
      <c r="B45" s="49" t="s">
        <v>89</v>
      </c>
      <c r="C45" s="49">
        <f>C11/100</f>
        <v>2.68</v>
      </c>
      <c r="D45" s="49">
        <f>E11/100</f>
        <v>1.53</v>
      </c>
      <c r="E45" s="56">
        <f>MAX(C45:D45,0)</f>
        <v>2.68</v>
      </c>
      <c r="G45" s="1" t="str">
        <f>B45</f>
        <v>per 100 youth petitioned</v>
      </c>
      <c r="L45" s="57">
        <v>100</v>
      </c>
      <c r="M45" s="57"/>
      <c r="R45" s="49"/>
    </row>
    <row r="46" spans="2:18" ht="15" hidden="1" customHeight="1">
      <c r="B46" s="49" t="s">
        <v>90</v>
      </c>
      <c r="C46" s="49">
        <f>C12/100</f>
        <v>1.3</v>
      </c>
      <c r="D46" s="49">
        <f>E12/100</f>
        <v>0.88</v>
      </c>
      <c r="E46" s="56">
        <f>MAX(C46:D46)</f>
        <v>1.3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25.603000000000002</v>
      </c>
      <c r="D48" s="56">
        <f>D42</f>
        <v>5.09</v>
      </c>
      <c r="E48" s="56">
        <f>MAX(C48:D48)</f>
        <v>25.603000000000002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4.0599999999999996</v>
      </c>
      <c r="D49" s="49">
        <f t="shared" si="9"/>
        <v>0.63</v>
      </c>
      <c r="E49" s="49">
        <f>MAX(C49:D49)</f>
        <v>4.0599999999999996</v>
      </c>
      <c r="G49" s="1" t="str">
        <f>G43</f>
        <v>per 100 arrests</v>
      </c>
      <c r="L49" s="58">
        <f>IF(($E43&gt;0),L43,L42)</f>
        <v>100</v>
      </c>
      <c r="M49" s="58"/>
      <c r="N49" s="21"/>
      <c r="O49" s="21"/>
      <c r="P49" s="21"/>
      <c r="Q49" s="21"/>
      <c r="R49" s="21"/>
    </row>
    <row r="50" spans="2:18" ht="15" hidden="1" customHeight="1">
      <c r="B50" s="49" t="str">
        <f t="shared" si="9"/>
        <v>per 100 referrals</v>
      </c>
      <c r="C50" s="49">
        <f t="shared" si="9"/>
        <v>3.84</v>
      </c>
      <c r="D50" s="49">
        <f t="shared" si="9"/>
        <v>2.04</v>
      </c>
      <c r="E50" s="49">
        <f>MAX(C50:D50)</f>
        <v>3.84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2.68</v>
      </c>
      <c r="D51" s="49">
        <f>IF(($E45&gt;0),D45,D44)</f>
        <v>1.53</v>
      </c>
      <c r="E51" s="49">
        <f>MAX(C51:D51)</f>
        <v>2.68</v>
      </c>
      <c r="G51" s="1" t="str">
        <f>G45</f>
        <v>per 100 youth petitioned</v>
      </c>
      <c r="L51" s="58">
        <f>IF(($E45&gt;0),L45,L44)</f>
        <v>100</v>
      </c>
      <c r="M51" s="58"/>
    </row>
    <row r="52" spans="2:18" ht="15" hidden="1" customHeight="1">
      <c r="B52" s="49" t="str">
        <f>IF(($E46&gt;0),B46,B45)</f>
        <v>per 100 youth found delinquent</v>
      </c>
      <c r="C52" s="49">
        <f>IF(($E46&gt;0),C46,C45)</f>
        <v>1.3</v>
      </c>
      <c r="D52" s="49">
        <f>IF(($E46&gt;0),D46,D45)</f>
        <v>0.88</v>
      </c>
      <c r="E52" s="56">
        <f>MAX(C52:D52)</f>
        <v>1.3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25.603000000000002</v>
      </c>
      <c r="D54" s="56">
        <f>D48</f>
        <v>5.09</v>
      </c>
      <c r="E54" s="56">
        <f>MAX(C54:D54)</f>
        <v>25.603000000000002</v>
      </c>
      <c r="G54" s="1" t="str">
        <f>G48</f>
        <v>per 1000 youth</v>
      </c>
      <c r="L54" s="58">
        <f>L48</f>
        <v>1000</v>
      </c>
      <c r="M54" s="58"/>
    </row>
    <row r="55" spans="2:18" ht="15" hidden="1" customHeight="1">
      <c r="B55" s="49" t="str">
        <f t="shared" ref="B55:D56" si="10">IF(($E49&gt;0),B49,B48)</f>
        <v>per 100 arrests</v>
      </c>
      <c r="C55" s="49">
        <f t="shared" si="10"/>
        <v>4.0599999999999996</v>
      </c>
      <c r="D55" s="49">
        <f t="shared" si="10"/>
        <v>0.63</v>
      </c>
      <c r="E55" s="49">
        <f>MAX(C55:D55)</f>
        <v>4.0599999999999996</v>
      </c>
      <c r="G55" s="1" t="str">
        <f>G49</f>
        <v>per 100 arrests</v>
      </c>
      <c r="L55" s="58">
        <f>IF(($E49&gt;0),L49,L48)</f>
        <v>100</v>
      </c>
      <c r="M55" s="58"/>
    </row>
    <row r="56" spans="2:18" ht="15" hidden="1" customHeight="1">
      <c r="B56" s="49" t="str">
        <f t="shared" si="10"/>
        <v>per 100 referrals</v>
      </c>
      <c r="C56" s="49">
        <f t="shared" si="10"/>
        <v>3.84</v>
      </c>
      <c r="D56" s="49">
        <f t="shared" si="10"/>
        <v>2.04</v>
      </c>
      <c r="E56" s="49">
        <f>MAX(C56:D56)</f>
        <v>3.84</v>
      </c>
      <c r="G56" s="1" t="str">
        <f>G50</f>
        <v>per 100 referrals</v>
      </c>
      <c r="L56" s="58">
        <f>IF(($E50&gt;0),L50,L49)</f>
        <v>100</v>
      </c>
      <c r="M56" s="58"/>
    </row>
    <row r="57" spans="2:18" ht="15" hidden="1" customHeight="1">
      <c r="B57" s="49" t="str">
        <f>IF(($E51&gt;0),B51,B49)</f>
        <v>per 100 youth petitioned</v>
      </c>
      <c r="C57" s="49">
        <f>IF(($E51&gt;0),C51,C50)</f>
        <v>2.68</v>
      </c>
      <c r="D57" s="49">
        <f>IF(($E51&gt;0),D51,D50)</f>
        <v>1.53</v>
      </c>
      <c r="E57" s="49">
        <f>MAX(C57:D57)</f>
        <v>2.68</v>
      </c>
      <c r="G57" s="1" t="str">
        <f>G51</f>
        <v>per 100 youth petitioned</v>
      </c>
      <c r="L57" s="58">
        <f>IF(($E51&gt;0),L51,L50)</f>
        <v>100</v>
      </c>
      <c r="M57" s="58"/>
    </row>
    <row r="58" spans="2:18" ht="15" hidden="1" customHeight="1">
      <c r="B58" s="49" t="str">
        <f>IF(($E52&gt;0),B52,B51)</f>
        <v>per 100 youth found delinquent</v>
      </c>
      <c r="C58" s="49">
        <f>IF(($E52&gt;0),C52,C51)</f>
        <v>1.3</v>
      </c>
      <c r="D58" s="49">
        <f>IF(($E52&gt;0),D52,D51)</f>
        <v>0.88</v>
      </c>
      <c r="E58" s="56">
        <f>MAX(C58:D58)</f>
        <v>1.3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25.603000000000002</v>
      </c>
      <c r="D60" s="56">
        <f>D54</f>
        <v>5.09</v>
      </c>
      <c r="E60" s="56">
        <f>MAX(C60:D60)</f>
        <v>25.603000000000002</v>
      </c>
      <c r="G60" s="1" t="str">
        <f>G54</f>
        <v>per 1000 youth</v>
      </c>
      <c r="L60" s="58">
        <f>L54</f>
        <v>1000</v>
      </c>
      <c r="M60" s="58"/>
    </row>
    <row r="61" spans="2:18" ht="15" hidden="1" customHeight="1">
      <c r="B61" s="49" t="str">
        <f t="shared" ref="B61:D62" si="11">IF(($E55&gt;0),B55,B54)</f>
        <v>per 100 arrests</v>
      </c>
      <c r="C61" s="49">
        <f t="shared" si="11"/>
        <v>4.0599999999999996</v>
      </c>
      <c r="D61" s="49">
        <f t="shared" si="11"/>
        <v>0.63</v>
      </c>
      <c r="E61" s="49">
        <f>MAX(C61:D61)</f>
        <v>4.0599999999999996</v>
      </c>
      <c r="G61" s="1" t="str">
        <f>G55</f>
        <v>per 100 arrests</v>
      </c>
      <c r="L61" s="58">
        <f>IF(($E55&gt;0),L55,L54)</f>
        <v>100</v>
      </c>
      <c r="M61" s="58"/>
    </row>
    <row r="62" spans="2:18" ht="15" hidden="1" customHeight="1">
      <c r="B62" s="49" t="str">
        <f t="shared" si="11"/>
        <v>per 100 referrals</v>
      </c>
      <c r="C62" s="49">
        <f t="shared" si="11"/>
        <v>3.84</v>
      </c>
      <c r="D62" s="49">
        <f t="shared" si="11"/>
        <v>2.04</v>
      </c>
      <c r="E62" s="49">
        <f>MAX(C62:D62)</f>
        <v>3.84</v>
      </c>
      <c r="G62" s="1" t="str">
        <f>G56</f>
        <v>per 100 referrals</v>
      </c>
      <c r="L62" s="58">
        <f>IF(($E56&gt;0),L56,L55)</f>
        <v>100</v>
      </c>
      <c r="M62" s="58"/>
    </row>
    <row r="63" spans="2:18" ht="15" hidden="1" customHeight="1">
      <c r="B63" s="49" t="str">
        <f>IF(($E57&gt;0),B57,B55)</f>
        <v>per 100 youth petitioned</v>
      </c>
      <c r="C63" s="49">
        <f>IF(($E57&gt;0),C57,C56)</f>
        <v>2.68</v>
      </c>
      <c r="D63" s="49">
        <f>IF(($E57&gt;0),D57,D56)</f>
        <v>1.53</v>
      </c>
      <c r="E63" s="49">
        <f>MAX(C63:D63)</f>
        <v>2.68</v>
      </c>
      <c r="G63" s="1" t="str">
        <f>G57</f>
        <v>per 100 youth petitioned</v>
      </c>
      <c r="L63" s="58">
        <f>IF(($E57&gt;0),L57,L56)</f>
        <v>100</v>
      </c>
      <c r="M63" s="58"/>
    </row>
    <row r="64" spans="2:18" ht="15" hidden="1" customHeight="1">
      <c r="B64" s="49" t="str">
        <f>IF(($E58&gt;0),B58,B57)</f>
        <v>per 100 youth found delinquent</v>
      </c>
      <c r="C64" s="49">
        <f>IF(($E58&gt;0),C58,C57)</f>
        <v>1.3</v>
      </c>
      <c r="D64" s="49">
        <f>IF(($E58&gt;0),D58,D57)</f>
        <v>0.88</v>
      </c>
      <c r="E64" s="56">
        <f>MAX(C64:D64)</f>
        <v>1.3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25.603000000000002</v>
      </c>
      <c r="D66" s="56">
        <f>D60</f>
        <v>5.09</v>
      </c>
      <c r="E66" s="56">
        <f>MAX(C66:D66)</f>
        <v>25.603000000000002</v>
      </c>
      <c r="G66" s="1" t="str">
        <f>G60</f>
        <v>per 1000 youth</v>
      </c>
      <c r="L66" s="58">
        <f>L60</f>
        <v>1000</v>
      </c>
      <c r="M66" s="58">
        <f>IF((B66=G66),1,2)</f>
        <v>1</v>
      </c>
    </row>
    <row r="67" spans="2:13" ht="15" hidden="1" customHeight="1">
      <c r="B67" s="49" t="str">
        <f t="shared" ref="B67:D68" si="12">IF(($E61&gt;0),B61,B60)</f>
        <v>per 100 arrests</v>
      </c>
      <c r="C67" s="49">
        <f t="shared" si="12"/>
        <v>4.0599999999999996</v>
      </c>
      <c r="D67" s="49">
        <f t="shared" si="12"/>
        <v>0.63</v>
      </c>
      <c r="E67" s="49">
        <f>MAX(C67:D67)</f>
        <v>4.0599999999999996</v>
      </c>
      <c r="G67" s="1" t="str">
        <f>G61</f>
        <v>per 100 arrests</v>
      </c>
      <c r="L67" s="58">
        <f>IF(($E61&gt;0),L61,L60)</f>
        <v>100</v>
      </c>
      <c r="M67" s="58">
        <f>IF((B67=G67),1,2)</f>
        <v>1</v>
      </c>
    </row>
    <row r="68" spans="2:13" ht="15" hidden="1" customHeight="1">
      <c r="B68" s="49" t="str">
        <f t="shared" si="12"/>
        <v>per 100 referrals</v>
      </c>
      <c r="C68" s="49">
        <f t="shared" si="12"/>
        <v>3.84</v>
      </c>
      <c r="D68" s="49">
        <f t="shared" si="12"/>
        <v>2.04</v>
      </c>
      <c r="E68" s="49">
        <f>MAX(C68:D68)</f>
        <v>3.84</v>
      </c>
      <c r="G68" s="1" t="str">
        <f>G62</f>
        <v>per 100 referrals</v>
      </c>
      <c r="L68" s="58">
        <f>IF(($E62&gt;0),L62,L61)</f>
        <v>100</v>
      </c>
      <c r="M68" s="58">
        <f>IF((B68=G68),1,2)</f>
        <v>1</v>
      </c>
    </row>
    <row r="69" spans="2:13" ht="15" hidden="1" customHeight="1">
      <c r="B69" s="49" t="str">
        <f>IF(($E63&gt;0),B63,B61)</f>
        <v>per 100 youth petitioned</v>
      </c>
      <c r="C69" s="49">
        <f>IF(($E63&gt;0),C63,C62)</f>
        <v>2.68</v>
      </c>
      <c r="D69" s="49">
        <f>IF(($E63&gt;0),D63,D62)</f>
        <v>1.53</v>
      </c>
      <c r="E69" s="49">
        <f>MAX(C69:D69)</f>
        <v>2.68</v>
      </c>
      <c r="G69" s="1" t="str">
        <f>G63</f>
        <v>per 100 youth petitioned</v>
      </c>
      <c r="L69" s="58">
        <f>IF(($E63&gt;0),L63,L62)</f>
        <v>100</v>
      </c>
      <c r="M69" s="58">
        <f>IF((B69=G69),1,2)</f>
        <v>1</v>
      </c>
    </row>
    <row r="70" spans="2:13" ht="15" hidden="1" customHeight="1">
      <c r="B70" s="49" t="str">
        <f>IF(($E64&gt;0),B64,B63)</f>
        <v>per 100 youth found delinquent</v>
      </c>
      <c r="C70" s="49">
        <f>IF(($E64&gt;0),C64,C63)</f>
        <v>1.3</v>
      </c>
      <c r="D70" s="49">
        <f>IF(($E64&gt;0),D64,D63)</f>
        <v>0.88</v>
      </c>
      <c r="E70" s="56">
        <f>MAX(C70:D70)</f>
        <v>1.3</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Ottawa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25603</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406</v>
      </c>
      <c r="D7" s="34">
        <f>IF((AND(C66&gt;0,C7&gt;0)),(C7/C66),0)</f>
        <v>15.857516697262039</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406</v>
      </c>
      <c r="Q7" s="42">
        <f>C6-C7</f>
        <v>25197</v>
      </c>
      <c r="R7" s="42">
        <f t="shared" ref="R7:R15" si="5">SUM(N7:Q7)</f>
        <v>25603</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384</v>
      </c>
      <c r="D8" s="34">
        <f>IF((AND(C67&gt;0,C8&gt;0)),(C8/C67),0)</f>
        <v>94.581280788177352</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384</v>
      </c>
      <c r="Q8" s="42">
        <f>(C$67*L67)-C8</f>
        <v>21.999999999999943</v>
      </c>
      <c r="R8" s="42">
        <f t="shared" si="5"/>
        <v>406.04999999999995</v>
      </c>
      <c r="S8" s="30">
        <f t="shared" si="6"/>
        <v>149686.27200000003</v>
      </c>
      <c r="T8" s="30">
        <f t="shared" si="7"/>
        <v>171884.15999999954</v>
      </c>
      <c r="U8" s="31">
        <f t="shared" si="8"/>
        <v>0.87085553433196183</v>
      </c>
    </row>
    <row r="9" spans="2:21" ht="18" customHeight="1">
      <c r="B9" s="32" t="str">
        <f>'Data Entry'!A9</f>
        <v xml:space="preserve">4. Cases Diverted </v>
      </c>
      <c r="C9" s="33">
        <f>'Data Entry'!C9</f>
        <v>116</v>
      </c>
      <c r="D9" s="34">
        <f>IF((AND(C68&gt;0,C9&gt;0)),((C9/C68)),0)</f>
        <v>30.208333333333336</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116</v>
      </c>
      <c r="Q9" s="42">
        <f>(C$68*L68)-C9</f>
        <v>268</v>
      </c>
      <c r="R9" s="42">
        <f t="shared" si="5"/>
        <v>384</v>
      </c>
      <c r="S9" s="30">
        <f t="shared" si="6"/>
        <v>0</v>
      </c>
      <c r="T9" s="30">
        <f t="shared" si="7"/>
        <v>0</v>
      </c>
      <c r="U9" s="31" t="str">
        <f t="shared" si="8"/>
        <v>- -</v>
      </c>
    </row>
    <row r="10" spans="2:21" ht="18" customHeight="1">
      <c r="B10" s="32" t="str">
        <f>'Data Entry'!A10</f>
        <v>5. Cases Involving Secure Detention</v>
      </c>
      <c r="C10" s="33">
        <f>'Data Entry'!C10</f>
        <v>64</v>
      </c>
      <c r="D10" s="34">
        <f>IF(((AND(C68&gt;0,C10&gt;0))),(C10/(C68)),0)</f>
        <v>16.666666666666668</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64</v>
      </c>
      <c r="Q10" s="42">
        <f>(C$68*L68)-C10</f>
        <v>320</v>
      </c>
      <c r="R10" s="42">
        <f t="shared" si="5"/>
        <v>384</v>
      </c>
      <c r="S10" s="30">
        <f t="shared" si="6"/>
        <v>0</v>
      </c>
      <c r="T10" s="30">
        <f t="shared" si="7"/>
        <v>0</v>
      </c>
      <c r="U10" s="31" t="str">
        <f t="shared" si="8"/>
        <v>- -</v>
      </c>
    </row>
    <row r="11" spans="2:21" ht="18" customHeight="1">
      <c r="B11" s="32" t="str">
        <f>'Data Entry'!A11</f>
        <v>6. Cases Petitioned (Charge Filed)</v>
      </c>
      <c r="C11" s="33">
        <f>'Data Entry'!C11</f>
        <v>268</v>
      </c>
      <c r="D11" s="34">
        <f>IF(((AND(C68&gt;0,C11&gt;0))),(C11/(C68)),0)</f>
        <v>69.791666666666671</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268</v>
      </c>
      <c r="Q11" s="42">
        <f>(C$68*L68)-C11</f>
        <v>116</v>
      </c>
      <c r="R11" s="42">
        <f t="shared" si="5"/>
        <v>384</v>
      </c>
      <c r="S11" s="30">
        <f t="shared" si="6"/>
        <v>0</v>
      </c>
      <c r="T11" s="30">
        <f t="shared" si="7"/>
        <v>0</v>
      </c>
      <c r="U11" s="31" t="str">
        <f t="shared" si="8"/>
        <v>- -</v>
      </c>
    </row>
    <row r="12" spans="2:21" ht="18" customHeight="1">
      <c r="B12" s="32" t="str">
        <f>'Data Entry'!A12</f>
        <v>7. Cases Resulting in Delinquent Findings</v>
      </c>
      <c r="C12" s="33">
        <f>'Data Entry'!C12</f>
        <v>130</v>
      </c>
      <c r="D12" s="34">
        <f>IF(((AND(C69&gt;0,C12&gt;0))),(C12/(C69)),0)</f>
        <v>48.507462686567159</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130</v>
      </c>
      <c r="Q12" s="42">
        <f>(C69*L69)-C12</f>
        <v>138</v>
      </c>
      <c r="R12" s="42">
        <f t="shared" si="5"/>
        <v>268</v>
      </c>
      <c r="S12" s="30">
        <f t="shared" si="6"/>
        <v>0</v>
      </c>
      <c r="T12" s="30">
        <f t="shared" si="7"/>
        <v>0</v>
      </c>
      <c r="U12" s="31" t="str">
        <f t="shared" si="8"/>
        <v>- -</v>
      </c>
    </row>
    <row r="13" spans="2:21" ht="18" customHeight="1">
      <c r="B13" s="32" t="str">
        <f>'Data Entry'!A13</f>
        <v>8. Cases Resulting in Probation Placement</v>
      </c>
      <c r="C13" s="33">
        <f>'Data Entry'!C13</f>
        <v>127</v>
      </c>
      <c r="D13" s="34">
        <f>IF(((AND(C70&gt;0,C13&gt;0))),(C13/(C70)),0)</f>
        <v>97.692307692307693</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127</v>
      </c>
      <c r="Q13" s="42">
        <f>(C70*L70)-C13</f>
        <v>3</v>
      </c>
      <c r="R13" s="42">
        <f t="shared" si="5"/>
        <v>130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1.5384615384615383</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128</v>
      </c>
      <c r="R14" s="42">
        <f t="shared" si="5"/>
        <v>130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268</v>
      </c>
      <c r="R15" s="42">
        <f t="shared" si="5"/>
        <v>268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25.603000000000002</v>
      </c>
      <c r="D42" s="56">
        <f>E6/1000</f>
        <v>0</v>
      </c>
      <c r="E42" s="56">
        <f>MAX(C42:D42)</f>
        <v>25.603000000000002</v>
      </c>
      <c r="G42" s="1" t="str">
        <f>B42</f>
        <v>per 1000 youth</v>
      </c>
      <c r="L42" s="57">
        <v>1000</v>
      </c>
      <c r="M42" s="57"/>
      <c r="R42" s="49"/>
    </row>
    <row r="43" spans="2:18" ht="15" hidden="1" customHeight="1">
      <c r="B43" s="49" t="s">
        <v>87</v>
      </c>
      <c r="C43" s="56">
        <f>C7/100</f>
        <v>4.0599999999999996</v>
      </c>
      <c r="D43" s="56">
        <f>E7/100</f>
        <v>0</v>
      </c>
      <c r="E43" s="56">
        <f>MAX(C43:D43,0)</f>
        <v>4.0599999999999996</v>
      </c>
      <c r="G43" s="1" t="str">
        <f>B43</f>
        <v>per 100 arrests</v>
      </c>
      <c r="L43" s="57">
        <v>100</v>
      </c>
      <c r="M43" s="57"/>
      <c r="R43" s="49"/>
    </row>
    <row r="44" spans="2:18" ht="15" hidden="1" customHeight="1">
      <c r="B44" s="49" t="s">
        <v>88</v>
      </c>
      <c r="C44" s="56">
        <f>C8/100</f>
        <v>3.84</v>
      </c>
      <c r="D44" s="56">
        <f>E8/100</f>
        <v>0</v>
      </c>
      <c r="E44" s="56">
        <f>MAX(C44:D44,0)</f>
        <v>3.84</v>
      </c>
      <c r="G44" s="1" t="str">
        <f>B44</f>
        <v>per 100 referrals</v>
      </c>
      <c r="L44" s="57">
        <v>100</v>
      </c>
      <c r="M44" s="57"/>
      <c r="R44" s="49"/>
    </row>
    <row r="45" spans="2:18" ht="15" hidden="1" customHeight="1">
      <c r="B45" s="49" t="s">
        <v>89</v>
      </c>
      <c r="C45" s="49">
        <f>C11/100</f>
        <v>2.68</v>
      </c>
      <c r="D45" s="49">
        <f>E11/100</f>
        <v>0</v>
      </c>
      <c r="E45" s="56">
        <f>MAX(C45:D45,0)</f>
        <v>2.68</v>
      </c>
      <c r="G45" s="1" t="str">
        <f>B45</f>
        <v>per 100 youth petitioned</v>
      </c>
      <c r="L45" s="57">
        <v>100</v>
      </c>
      <c r="M45" s="57"/>
      <c r="R45" s="49"/>
    </row>
    <row r="46" spans="2:18" ht="15" hidden="1" customHeight="1">
      <c r="B46" s="49" t="s">
        <v>90</v>
      </c>
      <c r="C46" s="49">
        <f>C12/100</f>
        <v>1.3</v>
      </c>
      <c r="D46" s="49">
        <f>E12/100</f>
        <v>0</v>
      </c>
      <c r="E46" s="56">
        <f>MAX(C46:D46)</f>
        <v>1.3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25.603000000000002</v>
      </c>
      <c r="D48" s="56">
        <f>D42</f>
        <v>0</v>
      </c>
      <c r="E48" s="56">
        <f>MAX(C48:D48)</f>
        <v>25.603000000000002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4.0599999999999996</v>
      </c>
      <c r="D49" s="49">
        <f t="shared" si="9"/>
        <v>0</v>
      </c>
      <c r="E49" s="49">
        <f>MAX(C49:D49)</f>
        <v>4.0599999999999996</v>
      </c>
      <c r="G49" s="1" t="str">
        <f>G43</f>
        <v>per 100 arrests</v>
      </c>
      <c r="L49" s="58">
        <f>IF(($E43&gt;0),L43,L42)</f>
        <v>100</v>
      </c>
      <c r="M49" s="58"/>
      <c r="N49" s="21"/>
      <c r="O49" s="21"/>
      <c r="P49" s="21"/>
      <c r="Q49" s="21"/>
      <c r="R49" s="21"/>
    </row>
    <row r="50" spans="2:18" ht="15" hidden="1" customHeight="1">
      <c r="B50" s="49" t="str">
        <f t="shared" si="9"/>
        <v>per 100 referrals</v>
      </c>
      <c r="C50" s="49">
        <f t="shared" si="9"/>
        <v>3.84</v>
      </c>
      <c r="D50" s="49">
        <f t="shared" si="9"/>
        <v>0</v>
      </c>
      <c r="E50" s="49">
        <f>MAX(C50:D50)</f>
        <v>3.84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2.68</v>
      </c>
      <c r="D51" s="49">
        <f>IF(($E45&gt;0),D45,D44)</f>
        <v>0</v>
      </c>
      <c r="E51" s="49">
        <f>MAX(C51:D51)</f>
        <v>2.68</v>
      </c>
      <c r="G51" s="1" t="str">
        <f>G45</f>
        <v>per 100 youth petitioned</v>
      </c>
      <c r="L51" s="58">
        <f>IF(($E45&gt;0),L45,L44)</f>
        <v>100</v>
      </c>
      <c r="M51" s="58"/>
    </row>
    <row r="52" spans="2:18" ht="15" hidden="1" customHeight="1">
      <c r="B52" s="49" t="str">
        <f>IF(($E46&gt;0),B46,B45)</f>
        <v>per 100 youth found delinquent</v>
      </c>
      <c r="C52" s="49">
        <f>IF(($E46&gt;0),C46,C45)</f>
        <v>1.3</v>
      </c>
      <c r="D52" s="49">
        <f>IF(($E46&gt;0),D46,D45)</f>
        <v>0</v>
      </c>
      <c r="E52" s="56">
        <f>MAX(C52:D52)</f>
        <v>1.3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25.603000000000002</v>
      </c>
      <c r="D54" s="56">
        <f>D48</f>
        <v>0</v>
      </c>
      <c r="E54" s="56">
        <f>MAX(C54:D54)</f>
        <v>25.603000000000002</v>
      </c>
      <c r="G54" s="1" t="str">
        <f>G48</f>
        <v>per 1000 youth</v>
      </c>
      <c r="L54" s="58">
        <f>L48</f>
        <v>1000</v>
      </c>
      <c r="M54" s="58"/>
    </row>
    <row r="55" spans="2:18" ht="15" hidden="1" customHeight="1">
      <c r="B55" s="49" t="str">
        <f t="shared" ref="B55:D56" si="10">IF(($E49&gt;0),B49,B48)</f>
        <v>per 100 arrests</v>
      </c>
      <c r="C55" s="49">
        <f t="shared" si="10"/>
        <v>4.0599999999999996</v>
      </c>
      <c r="D55" s="49">
        <f t="shared" si="10"/>
        <v>0</v>
      </c>
      <c r="E55" s="49">
        <f>MAX(C55:D55)</f>
        <v>4.0599999999999996</v>
      </c>
      <c r="G55" s="1" t="str">
        <f>G49</f>
        <v>per 100 arrests</v>
      </c>
      <c r="L55" s="58">
        <f>IF(($E49&gt;0),L49,L48)</f>
        <v>100</v>
      </c>
      <c r="M55" s="58"/>
    </row>
    <row r="56" spans="2:18" ht="15" hidden="1" customHeight="1">
      <c r="B56" s="49" t="str">
        <f t="shared" si="10"/>
        <v>per 100 referrals</v>
      </c>
      <c r="C56" s="49">
        <f t="shared" si="10"/>
        <v>3.84</v>
      </c>
      <c r="D56" s="49">
        <f t="shared" si="10"/>
        <v>0</v>
      </c>
      <c r="E56" s="49">
        <f>MAX(C56:D56)</f>
        <v>3.84</v>
      </c>
      <c r="G56" s="1" t="str">
        <f>G50</f>
        <v>per 100 referrals</v>
      </c>
      <c r="L56" s="58">
        <f>IF(($E50&gt;0),L50,L49)</f>
        <v>100</v>
      </c>
      <c r="M56" s="58"/>
    </row>
    <row r="57" spans="2:18" ht="15" hidden="1" customHeight="1">
      <c r="B57" s="49" t="str">
        <f>IF(($E51&gt;0),B51,B49)</f>
        <v>per 100 youth petitioned</v>
      </c>
      <c r="C57" s="49">
        <f>IF(($E51&gt;0),C51,C50)</f>
        <v>2.68</v>
      </c>
      <c r="D57" s="49">
        <f>IF(($E51&gt;0),D51,D50)</f>
        <v>0</v>
      </c>
      <c r="E57" s="49">
        <f>MAX(C57:D57)</f>
        <v>2.68</v>
      </c>
      <c r="G57" s="1" t="str">
        <f>G51</f>
        <v>per 100 youth petitioned</v>
      </c>
      <c r="L57" s="58">
        <f>IF(($E51&gt;0),L51,L50)</f>
        <v>100</v>
      </c>
      <c r="M57" s="58"/>
    </row>
    <row r="58" spans="2:18" ht="15" hidden="1" customHeight="1">
      <c r="B58" s="49" t="str">
        <f>IF(($E52&gt;0),B52,B51)</f>
        <v>per 100 youth found delinquent</v>
      </c>
      <c r="C58" s="49">
        <f>IF(($E52&gt;0),C52,C51)</f>
        <v>1.3</v>
      </c>
      <c r="D58" s="49">
        <f>IF(($E52&gt;0),D52,D51)</f>
        <v>0</v>
      </c>
      <c r="E58" s="56">
        <f>MAX(C58:D58)</f>
        <v>1.3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25.603000000000002</v>
      </c>
      <c r="D60" s="56">
        <f>D54</f>
        <v>0</v>
      </c>
      <c r="E60" s="56">
        <f>MAX(C60:D60)</f>
        <v>25.603000000000002</v>
      </c>
      <c r="G60" s="1" t="str">
        <f>G54</f>
        <v>per 1000 youth</v>
      </c>
      <c r="L60" s="58">
        <f>L54</f>
        <v>1000</v>
      </c>
      <c r="M60" s="58"/>
    </row>
    <row r="61" spans="2:18" ht="15" hidden="1" customHeight="1">
      <c r="B61" s="49" t="str">
        <f t="shared" ref="B61:D62" si="11">IF(($E55&gt;0),B55,B54)</f>
        <v>per 100 arrests</v>
      </c>
      <c r="C61" s="49">
        <f t="shared" si="11"/>
        <v>4.0599999999999996</v>
      </c>
      <c r="D61" s="49">
        <f t="shared" si="11"/>
        <v>0</v>
      </c>
      <c r="E61" s="49">
        <f>MAX(C61:D61)</f>
        <v>4.0599999999999996</v>
      </c>
      <c r="G61" s="1" t="str">
        <f>G55</f>
        <v>per 100 arrests</v>
      </c>
      <c r="L61" s="58">
        <f>IF(($E55&gt;0),L55,L54)</f>
        <v>100</v>
      </c>
      <c r="M61" s="58"/>
    </row>
    <row r="62" spans="2:18" ht="15" hidden="1" customHeight="1">
      <c r="B62" s="49" t="str">
        <f t="shared" si="11"/>
        <v>per 100 referrals</v>
      </c>
      <c r="C62" s="49">
        <f t="shared" si="11"/>
        <v>3.84</v>
      </c>
      <c r="D62" s="49">
        <f t="shared" si="11"/>
        <v>0</v>
      </c>
      <c r="E62" s="49">
        <f>MAX(C62:D62)</f>
        <v>3.84</v>
      </c>
      <c r="G62" s="1" t="str">
        <f>G56</f>
        <v>per 100 referrals</v>
      </c>
      <c r="L62" s="58">
        <f>IF(($E56&gt;0),L56,L55)</f>
        <v>100</v>
      </c>
      <c r="M62" s="58"/>
    </row>
    <row r="63" spans="2:18" ht="15" hidden="1" customHeight="1">
      <c r="B63" s="49" t="str">
        <f>IF(($E57&gt;0),B57,B55)</f>
        <v>per 100 youth petitioned</v>
      </c>
      <c r="C63" s="49">
        <f>IF(($E57&gt;0),C57,C56)</f>
        <v>2.68</v>
      </c>
      <c r="D63" s="49">
        <f>IF(($E57&gt;0),D57,D56)</f>
        <v>0</v>
      </c>
      <c r="E63" s="49">
        <f>MAX(C63:D63)</f>
        <v>2.68</v>
      </c>
      <c r="G63" s="1" t="str">
        <f>G57</f>
        <v>per 100 youth petitioned</v>
      </c>
      <c r="L63" s="58">
        <f>IF(($E57&gt;0),L57,L56)</f>
        <v>100</v>
      </c>
      <c r="M63" s="58"/>
    </row>
    <row r="64" spans="2:18" ht="15" hidden="1" customHeight="1">
      <c r="B64" s="49" t="str">
        <f>IF(($E58&gt;0),B58,B57)</f>
        <v>per 100 youth found delinquent</v>
      </c>
      <c r="C64" s="49">
        <f>IF(($E58&gt;0),C58,C57)</f>
        <v>1.3</v>
      </c>
      <c r="D64" s="49">
        <f>IF(($E58&gt;0),D58,D57)</f>
        <v>0</v>
      </c>
      <c r="E64" s="56">
        <f>MAX(C64:D64)</f>
        <v>1.3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25.603000000000002</v>
      </c>
      <c r="D66" s="56">
        <f>D60</f>
        <v>0</v>
      </c>
      <c r="E66" s="56">
        <f>MAX(C66:D66)</f>
        <v>25.603000000000002</v>
      </c>
      <c r="G66" s="1" t="str">
        <f>G60</f>
        <v>per 1000 youth</v>
      </c>
      <c r="L66" s="58">
        <f>L60</f>
        <v>1000</v>
      </c>
      <c r="M66" s="58">
        <f>IF((B66=G66),1,2)</f>
        <v>1</v>
      </c>
    </row>
    <row r="67" spans="2:13" ht="15" hidden="1" customHeight="1">
      <c r="B67" s="49" t="str">
        <f t="shared" ref="B67:D68" si="12">IF(($E61&gt;0),B61,B60)</f>
        <v>per 100 arrests</v>
      </c>
      <c r="C67" s="49">
        <f t="shared" si="12"/>
        <v>4.0599999999999996</v>
      </c>
      <c r="D67" s="49">
        <f t="shared" si="12"/>
        <v>0</v>
      </c>
      <c r="E67" s="49">
        <f>MAX(C67:D67)</f>
        <v>4.0599999999999996</v>
      </c>
      <c r="G67" s="1" t="str">
        <f>G61</f>
        <v>per 100 arrests</v>
      </c>
      <c r="L67" s="58">
        <f>IF(($E61&gt;0),L61,L60)</f>
        <v>100</v>
      </c>
      <c r="M67" s="58">
        <f>IF((B67=G67),1,2)</f>
        <v>1</v>
      </c>
    </row>
    <row r="68" spans="2:13" ht="15" hidden="1" customHeight="1">
      <c r="B68" s="49" t="str">
        <f t="shared" si="12"/>
        <v>per 100 referrals</v>
      </c>
      <c r="C68" s="49">
        <f t="shared" si="12"/>
        <v>3.84</v>
      </c>
      <c r="D68" s="49">
        <f t="shared" si="12"/>
        <v>0</v>
      </c>
      <c r="E68" s="49">
        <f>MAX(C68:D68)</f>
        <v>3.84</v>
      </c>
      <c r="G68" s="1" t="str">
        <f>G62</f>
        <v>per 100 referrals</v>
      </c>
      <c r="L68" s="58">
        <f>IF(($E62&gt;0),L62,L61)</f>
        <v>100</v>
      </c>
      <c r="M68" s="58">
        <f>IF((B68=G68),1,2)</f>
        <v>1</v>
      </c>
    </row>
    <row r="69" spans="2:13" ht="15" hidden="1" customHeight="1">
      <c r="B69" s="49" t="str">
        <f>IF(($E63&gt;0),B63,B61)</f>
        <v>per 100 youth petitioned</v>
      </c>
      <c r="C69" s="49">
        <f>IF(($E63&gt;0),C63,C62)</f>
        <v>2.68</v>
      </c>
      <c r="D69" s="49">
        <f>IF(($E63&gt;0),D63,D62)</f>
        <v>0</v>
      </c>
      <c r="E69" s="49">
        <f>MAX(C69:D69)</f>
        <v>2.68</v>
      </c>
      <c r="G69" s="1" t="str">
        <f>G63</f>
        <v>per 100 youth petitioned</v>
      </c>
      <c r="L69" s="58">
        <f>IF(($E63&gt;0),L63,L62)</f>
        <v>100</v>
      </c>
      <c r="M69" s="58">
        <f>IF((B69=G69),1,2)</f>
        <v>1</v>
      </c>
    </row>
    <row r="70" spans="2:13" ht="15" hidden="1" customHeight="1">
      <c r="B70" s="49" t="str">
        <f>IF(($E64&gt;0),B64,B63)</f>
        <v>per 100 youth found delinquent</v>
      </c>
      <c r="C70" s="49">
        <f>IF(($E64&gt;0),C64,C63)</f>
        <v>1.3</v>
      </c>
      <c r="D70" s="49">
        <f>IF(($E64&gt;0),D64,D63)</f>
        <v>0</v>
      </c>
      <c r="E70" s="56">
        <f>MAX(C70:D70)</f>
        <v>1.3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Ottawa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25603</v>
      </c>
      <c r="D6" s="34"/>
      <c r="E6" s="33">
        <f>'Data Entry'!H6</f>
        <v>108</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406</v>
      </c>
      <c r="D7" s="34">
        <f>IF((AND(C66&gt;0,C7&gt;0)),(C7/C66),0)</f>
        <v>15.857516697262039</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108</v>
      </c>
      <c r="P7" s="42">
        <f t="shared" ref="P7:P15" si="4">C7</f>
        <v>406</v>
      </c>
      <c r="Q7" s="42">
        <f>C6-C7</f>
        <v>25197</v>
      </c>
      <c r="R7" s="42">
        <f t="shared" ref="R7:R15" si="5">SUM(N7:Q7)</f>
        <v>25711</v>
      </c>
      <c r="S7" s="30">
        <f t="shared" ref="S7:S15" si="6">R7*((((N7*Q7)-(O7*P7))^2))</f>
        <v>49433179690944</v>
      </c>
      <c r="T7" s="30">
        <f t="shared" ref="T7:T15" si="7">(N7+O7)*(P7+Q7)*(N7+P7)*(O7+Q7)</f>
        <v>28408413904920</v>
      </c>
      <c r="U7" s="31">
        <f t="shared" ref="U7:U15" si="8">IF((S7&gt;0),S7/T7,"- -")</f>
        <v>1.7400893924029586</v>
      </c>
    </row>
    <row r="8" spans="2:21" ht="18" customHeight="1">
      <c r="B8" s="32" t="str">
        <f>'Data Entry'!A8</f>
        <v>3. Refer to Juvenile Court</v>
      </c>
      <c r="C8" s="33">
        <f>'Data Entry'!C8</f>
        <v>384</v>
      </c>
      <c r="D8" s="34">
        <f>IF((AND(C67&gt;0,C8&gt;0)),(C8/C67),0)</f>
        <v>94.581280788177352</v>
      </c>
      <c r="E8" s="33">
        <f>'Data Entry'!H8</f>
        <v>7</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7</v>
      </c>
      <c r="O8" s="42">
        <f>((D67*L67)-E8)+0.05</f>
        <v>-6.95</v>
      </c>
      <c r="P8" s="42">
        <f t="shared" si="4"/>
        <v>384</v>
      </c>
      <c r="Q8" s="42">
        <f>(C$67*L67)-C8</f>
        <v>21.999999999999943</v>
      </c>
      <c r="R8" s="42">
        <f t="shared" si="5"/>
        <v>406.04999999999995</v>
      </c>
      <c r="S8" s="30">
        <f t="shared" si="6"/>
        <v>3235487545.0319991</v>
      </c>
      <c r="T8" s="30">
        <f t="shared" si="7"/>
        <v>119456.36499999912</v>
      </c>
      <c r="U8" s="31">
        <f t="shared" si="8"/>
        <v>27085.099609652636</v>
      </c>
    </row>
    <row r="9" spans="2:21" ht="18" customHeight="1">
      <c r="B9" s="32" t="str">
        <f>'Data Entry'!A9</f>
        <v xml:space="preserve">4. Cases Diverted </v>
      </c>
      <c r="C9" s="33">
        <f>'Data Entry'!C9</f>
        <v>116</v>
      </c>
      <c r="D9" s="34">
        <f>IF((AND(C68&gt;0,C9&gt;0)),((C9/C68)),0)</f>
        <v>30.208333333333336</v>
      </c>
      <c r="E9" s="33">
        <f>'Data Entry'!H9</f>
        <v>1</v>
      </c>
      <c r="F9" s="34">
        <f>IF((AND($E$9&gt;0,$D$68&gt;0)),(($E$9/$D$68)),0)</f>
        <v>14.285714285714285</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1</v>
      </c>
      <c r="O9" s="42">
        <f>(D$68*L68)-E9</f>
        <v>6.0000000000000009</v>
      </c>
      <c r="P9" s="42">
        <f t="shared" si="4"/>
        <v>116</v>
      </c>
      <c r="Q9" s="42">
        <f>(C$68*L68)-C9</f>
        <v>268</v>
      </c>
      <c r="R9" s="42">
        <f t="shared" si="5"/>
        <v>391</v>
      </c>
      <c r="S9" s="30">
        <f t="shared" si="6"/>
        <v>71624944.00000003</v>
      </c>
      <c r="T9" s="30">
        <f t="shared" si="7"/>
        <v>86171904.000000015</v>
      </c>
      <c r="U9" s="31">
        <f t="shared" si="8"/>
        <v>0.83118674040206908</v>
      </c>
    </row>
    <row r="10" spans="2:21" ht="18" customHeight="1">
      <c r="B10" s="32" t="str">
        <f>'Data Entry'!A10</f>
        <v>5. Cases Involving Secure Detention</v>
      </c>
      <c r="C10" s="33">
        <f>'Data Entry'!C10</f>
        <v>64</v>
      </c>
      <c r="D10" s="34">
        <f>IF(((AND(C68&gt;0,C10&gt;0))),(C10/(C68)),0)</f>
        <v>16.666666666666668</v>
      </c>
      <c r="E10" s="33">
        <f>'Data Entry'!H10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7.0000000000000009</v>
      </c>
      <c r="P10" s="42">
        <f t="shared" si="4"/>
        <v>64</v>
      </c>
      <c r="Q10" s="42">
        <f>(C$68*L68)-C10</f>
        <v>320</v>
      </c>
      <c r="R10" s="42">
        <f t="shared" si="5"/>
        <v>391</v>
      </c>
      <c r="S10" s="30">
        <f t="shared" si="6"/>
        <v>78475264.00000003</v>
      </c>
      <c r="T10" s="30">
        <f t="shared" si="7"/>
        <v>56254464.000000007</v>
      </c>
      <c r="U10" s="31">
        <f t="shared" si="8"/>
        <v>1.3950050968399597</v>
      </c>
    </row>
    <row r="11" spans="2:21" ht="18" customHeight="1">
      <c r="B11" s="32" t="str">
        <f>'Data Entry'!A11</f>
        <v>6. Cases Petitioned (Charge Filed)</v>
      </c>
      <c r="C11" s="33">
        <f>'Data Entry'!C11</f>
        <v>268</v>
      </c>
      <c r="D11" s="34">
        <f>IF(((AND(C68&gt;0,C11&gt;0))),(C11/(C68)),0)</f>
        <v>69.791666666666671</v>
      </c>
      <c r="E11" s="33">
        <f>'Data Entry'!H11</f>
        <v>6</v>
      </c>
      <c r="F11" s="34">
        <f>IF(((AND($E$11&gt;0,$D$68&gt;0))),($E$11/($D$68)),0)</f>
        <v>85.714285714285708</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6</v>
      </c>
      <c r="O11" s="42">
        <f>(D$68*L68)-E11</f>
        <v>1.0000000000000009</v>
      </c>
      <c r="P11" s="42">
        <f t="shared" si="4"/>
        <v>268</v>
      </c>
      <c r="Q11" s="42">
        <f>(C$68*L68)-C11</f>
        <v>116</v>
      </c>
      <c r="R11" s="42">
        <f t="shared" si="5"/>
        <v>391</v>
      </c>
      <c r="S11" s="30">
        <f t="shared" si="6"/>
        <v>71624943.999999925</v>
      </c>
      <c r="T11" s="30">
        <f t="shared" si="7"/>
        <v>86171904.000000015</v>
      </c>
      <c r="U11" s="31">
        <f t="shared" si="8"/>
        <v>0.83118674040206786</v>
      </c>
    </row>
    <row r="12" spans="2:21" ht="18" customHeight="1">
      <c r="B12" s="32" t="str">
        <f>'Data Entry'!A12</f>
        <v>7. Cases Resulting in Delinquent Findings</v>
      </c>
      <c r="C12" s="33">
        <f>'Data Entry'!C12</f>
        <v>130</v>
      </c>
      <c r="D12" s="34">
        <f>IF(((AND(C69&gt;0,C12&gt;0))),(C12/(C69)),0)</f>
        <v>48.507462686567159</v>
      </c>
      <c r="E12" s="33">
        <f>'Data Entry'!H12</f>
        <v>3</v>
      </c>
      <c r="F12" s="34">
        <f>IF(((AND($D$69&gt;0,$E$12&gt;0))),(E12/(D69)),0)</f>
        <v>50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3</v>
      </c>
      <c r="O12" s="42">
        <f>(D69*L69)-E12</f>
        <v>3</v>
      </c>
      <c r="P12" s="42">
        <f t="shared" si="4"/>
        <v>130</v>
      </c>
      <c r="Q12" s="42">
        <f>(C69*L69)-C12</f>
        <v>138</v>
      </c>
      <c r="R12" s="42">
        <f t="shared" si="5"/>
        <v>274</v>
      </c>
      <c r="S12" s="30">
        <f t="shared" si="6"/>
        <v>157824</v>
      </c>
      <c r="T12" s="30">
        <f t="shared" si="7"/>
        <v>30154824</v>
      </c>
      <c r="U12" s="31">
        <f t="shared" si="8"/>
        <v>5.2337894593581444E-3</v>
      </c>
    </row>
    <row r="13" spans="2:21" ht="18" customHeight="1">
      <c r="B13" s="32" t="str">
        <f>'Data Entry'!A13</f>
        <v>8. Cases Resulting in Probation Placement</v>
      </c>
      <c r="C13" s="33">
        <f>'Data Entry'!C13</f>
        <v>127</v>
      </c>
      <c r="D13" s="34">
        <f>IF(((AND(C70&gt;0,C13&gt;0))),(C13/(C70)),0)</f>
        <v>97.692307692307693</v>
      </c>
      <c r="E13" s="33">
        <f>'Data Entry'!H13</f>
        <v>0</v>
      </c>
      <c r="F13" s="34">
        <f>IF(((AND($D$70&gt;0,$E$13&gt;0))),($E$13/($D$70)),0)</f>
        <v>0</v>
      </c>
      <c r="G13" s="39" t="str">
        <f t="shared" si="0"/>
        <v>*</v>
      </c>
      <c r="H13" s="40"/>
      <c r="I13" s="41"/>
      <c r="J13" s="40">
        <f>IF((ABS($U13)&gt;Defaults!D$7),1,2)</f>
        <v>1</v>
      </c>
      <c r="K13" s="39">
        <f>IF((AND(N13&gt;Defaults!B$12,(N13+O13)&gt;Defaults!B$13, P13 &gt; Defaults!B$12, (P13+Q13) &gt; Defaults!B$13)),1,20)</f>
        <v>20</v>
      </c>
      <c r="L13" s="1">
        <f t="shared" si="1"/>
        <v>119</v>
      </c>
      <c r="M13" s="1" t="b">
        <f t="shared" si="2"/>
        <v>1</v>
      </c>
      <c r="N13" s="42">
        <f t="shared" si="3"/>
        <v>0</v>
      </c>
      <c r="O13" s="42">
        <f>(D70*L70)-E13</f>
        <v>3</v>
      </c>
      <c r="P13" s="42">
        <f t="shared" si="4"/>
        <v>127</v>
      </c>
      <c r="Q13" s="42">
        <f>(C70*L70)-C13</f>
        <v>3</v>
      </c>
      <c r="R13" s="42">
        <f t="shared" si="5"/>
        <v>133</v>
      </c>
      <c r="S13" s="30">
        <f t="shared" si="6"/>
        <v>19306413</v>
      </c>
      <c r="T13" s="30">
        <f t="shared" si="7"/>
        <v>297180</v>
      </c>
      <c r="U13" s="31">
        <f t="shared" si="8"/>
        <v>64.965384615384622</v>
      </c>
    </row>
    <row r="14" spans="2:21" ht="30.75" customHeight="1">
      <c r="B14" s="32" t="str">
        <f>'Data Entry'!A14</f>
        <v xml:space="preserve">9. Cases Resulting in Confinement in Secure Juvenile Correctional Facilities </v>
      </c>
      <c r="C14" s="33">
        <f>'Data Entry'!C14</f>
        <v>2</v>
      </c>
      <c r="D14" s="34">
        <f>IF(((AND(C70&gt;0,C14&gt;0))), ((C14/(C70))),0)</f>
        <v>1.5384615384615383</v>
      </c>
      <c r="E14" s="33">
        <f>'Data Entry'!H14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0</v>
      </c>
      <c r="O14" s="42">
        <f>(D70*L70)-E14</f>
        <v>3</v>
      </c>
      <c r="P14" s="42">
        <f t="shared" si="4"/>
        <v>2</v>
      </c>
      <c r="Q14" s="42">
        <f>(C70*L70)-C14</f>
        <v>128</v>
      </c>
      <c r="R14" s="42">
        <f t="shared" si="5"/>
        <v>133</v>
      </c>
      <c r="S14" s="30">
        <f t="shared" si="6"/>
        <v>4788</v>
      </c>
      <c r="T14" s="30">
        <f t="shared" si="7"/>
        <v>102180</v>
      </c>
      <c r="U14" s="31">
        <f t="shared" si="8"/>
        <v>4.6858485026423959E-2</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6</v>
      </c>
      <c r="P15" s="42">
        <f t="shared" si="4"/>
        <v>0</v>
      </c>
      <c r="Q15" s="42">
        <f>(C69*L69)-C15</f>
        <v>268</v>
      </c>
      <c r="R15" s="42">
        <f t="shared" si="5"/>
        <v>274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25.603000000000002</v>
      </c>
      <c r="D42" s="56">
        <f>E6/1000</f>
        <v>0.108</v>
      </c>
      <c r="E42" s="56">
        <f>MAX(C42:D42)</f>
        <v>25.603000000000002</v>
      </c>
      <c r="G42" s="1" t="str">
        <f>B42</f>
        <v>per 1000 youth</v>
      </c>
      <c r="L42" s="57">
        <v>1000</v>
      </c>
      <c r="M42" s="57"/>
      <c r="R42" s="49"/>
    </row>
    <row r="43" spans="2:18" ht="15" hidden="1" customHeight="1">
      <c r="B43" s="49" t="s">
        <v>87</v>
      </c>
      <c r="C43" s="56">
        <f>C7/100</f>
        <v>4.0599999999999996</v>
      </c>
      <c r="D43" s="56">
        <f>E7/100</f>
        <v>0</v>
      </c>
      <c r="E43" s="56">
        <f>MAX(C43:D43,0)</f>
        <v>4.0599999999999996</v>
      </c>
      <c r="G43" s="1" t="str">
        <f>B43</f>
        <v>per 100 arrests</v>
      </c>
      <c r="L43" s="57">
        <v>100</v>
      </c>
      <c r="M43" s="57"/>
      <c r="R43" s="49"/>
    </row>
    <row r="44" spans="2:18" ht="15" hidden="1" customHeight="1">
      <c r="B44" s="49" t="s">
        <v>88</v>
      </c>
      <c r="C44" s="56">
        <f>C8/100</f>
        <v>3.84</v>
      </c>
      <c r="D44" s="56">
        <f>E8/100</f>
        <v>7.0000000000000007E-2</v>
      </c>
      <c r="E44" s="56">
        <f>MAX(C44:D44,0)</f>
        <v>3.84</v>
      </c>
      <c r="G44" s="1" t="str">
        <f>B44</f>
        <v>per 100 referrals</v>
      </c>
      <c r="L44" s="57">
        <v>100</v>
      </c>
      <c r="M44" s="57"/>
      <c r="R44" s="49"/>
    </row>
    <row r="45" spans="2:18" ht="15" hidden="1" customHeight="1">
      <c r="B45" s="49" t="s">
        <v>89</v>
      </c>
      <c r="C45" s="49">
        <f>C11/100</f>
        <v>2.68</v>
      </c>
      <c r="D45" s="49">
        <f>E11/100</f>
        <v>0.06</v>
      </c>
      <c r="E45" s="56">
        <f>MAX(C45:D45,0)</f>
        <v>2.68</v>
      </c>
      <c r="G45" s="1" t="str">
        <f>B45</f>
        <v>per 100 youth petitioned</v>
      </c>
      <c r="L45" s="57">
        <v>100</v>
      </c>
      <c r="M45" s="57"/>
      <c r="R45" s="49"/>
    </row>
    <row r="46" spans="2:18" ht="15" hidden="1" customHeight="1">
      <c r="B46" s="49" t="s">
        <v>90</v>
      </c>
      <c r="C46" s="49">
        <f>C12/100</f>
        <v>1.3</v>
      </c>
      <c r="D46" s="49">
        <f>E12/100</f>
        <v>0.03</v>
      </c>
      <c r="E46" s="56">
        <f>MAX(C46:D46)</f>
        <v>1.3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25.603000000000002</v>
      </c>
      <c r="D48" s="56">
        <f>D42</f>
        <v>0.108</v>
      </c>
      <c r="E48" s="56">
        <f>MAX(C48:D48)</f>
        <v>25.603000000000002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4.0599999999999996</v>
      </c>
      <c r="D49" s="49">
        <f t="shared" si="9"/>
        <v>0</v>
      </c>
      <c r="E49" s="49">
        <f>MAX(C49:D49)</f>
        <v>4.0599999999999996</v>
      </c>
      <c r="G49" s="1" t="str">
        <f>G43</f>
        <v>per 100 arrests</v>
      </c>
      <c r="L49" s="58">
        <f>IF(($E43&gt;0),L43,L42)</f>
        <v>100</v>
      </c>
      <c r="M49" s="58"/>
      <c r="N49" s="21"/>
      <c r="O49" s="21"/>
      <c r="P49" s="21"/>
      <c r="Q49" s="21"/>
      <c r="R49" s="21"/>
    </row>
    <row r="50" spans="2:18" ht="15" hidden="1" customHeight="1">
      <c r="B50" s="49" t="str">
        <f t="shared" si="9"/>
        <v>per 100 referrals</v>
      </c>
      <c r="C50" s="49">
        <f t="shared" si="9"/>
        <v>3.84</v>
      </c>
      <c r="D50" s="49">
        <f t="shared" si="9"/>
        <v>7.0000000000000007E-2</v>
      </c>
      <c r="E50" s="49">
        <f>MAX(C50:D50)</f>
        <v>3.84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2.68</v>
      </c>
      <c r="D51" s="49">
        <f>IF(($E45&gt;0),D45,D44)</f>
        <v>0.06</v>
      </c>
      <c r="E51" s="49">
        <f>MAX(C51:D51)</f>
        <v>2.68</v>
      </c>
      <c r="G51" s="1" t="str">
        <f>G45</f>
        <v>per 100 youth petitioned</v>
      </c>
      <c r="L51" s="58">
        <f>IF(($E45&gt;0),L45,L44)</f>
        <v>100</v>
      </c>
      <c r="M51" s="58"/>
    </row>
    <row r="52" spans="2:18" ht="15" hidden="1" customHeight="1">
      <c r="B52" s="49" t="str">
        <f>IF(($E46&gt;0),B46,B45)</f>
        <v>per 100 youth found delinquent</v>
      </c>
      <c r="C52" s="49">
        <f>IF(($E46&gt;0),C46,C45)</f>
        <v>1.3</v>
      </c>
      <c r="D52" s="49">
        <f>IF(($E46&gt;0),D46,D45)</f>
        <v>0.03</v>
      </c>
      <c r="E52" s="56">
        <f>MAX(C52:D52)</f>
        <v>1.3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25.603000000000002</v>
      </c>
      <c r="D54" s="56">
        <f>D48</f>
        <v>0.108</v>
      </c>
      <c r="E54" s="56">
        <f>MAX(C54:D54)</f>
        <v>25.603000000000002</v>
      </c>
      <c r="G54" s="1" t="str">
        <f>G48</f>
        <v>per 1000 youth</v>
      </c>
      <c r="L54" s="58">
        <f>L48</f>
        <v>1000</v>
      </c>
      <c r="M54" s="58"/>
    </row>
    <row r="55" spans="2:18" ht="15" hidden="1" customHeight="1">
      <c r="B55" s="49" t="str">
        <f t="shared" ref="B55:D56" si="10">IF(($E49&gt;0),B49,B48)</f>
        <v>per 100 arrests</v>
      </c>
      <c r="C55" s="49">
        <f t="shared" si="10"/>
        <v>4.0599999999999996</v>
      </c>
      <c r="D55" s="49">
        <f t="shared" si="10"/>
        <v>0</v>
      </c>
      <c r="E55" s="49">
        <f>MAX(C55:D55)</f>
        <v>4.0599999999999996</v>
      </c>
      <c r="G55" s="1" t="str">
        <f>G49</f>
        <v>per 100 arrests</v>
      </c>
      <c r="L55" s="58">
        <f>IF(($E49&gt;0),L49,L48)</f>
        <v>100</v>
      </c>
      <c r="M55" s="58"/>
    </row>
    <row r="56" spans="2:18" ht="15" hidden="1" customHeight="1">
      <c r="B56" s="49" t="str">
        <f t="shared" si="10"/>
        <v>per 100 referrals</v>
      </c>
      <c r="C56" s="49">
        <f t="shared" si="10"/>
        <v>3.84</v>
      </c>
      <c r="D56" s="49">
        <f t="shared" si="10"/>
        <v>7.0000000000000007E-2</v>
      </c>
      <c r="E56" s="49">
        <f>MAX(C56:D56)</f>
        <v>3.84</v>
      </c>
      <c r="G56" s="1" t="str">
        <f>G50</f>
        <v>per 100 referrals</v>
      </c>
      <c r="L56" s="58">
        <f>IF(($E50&gt;0),L50,L49)</f>
        <v>100</v>
      </c>
      <c r="M56" s="58"/>
    </row>
    <row r="57" spans="2:18" ht="15" hidden="1" customHeight="1">
      <c r="B57" s="49" t="str">
        <f>IF(($E51&gt;0),B51,B49)</f>
        <v>per 100 youth petitioned</v>
      </c>
      <c r="C57" s="49">
        <f>IF(($E51&gt;0),C51,C50)</f>
        <v>2.68</v>
      </c>
      <c r="D57" s="49">
        <f>IF(($E51&gt;0),D51,D50)</f>
        <v>0.06</v>
      </c>
      <c r="E57" s="49">
        <f>MAX(C57:D57)</f>
        <v>2.68</v>
      </c>
      <c r="G57" s="1" t="str">
        <f>G51</f>
        <v>per 100 youth petitioned</v>
      </c>
      <c r="L57" s="58">
        <f>IF(($E51&gt;0),L51,L50)</f>
        <v>100</v>
      </c>
      <c r="M57" s="58"/>
    </row>
    <row r="58" spans="2:18" ht="15" hidden="1" customHeight="1">
      <c r="B58" s="49" t="str">
        <f>IF(($E52&gt;0),B52,B51)</f>
        <v>per 100 youth found delinquent</v>
      </c>
      <c r="C58" s="49">
        <f>IF(($E52&gt;0),C52,C51)</f>
        <v>1.3</v>
      </c>
      <c r="D58" s="49">
        <f>IF(($E52&gt;0),D52,D51)</f>
        <v>0.03</v>
      </c>
      <c r="E58" s="56">
        <f>MAX(C58:D58)</f>
        <v>1.3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25.603000000000002</v>
      </c>
      <c r="D60" s="56">
        <f>D54</f>
        <v>0.108</v>
      </c>
      <c r="E60" s="56">
        <f>MAX(C60:D60)</f>
        <v>25.603000000000002</v>
      </c>
      <c r="G60" s="1" t="str">
        <f>G54</f>
        <v>per 1000 youth</v>
      </c>
      <c r="L60" s="58">
        <f>L54</f>
        <v>1000</v>
      </c>
      <c r="M60" s="58"/>
    </row>
    <row r="61" spans="2:18" ht="15" hidden="1" customHeight="1">
      <c r="B61" s="49" t="str">
        <f t="shared" ref="B61:D62" si="11">IF(($E55&gt;0),B55,B54)</f>
        <v>per 100 arrests</v>
      </c>
      <c r="C61" s="49">
        <f t="shared" si="11"/>
        <v>4.0599999999999996</v>
      </c>
      <c r="D61" s="49">
        <f t="shared" si="11"/>
        <v>0</v>
      </c>
      <c r="E61" s="49">
        <f>MAX(C61:D61)</f>
        <v>4.0599999999999996</v>
      </c>
      <c r="G61" s="1" t="str">
        <f>G55</f>
        <v>per 100 arrests</v>
      </c>
      <c r="L61" s="58">
        <f>IF(($E55&gt;0),L55,L54)</f>
        <v>100</v>
      </c>
      <c r="M61" s="58"/>
    </row>
    <row r="62" spans="2:18" ht="15" hidden="1" customHeight="1">
      <c r="B62" s="49" t="str">
        <f t="shared" si="11"/>
        <v>per 100 referrals</v>
      </c>
      <c r="C62" s="49">
        <f t="shared" si="11"/>
        <v>3.84</v>
      </c>
      <c r="D62" s="49">
        <f t="shared" si="11"/>
        <v>7.0000000000000007E-2</v>
      </c>
      <c r="E62" s="49">
        <f>MAX(C62:D62)</f>
        <v>3.84</v>
      </c>
      <c r="G62" s="1" t="str">
        <f>G56</f>
        <v>per 100 referrals</v>
      </c>
      <c r="L62" s="58">
        <f>IF(($E56&gt;0),L56,L55)</f>
        <v>100</v>
      </c>
      <c r="M62" s="58"/>
    </row>
    <row r="63" spans="2:18" ht="15" hidden="1" customHeight="1">
      <c r="B63" s="49" t="str">
        <f>IF(($E57&gt;0),B57,B55)</f>
        <v>per 100 youth petitioned</v>
      </c>
      <c r="C63" s="49">
        <f>IF(($E57&gt;0),C57,C56)</f>
        <v>2.68</v>
      </c>
      <c r="D63" s="49">
        <f>IF(($E57&gt;0),D57,D56)</f>
        <v>0.06</v>
      </c>
      <c r="E63" s="49">
        <f>MAX(C63:D63)</f>
        <v>2.68</v>
      </c>
      <c r="G63" s="1" t="str">
        <f>G57</f>
        <v>per 100 youth petitioned</v>
      </c>
      <c r="L63" s="58">
        <f>IF(($E57&gt;0),L57,L56)</f>
        <v>100</v>
      </c>
      <c r="M63" s="58"/>
    </row>
    <row r="64" spans="2:18" ht="15" hidden="1" customHeight="1">
      <c r="B64" s="49" t="str">
        <f>IF(($E58&gt;0),B58,B57)</f>
        <v>per 100 youth found delinquent</v>
      </c>
      <c r="C64" s="49">
        <f>IF(($E58&gt;0),C58,C57)</f>
        <v>1.3</v>
      </c>
      <c r="D64" s="49">
        <f>IF(($E58&gt;0),D58,D57)</f>
        <v>0.03</v>
      </c>
      <c r="E64" s="56">
        <f>MAX(C64:D64)</f>
        <v>1.3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25.603000000000002</v>
      </c>
      <c r="D66" s="56">
        <f>D60</f>
        <v>0.108</v>
      </c>
      <c r="E66" s="56">
        <f>MAX(C66:D66)</f>
        <v>25.603000000000002</v>
      </c>
      <c r="G66" s="1" t="str">
        <f>G60</f>
        <v>per 1000 youth</v>
      </c>
      <c r="L66" s="58">
        <f>L60</f>
        <v>1000</v>
      </c>
      <c r="M66" s="58">
        <f>IF((B66=G66),1,2)</f>
        <v>1</v>
      </c>
    </row>
    <row r="67" spans="2:13" ht="15" hidden="1" customHeight="1">
      <c r="B67" s="49" t="str">
        <f t="shared" ref="B67:D68" si="12">IF(($E61&gt;0),B61,B60)</f>
        <v>per 100 arrests</v>
      </c>
      <c r="C67" s="49">
        <f t="shared" si="12"/>
        <v>4.0599999999999996</v>
      </c>
      <c r="D67" s="49">
        <f t="shared" si="12"/>
        <v>0</v>
      </c>
      <c r="E67" s="49">
        <f>MAX(C67:D67)</f>
        <v>4.0599999999999996</v>
      </c>
      <c r="G67" s="1" t="str">
        <f>G61</f>
        <v>per 100 arrests</v>
      </c>
      <c r="L67" s="58">
        <f>IF(($E61&gt;0),L61,L60)</f>
        <v>100</v>
      </c>
      <c r="M67" s="58">
        <f>IF((B67=G67),1,2)</f>
        <v>1</v>
      </c>
    </row>
    <row r="68" spans="2:13" ht="15" hidden="1" customHeight="1">
      <c r="B68" s="49" t="str">
        <f t="shared" si="12"/>
        <v>per 100 referrals</v>
      </c>
      <c r="C68" s="49">
        <f t="shared" si="12"/>
        <v>3.84</v>
      </c>
      <c r="D68" s="49">
        <f t="shared" si="12"/>
        <v>7.0000000000000007E-2</v>
      </c>
      <c r="E68" s="49">
        <f>MAX(C68:D68)</f>
        <v>3.84</v>
      </c>
      <c r="G68" s="1" t="str">
        <f>G62</f>
        <v>per 100 referrals</v>
      </c>
      <c r="L68" s="58">
        <f>IF(($E62&gt;0),L62,L61)</f>
        <v>100</v>
      </c>
      <c r="M68" s="58">
        <f>IF((B68=G68),1,2)</f>
        <v>1</v>
      </c>
    </row>
    <row r="69" spans="2:13" ht="15" hidden="1" customHeight="1">
      <c r="B69" s="49" t="str">
        <f>IF(($E63&gt;0),B63,B61)</f>
        <v>per 100 youth petitioned</v>
      </c>
      <c r="C69" s="49">
        <f>IF(($E63&gt;0),C63,C62)</f>
        <v>2.68</v>
      </c>
      <c r="D69" s="49">
        <f>IF(($E63&gt;0),D63,D62)</f>
        <v>0.06</v>
      </c>
      <c r="E69" s="49">
        <f>MAX(C69:D69)</f>
        <v>2.68</v>
      </c>
      <c r="G69" s="1" t="str">
        <f>G63</f>
        <v>per 100 youth petitioned</v>
      </c>
      <c r="L69" s="58">
        <f>IF(($E63&gt;0),L63,L62)</f>
        <v>100</v>
      </c>
      <c r="M69" s="58">
        <f>IF((B69=G69),1,2)</f>
        <v>1</v>
      </c>
    </row>
    <row r="70" spans="2:13" ht="15" hidden="1" customHeight="1">
      <c r="B70" s="49" t="str">
        <f>IF(($E64&gt;0),B64,B63)</f>
        <v>per 100 youth found delinquent</v>
      </c>
      <c r="C70" s="49">
        <f>IF(($E64&gt;0),C64,C63)</f>
        <v>1.3</v>
      </c>
      <c r="D70" s="49">
        <f>IF(($E64&gt;0),D64,D63)</f>
        <v>0.03</v>
      </c>
      <c r="E70" s="56">
        <f>MAX(C70:D70)</f>
        <v>1.3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U47JMPN4QEAR-1806752177-35389</_dlc_DocId>
    <_dlc_DocIdUrl xmlns="ac3811b5-0f3e-49e2-ba69-f2ffa0c782af">
      <Url>https://michiganphi.sharepoint.com/sites/CMDMC/_layouts/15/DocIdRedir.aspx?ID=U47JMPN4QEAR-1806752177-35389</Url>
      <Description>U47JMPN4QEAR-1806752177-35389</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4AD956-166B-419C-B7FF-99F82743D255}">
  <ds:schemaRefs>
    <ds:schemaRef ds:uri="http://schemas.microsoft.com/sharepoint/v3/contenttype/forms"/>
  </ds:schemaRefs>
</ds:datastoreItem>
</file>

<file path=customXml/itemProps2.xml><?xml version="1.0" encoding="utf-8"?>
<ds:datastoreItem xmlns:ds="http://schemas.openxmlformats.org/officeDocument/2006/customXml" ds:itemID="{4269E95A-4185-4D69-9587-D99F81FC70C7}">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3.xml><?xml version="1.0" encoding="utf-8"?>
<ds:datastoreItem xmlns:ds="http://schemas.openxmlformats.org/officeDocument/2006/customXml" ds:itemID="{7CB6B952-FF17-45B6-B93E-52B5EEB66560}"/>
</file>

<file path=customXml/itemProps4.xml><?xml version="1.0" encoding="utf-8"?>
<ds:datastoreItem xmlns:ds="http://schemas.openxmlformats.org/officeDocument/2006/customXml" ds:itemID="{41664FA4-817B-43CE-94E8-5FC3AFDEA53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e155d438-9c69-45e8-9e5a-a1431a7ccfeb</vt:lpwstr>
  </property>
</Properties>
</file>