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2 DMC Data/County Matrices/"/>
    </mc:Choice>
  </mc:AlternateContent>
  <xr:revisionPtr revIDLastSave="3" documentId="8_{8CF50BB9-6984-4C87-98F0-31929BD02FFE}" xr6:coauthVersionLast="47" xr6:coauthVersionMax="47" xr10:uidLastSave="{B32CEB86-25A4-4AF4-8F46-55C08533BC08}"/>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s="1"/>
  <c r="B66" i="2" s="1"/>
  <c r="J27" i="2"/>
  <c r="G42" i="2"/>
  <c r="G48" i="2"/>
  <c r="G54" i="2" s="1"/>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s="1"/>
  <c r="B66" i="3" s="1"/>
  <c r="J27" i="3"/>
  <c r="G42" i="3"/>
  <c r="G43" i="3"/>
  <c r="G49" i="3"/>
  <c r="G55" i="3" s="1"/>
  <c r="G61" i="3" s="1"/>
  <c r="G67" i="3" s="1"/>
  <c r="G44" i="3"/>
  <c r="G50" i="3"/>
  <c r="G56" i="3"/>
  <c r="G62" i="3" s="1"/>
  <c r="G68" i="3" s="1"/>
  <c r="G45" i="3"/>
  <c r="G46" i="3"/>
  <c r="G48" i="3"/>
  <c r="G54" i="3"/>
  <c r="G60" i="3" s="1"/>
  <c r="G66" i="3" s="1"/>
  <c r="L48" i="3"/>
  <c r="G51" i="3"/>
  <c r="G57" i="3"/>
  <c r="G63" i="3"/>
  <c r="G69" i="3" s="1"/>
  <c r="G52" i="3"/>
  <c r="G58" i="3" s="1"/>
  <c r="G64" i="3" s="1"/>
  <c r="G70" i="3" s="1"/>
  <c r="L54" i="3"/>
  <c r="L60" i="3"/>
  <c r="L66" i="3" s="1"/>
  <c r="F1" i="4"/>
  <c r="B2" i="4"/>
  <c r="B3" i="4"/>
  <c r="B6" i="4"/>
  <c r="B7" i="4"/>
  <c r="B8" i="4"/>
  <c r="B9" i="4"/>
  <c r="E9" i="4"/>
  <c r="N9" i="4" s="1"/>
  <c r="B10" i="4"/>
  <c r="B11" i="4"/>
  <c r="B12" i="4"/>
  <c r="B13" i="4"/>
  <c r="B14" i="4"/>
  <c r="B15" i="4"/>
  <c r="B48" i="4"/>
  <c r="B54" i="4"/>
  <c r="B60" i="4" s="1"/>
  <c r="B66" i="4" s="1"/>
  <c r="J27" i="4"/>
  <c r="G42" i="4"/>
  <c r="G48" i="4"/>
  <c r="G54" i="4"/>
  <c r="G60" i="4" s="1"/>
  <c r="G66" i="4" s="1"/>
  <c r="G43" i="4"/>
  <c r="G49" i="4" s="1"/>
  <c r="G55" i="4" s="1"/>
  <c r="G61" i="4" s="1"/>
  <c r="G67" i="4" s="1"/>
  <c r="G44" i="4"/>
  <c r="G45" i="4"/>
  <c r="G51" i="4" s="1"/>
  <c r="G57" i="4" s="1"/>
  <c r="G63" i="4" s="1"/>
  <c r="G69" i="4" s="1"/>
  <c r="G46" i="4"/>
  <c r="L48" i="4"/>
  <c r="L54" i="4"/>
  <c r="L60" i="4" s="1"/>
  <c r="L66" i="4" s="1"/>
  <c r="G50" i="4"/>
  <c r="G52" i="4"/>
  <c r="G58" i="4" s="1"/>
  <c r="G64" i="4" s="1"/>
  <c r="G70" i="4" s="1"/>
  <c r="G56" i="4"/>
  <c r="G62" i="4" s="1"/>
  <c r="G68"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46" i="5"/>
  <c r="G48" i="5"/>
  <c r="G54" i="5"/>
  <c r="G60" i="5" s="1"/>
  <c r="G66" i="5" s="1"/>
  <c r="L48" i="5"/>
  <c r="G51" i="5"/>
  <c r="G57" i="5" s="1"/>
  <c r="G63" i="5" s="1"/>
  <c r="G69" i="5" s="1"/>
  <c r="G52" i="5"/>
  <c r="G58" i="5" s="1"/>
  <c r="G64" i="5" s="1"/>
  <c r="G70" i="5" s="1"/>
  <c r="L54" i="5"/>
  <c r="L60" i="5"/>
  <c r="L66"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s="1"/>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s="1"/>
  <c r="G63" i="7" s="1"/>
  <c r="G69" i="7" s="1"/>
  <c r="G46" i="7"/>
  <c r="L48" i="7"/>
  <c r="G50" i="7"/>
  <c r="G56" i="7" s="1"/>
  <c r="G62" i="7" s="1"/>
  <c r="G68" i="7" s="1"/>
  <c r="G52" i="7"/>
  <c r="G58" i="7" s="1"/>
  <c r="G64" i="7" s="1"/>
  <c r="G70" i="7" s="1"/>
  <c r="L54" i="7"/>
  <c r="L60" i="7" s="1"/>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s="1"/>
  <c r="G60" i="8" s="1"/>
  <c r="G66" i="8" s="1"/>
  <c r="L48" i="8"/>
  <c r="G50" i="8"/>
  <c r="G56" i="8" s="1"/>
  <c r="G62" i="8" s="1"/>
  <c r="G68" i="8" s="1"/>
  <c r="G51" i="8"/>
  <c r="G57" i="8" s="1"/>
  <c r="G63" i="8" s="1"/>
  <c r="G69" i="8" s="1"/>
  <c r="L54" i="8"/>
  <c r="L60" i="8" s="1"/>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5" l="1"/>
  <c r="M66" i="5"/>
  <c r="M66" i="6"/>
  <c r="F27" i="6"/>
  <c r="M66" i="3"/>
  <c r="F27" i="3"/>
  <c r="F27" i="2"/>
  <c r="M66" i="2"/>
  <c r="F27" i="4"/>
  <c r="M66" i="4"/>
  <c r="F27" i="8"/>
  <c r="M66" i="8"/>
  <c r="M66" i="7"/>
  <c r="F27" i="7"/>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D46" i="7"/>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N12" i="5"/>
  <c r="D16" i="13"/>
  <c r="C15" i="2"/>
  <c r="P15" i="2" s="1"/>
  <c r="C15" i="3"/>
  <c r="P15" i="3" s="1"/>
  <c r="C15" i="4"/>
  <c r="P15" i="4" s="1"/>
  <c r="C15" i="6"/>
  <c r="P15" i="6" s="1"/>
  <c r="C15" i="5"/>
  <c r="P15" i="5" s="1"/>
  <c r="C15" i="7"/>
  <c r="P15" i="7" s="1"/>
  <c r="C15" i="8"/>
  <c r="P15" i="8" s="1"/>
  <c r="D43" i="6" l="1"/>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3" i="7" l="1"/>
  <c r="E46" i="3"/>
  <c r="D46" i="8"/>
  <c r="E46" i="8" s="1"/>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D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E45" i="2" l="1"/>
  <c r="C51" i="2" s="1"/>
  <c r="D52" i="8"/>
  <c r="C52" i="6"/>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5" s="1"/>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E52" i="6"/>
  <c r="L50" i="2"/>
  <c r="C50" i="2"/>
  <c r="D50" i="2"/>
  <c r="B50" i="2"/>
  <c r="E50" i="6"/>
  <c r="C54" i="7"/>
  <c r="E48" i="7"/>
  <c r="E49" i="6"/>
  <c r="E49" i="7"/>
  <c r="E48" i="5"/>
  <c r="C54" i="5"/>
  <c r="C54" i="6"/>
  <c r="E48" i="6"/>
  <c r="B51" i="6"/>
  <c r="D51" i="6"/>
  <c r="C51" i="6"/>
  <c r="L51" i="6"/>
  <c r="R7" i="8" l="1"/>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E58" i="5" s="1"/>
  <c r="C60" i="4"/>
  <c r="E54" i="4"/>
  <c r="C60" i="5"/>
  <c r="E54" i="5"/>
  <c r="E54" i="7"/>
  <c r="C60" i="7"/>
  <c r="B58" i="6"/>
  <c r="D58" i="6"/>
  <c r="C58" i="6"/>
  <c r="L58" i="6"/>
  <c r="E51" i="5"/>
  <c r="E60" i="8"/>
  <c r="C66" i="8"/>
  <c r="C60" i="3"/>
  <c r="E54" i="3"/>
  <c r="E51" i="2"/>
  <c r="E52" i="2"/>
  <c r="L58" i="8" l="1"/>
  <c r="B58" i="8"/>
  <c r="C56" i="2"/>
  <c r="D58" i="8"/>
  <c r="U7" i="8"/>
  <c r="J7" i="8" s="1"/>
  <c r="M7" i="8" s="1"/>
  <c r="E50" i="8"/>
  <c r="C56" i="8" s="1"/>
  <c r="E58" i="4"/>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E58" i="8" s="1"/>
  <c r="C57" i="6"/>
  <c r="L57" i="3"/>
  <c r="E55" i="5"/>
  <c r="D61" i="5" s="1"/>
  <c r="B62" i="4"/>
  <c r="L62" i="4"/>
  <c r="C62" i="4"/>
  <c r="C62" i="3"/>
  <c r="D57" i="3"/>
  <c r="L7" i="9"/>
  <c r="B62" i="3"/>
  <c r="B57" i="8"/>
  <c r="C57" i="8"/>
  <c r="E58" i="6"/>
  <c r="D62" i="4"/>
  <c r="L57" i="7"/>
  <c r="D62" i="3"/>
  <c r="D57" i="7"/>
  <c r="E57" i="7" s="1"/>
  <c r="C57" i="2"/>
  <c r="D57" i="2"/>
  <c r="L57" i="2"/>
  <c r="B57" i="2"/>
  <c r="L56" i="8"/>
  <c r="E60" i="5"/>
  <c r="C66" i="5"/>
  <c r="C66" i="4"/>
  <c r="E60" i="4"/>
  <c r="E66" i="8"/>
  <c r="D7" i="8"/>
  <c r="E60" i="7"/>
  <c r="C66" i="7"/>
  <c r="D61" i="4"/>
  <c r="B61" i="4"/>
  <c r="L61" i="4"/>
  <c r="C61" i="4"/>
  <c r="E55" i="2"/>
  <c r="D64" i="4"/>
  <c r="D56" i="7"/>
  <c r="B56" i="7"/>
  <c r="C56" i="7"/>
  <c r="L56" i="7"/>
  <c r="D61" i="3"/>
  <c r="L61" i="3"/>
  <c r="C61" i="3"/>
  <c r="B61" i="3"/>
  <c r="L58" i="2"/>
  <c r="C58" i="2"/>
  <c r="B58" i="2"/>
  <c r="D58" i="2"/>
  <c r="C66" i="3"/>
  <c r="E60" i="3"/>
  <c r="D57" i="5"/>
  <c r="D64" i="5" s="1"/>
  <c r="L57" i="5"/>
  <c r="L64" i="5" s="1"/>
  <c r="B57" i="5"/>
  <c r="B64" i="5" s="1"/>
  <c r="C57" i="5"/>
  <c r="C64" i="5" s="1"/>
  <c r="C66" i="6"/>
  <c r="E60" i="6"/>
  <c r="C66" i="2"/>
  <c r="E60" i="2"/>
  <c r="E56" i="6"/>
  <c r="E55" i="6"/>
  <c r="E55" i="7"/>
  <c r="E56" i="2"/>
  <c r="E58" i="7"/>
  <c r="L64" i="3" l="1"/>
  <c r="B56" i="8"/>
  <c r="B55" i="8"/>
  <c r="D56" i="8"/>
  <c r="E56" i="8" s="1"/>
  <c r="B64" i="4"/>
  <c r="G7" i="8"/>
  <c r="K8" i="16" s="1"/>
  <c r="L7" i="8"/>
  <c r="T8" i="16" s="1"/>
  <c r="E57" i="3"/>
  <c r="L63" i="3" s="1"/>
  <c r="D57" i="8"/>
  <c r="E57" i="8" s="1"/>
  <c r="L64" i="4"/>
  <c r="C64" i="3"/>
  <c r="D55" i="8"/>
  <c r="E55" i="8" s="1"/>
  <c r="D61" i="8" s="1"/>
  <c r="L55" i="8"/>
  <c r="C64" i="4"/>
  <c r="E64" i="4" s="1"/>
  <c r="D64" i="6"/>
  <c r="B64" i="3"/>
  <c r="L62" i="5"/>
  <c r="D62" i="5"/>
  <c r="E62" i="5" s="1"/>
  <c r="E57" i="6"/>
  <c r="B63" i="6" s="1"/>
  <c r="B62" i="5"/>
  <c r="D64" i="8"/>
  <c r="L64" i="6"/>
  <c r="L64" i="8"/>
  <c r="E57" i="2"/>
  <c r="C63" i="2" s="1"/>
  <c r="L61" i="5"/>
  <c r="E64" i="5"/>
  <c r="D64" i="3"/>
  <c r="C64" i="6"/>
  <c r="C64" i="8"/>
  <c r="B64" i="8"/>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C63" i="3" l="1"/>
  <c r="B63" i="8"/>
  <c r="Q8" i="13"/>
  <c r="I7" i="9"/>
  <c r="B63" i="3"/>
  <c r="E64" i="6"/>
  <c r="B70" i="6" s="1"/>
  <c r="M70" i="6" s="1"/>
  <c r="Z8" i="13"/>
  <c r="R7" i="9"/>
  <c r="D63" i="3"/>
  <c r="E63" i="3" s="1"/>
  <c r="C69" i="3" s="1"/>
  <c r="E64" i="3"/>
  <c r="E63" i="7"/>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D63" i="8"/>
  <c r="L63" i="8"/>
  <c r="B63" i="2"/>
  <c r="L63" i="2"/>
  <c r="D63" i="2"/>
  <c r="E63" i="2" s="1"/>
  <c r="E64" i="8"/>
  <c r="L70" i="8" s="1"/>
  <c r="L70" i="4"/>
  <c r="D70" i="4"/>
  <c r="F14" i="4" s="1"/>
  <c r="B67" i="5"/>
  <c r="F28" i="5" s="1"/>
  <c r="D68" i="3"/>
  <c r="F9" i="3" s="1"/>
  <c r="C63" i="8"/>
  <c r="L67" i="5"/>
  <c r="O8" i="5" s="1"/>
  <c r="E61" i="6"/>
  <c r="B67" i="6" s="1"/>
  <c r="D10" i="3"/>
  <c r="D9" i="3"/>
  <c r="D11" i="3"/>
  <c r="B69" i="7"/>
  <c r="F32" i="7" s="1"/>
  <c r="C7" i="9"/>
  <c r="E8" i="13"/>
  <c r="D7" i="9"/>
  <c r="G8" i="13"/>
  <c r="E64" i="7"/>
  <c r="D70" i="7" s="1"/>
  <c r="F13" i="7" s="1"/>
  <c r="E61" i="2"/>
  <c r="C67" i="2" s="1"/>
  <c r="B62" i="8"/>
  <c r="C62" i="8"/>
  <c r="L62" i="8"/>
  <c r="D62" i="8"/>
  <c r="F8" i="3"/>
  <c r="L68" i="5"/>
  <c r="C68" i="5"/>
  <c r="B68" i="5"/>
  <c r="D68" i="5"/>
  <c r="D62" i="7"/>
  <c r="B62" i="7"/>
  <c r="C62" i="7"/>
  <c r="C69" i="7" s="1"/>
  <c r="D12" i="7" s="1"/>
  <c r="L62" i="7"/>
  <c r="L69" i="7" s="1"/>
  <c r="C67" i="4"/>
  <c r="L67" i="4"/>
  <c r="D67" i="4"/>
  <c r="B67" i="4"/>
  <c r="E62" i="6"/>
  <c r="D9" i="4"/>
  <c r="D10" i="4"/>
  <c r="D11" i="4"/>
  <c r="L64" i="2"/>
  <c r="D64" i="2"/>
  <c r="C64" i="2"/>
  <c r="B64" i="2"/>
  <c r="E63" i="4"/>
  <c r="E62" i="2"/>
  <c r="D63" i="5"/>
  <c r="D70" i="5" s="1"/>
  <c r="F14" i="5" s="1"/>
  <c r="C63" i="5"/>
  <c r="C70" i="5" s="1"/>
  <c r="B63" i="5"/>
  <c r="B70" i="5" s="1"/>
  <c r="F33" i="5" s="1"/>
  <c r="L63" i="5"/>
  <c r="L70" i="5" s="1"/>
  <c r="F8" i="5"/>
  <c r="D70" i="6" l="1"/>
  <c r="B70" i="3"/>
  <c r="M70" i="3" s="1"/>
  <c r="C70" i="6"/>
  <c r="E70" i="6" s="1"/>
  <c r="C70" i="3"/>
  <c r="D14" i="3" s="1"/>
  <c r="L70" i="3"/>
  <c r="O13" i="3" s="1"/>
  <c r="L70" i="6"/>
  <c r="O13" i="6" s="1"/>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F13" i="6"/>
  <c r="D8" i="3"/>
  <c r="E63" i="8"/>
  <c r="D69" i="8" s="1"/>
  <c r="M70" i="4"/>
  <c r="B69" i="2"/>
  <c r="F35" i="2" s="1"/>
  <c r="B67" i="7"/>
  <c r="F28" i="7" s="1"/>
  <c r="M67" i="3"/>
  <c r="D67" i="7"/>
  <c r="O8" i="7" s="1"/>
  <c r="F11" i="4"/>
  <c r="F14" i="6"/>
  <c r="F31" i="4"/>
  <c r="O9" i="4"/>
  <c r="M68" i="4"/>
  <c r="E70" i="4"/>
  <c r="D69" i="3"/>
  <c r="E69" i="3" s="1"/>
  <c r="F29" i="4"/>
  <c r="F13" i="5"/>
  <c r="F33" i="3"/>
  <c r="F13" i="4"/>
  <c r="F33" i="4"/>
  <c r="F10" i="4"/>
  <c r="O10" i="4"/>
  <c r="M67" i="5"/>
  <c r="O11" i="3"/>
  <c r="T11" i="3" s="1"/>
  <c r="O14" i="4"/>
  <c r="Q13" i="4"/>
  <c r="F30" i="3"/>
  <c r="Q9" i="3"/>
  <c r="O10" i="3"/>
  <c r="E68" i="3"/>
  <c r="O9" i="3"/>
  <c r="F31" i="3"/>
  <c r="F29" i="3"/>
  <c r="D14" i="4"/>
  <c r="L70" i="7"/>
  <c r="O14" i="7" s="1"/>
  <c r="M69" i="7"/>
  <c r="B69" i="3"/>
  <c r="M69" i="3" s="1"/>
  <c r="C70" i="8"/>
  <c r="Q13" i="8" s="1"/>
  <c r="B70" i="8"/>
  <c r="M70" i="8" s="1"/>
  <c r="E64" i="2"/>
  <c r="L70" i="2" s="1"/>
  <c r="L67" i="6"/>
  <c r="F10" i="3"/>
  <c r="F11" i="3"/>
  <c r="F34" i="3"/>
  <c r="D67" i="6"/>
  <c r="F8" i="6" s="1"/>
  <c r="L69" i="3"/>
  <c r="Q12" i="3" s="1"/>
  <c r="M70" i="5"/>
  <c r="E70" i="5"/>
  <c r="Q13" i="5"/>
  <c r="D13" i="5"/>
  <c r="Q14" i="5"/>
  <c r="D14" i="5"/>
  <c r="O13" i="5"/>
  <c r="O14" i="5"/>
  <c r="F35" i="7"/>
  <c r="F34" i="5"/>
  <c r="B70" i="7"/>
  <c r="F33" i="7" s="1"/>
  <c r="D14" i="6"/>
  <c r="D13" i="6"/>
  <c r="C70" i="7"/>
  <c r="D14" i="7" s="1"/>
  <c r="F14" i="7"/>
  <c r="Q15" i="7"/>
  <c r="E63" i="5"/>
  <c r="L69" i="5" s="1"/>
  <c r="Q12" i="7"/>
  <c r="D67" i="2"/>
  <c r="E67" i="2" s="1"/>
  <c r="D15" i="7"/>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15" i="3"/>
  <c r="D12" i="3"/>
  <c r="D8" i="2"/>
  <c r="E62" i="8"/>
  <c r="O14" i="6" l="1"/>
  <c r="R14" i="6" s="1"/>
  <c r="S14" i="6" s="1"/>
  <c r="Q14" i="6"/>
  <c r="Q13" i="6"/>
  <c r="O15" i="7"/>
  <c r="K15" i="7" s="1"/>
  <c r="Q13" i="3"/>
  <c r="K13" i="3" s="1"/>
  <c r="O12" i="7"/>
  <c r="T12" i="7" s="1"/>
  <c r="Q14" i="3"/>
  <c r="F12" i="7"/>
  <c r="F14" i="3"/>
  <c r="E70" i="3"/>
  <c r="D13" i="3"/>
  <c r="E69" i="7"/>
  <c r="C69" i="6"/>
  <c r="D12" i="6" s="1"/>
  <c r="B69" i="6"/>
  <c r="M69" i="6" s="1"/>
  <c r="O14" i="3"/>
  <c r="D69" i="6"/>
  <c r="F12" i="6" s="1"/>
  <c r="T10" i="3"/>
  <c r="K10" i="4"/>
  <c r="F8" i="7"/>
  <c r="T9" i="4"/>
  <c r="T11" i="4"/>
  <c r="K11" i="4"/>
  <c r="R10" i="4"/>
  <c r="S10" i="4" s="1"/>
  <c r="U10" i="4" s="1"/>
  <c r="J10" i="4" s="1"/>
  <c r="M10" i="4" s="1"/>
  <c r="G10" i="4" s="1"/>
  <c r="G11" i="16" s="1"/>
  <c r="T8" i="3"/>
  <c r="U8" i="3" s="1"/>
  <c r="J8" i="3" s="1"/>
  <c r="F12" i="3"/>
  <c r="T13" i="4"/>
  <c r="T8" i="5"/>
  <c r="U8" i="5" s="1"/>
  <c r="J8" i="5" s="1"/>
  <c r="K8" i="5"/>
  <c r="E67" i="7"/>
  <c r="L69" i="8"/>
  <c r="O15" i="8" s="1"/>
  <c r="M67" i="7"/>
  <c r="D8" i="7"/>
  <c r="T10" i="4"/>
  <c r="K8" i="3"/>
  <c r="Q8" i="7"/>
  <c r="R8" i="7" s="1"/>
  <c r="S8" i="7" s="1"/>
  <c r="M69" i="2"/>
  <c r="K14" i="4"/>
  <c r="K13" i="4"/>
  <c r="Q8" i="6"/>
  <c r="O8" i="6"/>
  <c r="B69" i="8"/>
  <c r="M69" i="8" s="1"/>
  <c r="E67" i="6"/>
  <c r="C69" i="8"/>
  <c r="F15" i="3"/>
  <c r="R13" i="4"/>
  <c r="S13" i="4" s="1"/>
  <c r="U13" i="4" s="1"/>
  <c r="J13" i="4" s="1"/>
  <c r="K9" i="4"/>
  <c r="R9" i="4"/>
  <c r="S9" i="4" s="1"/>
  <c r="U9" i="4" s="1"/>
  <c r="J9" i="4" s="1"/>
  <c r="M9" i="4" s="1"/>
  <c r="G9" i="4" s="1"/>
  <c r="G10" i="16" s="1"/>
  <c r="F32" i="2"/>
  <c r="O13" i="8"/>
  <c r="R13" i="8" s="1"/>
  <c r="S13" i="8" s="1"/>
  <c r="U13" i="8" s="1"/>
  <c r="J13" i="8" s="1"/>
  <c r="M13" i="8" s="1"/>
  <c r="G13" i="8" s="1"/>
  <c r="K14" i="16" s="1"/>
  <c r="R10" i="3"/>
  <c r="S10" i="3" s="1"/>
  <c r="U10" i="3" s="1"/>
  <c r="J10" i="3" s="1"/>
  <c r="M10" i="3" s="1"/>
  <c r="G10" i="3" s="1"/>
  <c r="I11" i="16" s="1"/>
  <c r="T13" i="6"/>
  <c r="F8" i="2"/>
  <c r="O14" i="8"/>
  <c r="F14" i="8"/>
  <c r="T14" i="4"/>
  <c r="R13" i="6"/>
  <c r="S13" i="6" s="1"/>
  <c r="U13" i="6" s="1"/>
  <c r="J13" i="6" s="1"/>
  <c r="M13" i="6" s="1"/>
  <c r="G13" i="6" s="1"/>
  <c r="B70" i="2"/>
  <c r="F33" i="2" s="1"/>
  <c r="F35" i="3"/>
  <c r="D69" i="5"/>
  <c r="O15" i="5" s="1"/>
  <c r="O12" i="6"/>
  <c r="F32" i="3"/>
  <c r="R13" i="3"/>
  <c r="S13" i="3" s="1"/>
  <c r="U13" i="3" s="1"/>
  <c r="J13" i="3" s="1"/>
  <c r="T13" i="5"/>
  <c r="F34" i="7"/>
  <c r="M70" i="7"/>
  <c r="O13" i="7"/>
  <c r="K11" i="3"/>
  <c r="R11" i="3"/>
  <c r="S11" i="3" s="1"/>
  <c r="U11" i="3" s="1"/>
  <c r="J11" i="3" s="1"/>
  <c r="M11" i="3" s="1"/>
  <c r="G11" i="3" s="1"/>
  <c r="K13" i="6"/>
  <c r="L68" i="7"/>
  <c r="Q9" i="7" s="1"/>
  <c r="C69" i="5"/>
  <c r="Q12" i="5" s="1"/>
  <c r="B69" i="5"/>
  <c r="F32" i="5" s="1"/>
  <c r="D68" i="7"/>
  <c r="E68" i="7" s="1"/>
  <c r="B68" i="7"/>
  <c r="F31" i="7" s="1"/>
  <c r="K9" i="3"/>
  <c r="K10" i="3"/>
  <c r="R14" i="4"/>
  <c r="S14" i="4" s="1"/>
  <c r="U14" i="4" s="1"/>
  <c r="J14" i="4" s="1"/>
  <c r="D13" i="7"/>
  <c r="O12" i="3"/>
  <c r="R12" i="3" s="1"/>
  <c r="S12" i="3" s="1"/>
  <c r="R9" i="3"/>
  <c r="S9" i="3" s="1"/>
  <c r="Q14" i="8"/>
  <c r="T9" i="3"/>
  <c r="F34" i="8"/>
  <c r="R14" i="5"/>
  <c r="S14" i="5" s="1"/>
  <c r="U14" i="5" s="1"/>
  <c r="J14" i="5" s="1"/>
  <c r="M14" i="5" s="1"/>
  <c r="F33" i="8"/>
  <c r="C70" i="2"/>
  <c r="D14" i="2" s="1"/>
  <c r="T14" i="5"/>
  <c r="D13" i="8"/>
  <c r="O15" i="3"/>
  <c r="K14" i="5"/>
  <c r="Q15" i="3"/>
  <c r="D70" i="2"/>
  <c r="O14" i="2" s="1"/>
  <c r="D14" i="8"/>
  <c r="E70" i="8"/>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5"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R15" i="7" l="1"/>
  <c r="S15" i="7" s="1"/>
  <c r="U15" i="7" s="1"/>
  <c r="J15" i="7" s="1"/>
  <c r="K14" i="6"/>
  <c r="T13" i="3"/>
  <c r="T14" i="6"/>
  <c r="T15" i="7"/>
  <c r="K14" i="3"/>
  <c r="K12" i="7"/>
  <c r="T14" i="3"/>
  <c r="R12" i="7"/>
  <c r="S12" i="7" s="1"/>
  <c r="U12" i="7" s="1"/>
  <c r="J12" i="7" s="1"/>
  <c r="M12" i="7" s="1"/>
  <c r="F32" i="6"/>
  <c r="R14" i="8"/>
  <c r="S14" i="8" s="1"/>
  <c r="R14" i="3"/>
  <c r="S14" i="3" s="1"/>
  <c r="U14" i="3" s="1"/>
  <c r="J14" i="3" s="1"/>
  <c r="M14" i="3" s="1"/>
  <c r="G14" i="3" s="1"/>
  <c r="I15" i="16" s="1"/>
  <c r="Q12" i="6"/>
  <c r="T12" i="6" s="1"/>
  <c r="T13" i="8"/>
  <c r="D15" i="6"/>
  <c r="Q15" i="6"/>
  <c r="E69" i="6"/>
  <c r="O15" i="6"/>
  <c r="F35" i="6"/>
  <c r="F15" i="6"/>
  <c r="L13" i="4"/>
  <c r="O14" i="16" s="1"/>
  <c r="L11" i="4"/>
  <c r="O12" i="16" s="1"/>
  <c r="K8" i="7"/>
  <c r="O13" i="2"/>
  <c r="O12" i="8"/>
  <c r="F35" i="8"/>
  <c r="T8" i="7"/>
  <c r="U8" i="7" s="1"/>
  <c r="J8" i="7" s="1"/>
  <c r="M8" i="7" s="1"/>
  <c r="T13" i="7"/>
  <c r="Q12" i="8"/>
  <c r="F32" i="8"/>
  <c r="Q10" i="7"/>
  <c r="F13" i="2"/>
  <c r="Q11" i="7"/>
  <c r="R8" i="6"/>
  <c r="S8" i="6" s="1"/>
  <c r="F14" i="2"/>
  <c r="E69" i="8"/>
  <c r="F10" i="7"/>
  <c r="L10" i="3"/>
  <c r="P11" i="16" s="1"/>
  <c r="F30" i="7"/>
  <c r="D12" i="8"/>
  <c r="M68" i="7"/>
  <c r="Q15" i="8"/>
  <c r="R15" i="8" s="1"/>
  <c r="S15" i="8" s="1"/>
  <c r="F29" i="7"/>
  <c r="F15" i="5"/>
  <c r="D15" i="8"/>
  <c r="U14" i="6"/>
  <c r="J14" i="6" s="1"/>
  <c r="M14" i="6" s="1"/>
  <c r="G14" i="6" s="1"/>
  <c r="M15" i="13" s="1"/>
  <c r="K14" i="8"/>
  <c r="T8" i="6"/>
  <c r="K8" i="6"/>
  <c r="R12" i="6"/>
  <c r="S12" i="6" s="1"/>
  <c r="U12" i="6" s="1"/>
  <c r="J12" i="6" s="1"/>
  <c r="O12" i="5"/>
  <c r="R12" i="5" s="1"/>
  <c r="S12" i="5" s="1"/>
  <c r="U12" i="5" s="1"/>
  <c r="J12" i="5" s="1"/>
  <c r="F35" i="5"/>
  <c r="F12" i="5"/>
  <c r="M69" i="5"/>
  <c r="K13" i="8"/>
  <c r="L13" i="8" s="1"/>
  <c r="T14" i="16" s="1"/>
  <c r="K8" i="2"/>
  <c r="M70" i="2"/>
  <c r="F9" i="7"/>
  <c r="K12" i="6"/>
  <c r="O11" i="7"/>
  <c r="F34" i="2"/>
  <c r="O10" i="7"/>
  <c r="F11" i="7"/>
  <c r="O9" i="7"/>
  <c r="R9" i="7" s="1"/>
  <c r="S9" i="7" s="1"/>
  <c r="L11" i="3"/>
  <c r="P12" i="16" s="1"/>
  <c r="E69" i="5"/>
  <c r="K12" i="3"/>
  <c r="D15" i="5"/>
  <c r="T12" i="3"/>
  <c r="D12" i="5"/>
  <c r="Q15" i="5"/>
  <c r="K15" i="5" s="1"/>
  <c r="R15" i="3"/>
  <c r="S15" i="3" s="1"/>
  <c r="U15" i="3" s="1"/>
  <c r="J15" i="3" s="1"/>
  <c r="M15" i="3" s="1"/>
  <c r="G15" i="3" s="1"/>
  <c r="I16" i="16" s="1"/>
  <c r="I12" i="16"/>
  <c r="E11" i="9"/>
  <c r="I12" i="13"/>
  <c r="G13" i="9"/>
  <c r="M14" i="13"/>
  <c r="T14" i="8"/>
  <c r="L13" i="6"/>
  <c r="R14" i="16" s="1"/>
  <c r="D13" i="2"/>
  <c r="E70" i="2"/>
  <c r="Q14" i="2"/>
  <c r="K14" i="2" s="1"/>
  <c r="M13" i="4"/>
  <c r="G13" i="4" s="1"/>
  <c r="G14" i="16" s="1"/>
  <c r="L9" i="4"/>
  <c r="O10" i="16" s="1"/>
  <c r="R13" i="7"/>
  <c r="S13" i="7" s="1"/>
  <c r="U13" i="7" s="1"/>
  <c r="J13" i="7" s="1"/>
  <c r="M13" i="7" s="1"/>
  <c r="Q13" i="2"/>
  <c r="L13" i="3"/>
  <c r="P14" i="16" s="1"/>
  <c r="U9" i="3"/>
  <c r="J9" i="3" s="1"/>
  <c r="L9" i="3" s="1"/>
  <c r="K15" i="3"/>
  <c r="T15" i="3"/>
  <c r="Q14" i="13"/>
  <c r="N30" i="5"/>
  <c r="L14" i="5"/>
  <c r="Q15" i="16" s="1"/>
  <c r="I13" i="9"/>
  <c r="L13" i="5"/>
  <c r="Q14" i="16" s="1"/>
  <c r="L10" i="4"/>
  <c r="O11" i="16" s="1"/>
  <c r="K13" i="7"/>
  <c r="T8" i="2"/>
  <c r="U8" i="2" s="1"/>
  <c r="J8" i="2" s="1"/>
  <c r="M11" i="4"/>
  <c r="G11" i="4" s="1"/>
  <c r="T14" i="7"/>
  <c r="U14" i="7" s="1"/>
  <c r="J14" i="7" s="1"/>
  <c r="K14" i="7"/>
  <c r="M13" i="3"/>
  <c r="G13" i="3" s="1"/>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L15" i="7"/>
  <c r="S16" i="16" s="1"/>
  <c r="M15" i="7"/>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U12" i="3"/>
  <c r="J12" i="3" s="1"/>
  <c r="L9" i="5"/>
  <c r="Q10" i="16" s="1"/>
  <c r="M9" i="5"/>
  <c r="R9" i="2"/>
  <c r="S9" i="2" s="1"/>
  <c r="K9" i="2"/>
  <c r="T9" i="2"/>
  <c r="T12" i="4"/>
  <c r="R12" i="4"/>
  <c r="S12" i="4" s="1"/>
  <c r="K12" i="4"/>
  <c r="L12" i="7" l="1"/>
  <c r="S13" i="16" s="1"/>
  <c r="U14" i="8"/>
  <c r="J14" i="8" s="1"/>
  <c r="N30" i="8" s="1"/>
  <c r="E14" i="9"/>
  <c r="L14" i="3"/>
  <c r="P15" i="16" s="1"/>
  <c r="N30" i="3"/>
  <c r="I15" i="13"/>
  <c r="T15" i="6"/>
  <c r="K15" i="6"/>
  <c r="R15" i="6"/>
  <c r="S15" i="6" s="1"/>
  <c r="U15" i="6" s="1"/>
  <c r="J15" i="6" s="1"/>
  <c r="M15" i="6" s="1"/>
  <c r="G15" i="6" s="1"/>
  <c r="M13" i="9"/>
  <c r="U14" i="13"/>
  <c r="U12" i="13"/>
  <c r="M11" i="9"/>
  <c r="R12" i="8"/>
  <c r="S12" i="8" s="1"/>
  <c r="U12" i="8" s="1"/>
  <c r="J12" i="8" s="1"/>
  <c r="T13" i="2"/>
  <c r="U8" i="6"/>
  <c r="J8" i="6" s="1"/>
  <c r="M8" i="6" s="1"/>
  <c r="G8" i="6" s="1"/>
  <c r="M9" i="13" s="1"/>
  <c r="R13" i="2"/>
  <c r="S13" i="2" s="1"/>
  <c r="U13" i="2" s="1"/>
  <c r="J13" i="2" s="1"/>
  <c r="M13" i="2" s="1"/>
  <c r="G13" i="2" s="1"/>
  <c r="E14" i="16" s="1"/>
  <c r="T15" i="8"/>
  <c r="V11" i="13"/>
  <c r="G14" i="9"/>
  <c r="T12" i="8"/>
  <c r="K12" i="8"/>
  <c r="R10" i="7"/>
  <c r="S10" i="7" s="1"/>
  <c r="U10" i="7" s="1"/>
  <c r="J10" i="7" s="1"/>
  <c r="T11" i="7"/>
  <c r="T10" i="7"/>
  <c r="L8" i="2"/>
  <c r="N9" i="16" s="1"/>
  <c r="K13" i="2"/>
  <c r="R15" i="5"/>
  <c r="S15" i="5" s="1"/>
  <c r="U15" i="5" s="1"/>
  <c r="J15" i="5" s="1"/>
  <c r="M15" i="5" s="1"/>
  <c r="K11" i="7"/>
  <c r="K15" i="8"/>
  <c r="T9" i="7"/>
  <c r="N10" i="9"/>
  <c r="N30" i="6"/>
  <c r="R11" i="7"/>
  <c r="S11" i="7" s="1"/>
  <c r="U11" i="7" s="1"/>
  <c r="J11" i="7" s="1"/>
  <c r="L14" i="6"/>
  <c r="R15" i="16" s="1"/>
  <c r="K12" i="5"/>
  <c r="L12" i="5" s="1"/>
  <c r="Q13" i="16" s="1"/>
  <c r="T12" i="5"/>
  <c r="K10" i="7"/>
  <c r="R14" i="2"/>
  <c r="S14" i="2" s="1"/>
  <c r="U14" i="2" s="1"/>
  <c r="J14" i="2" s="1"/>
  <c r="M14" i="2" s="1"/>
  <c r="G14" i="2" s="1"/>
  <c r="E15" i="16" s="1"/>
  <c r="D13" i="9"/>
  <c r="G14" i="13"/>
  <c r="P13" i="9"/>
  <c r="K9" i="7"/>
  <c r="T14" i="2"/>
  <c r="V12" i="13"/>
  <c r="U10" i="13"/>
  <c r="X14" i="13"/>
  <c r="N11" i="9"/>
  <c r="T15" i="5"/>
  <c r="W14" i="13"/>
  <c r="N13" i="9"/>
  <c r="L14" i="8"/>
  <c r="T15" i="16" s="1"/>
  <c r="M14" i="8"/>
  <c r="G14" i="8" s="1"/>
  <c r="K15" i="16" s="1"/>
  <c r="L15" i="3"/>
  <c r="P16" i="16" s="1"/>
  <c r="L13" i="7"/>
  <c r="S14" i="16" s="1"/>
  <c r="M9" i="3"/>
  <c r="G9" i="3" s="1"/>
  <c r="I10" i="13" s="1"/>
  <c r="I14" i="13"/>
  <c r="I14" i="16"/>
  <c r="G12" i="13"/>
  <c r="G12" i="16"/>
  <c r="N9" i="9"/>
  <c r="P10" i="16"/>
  <c r="M14" i="7"/>
  <c r="N30" i="7"/>
  <c r="L14" i="7"/>
  <c r="S15" i="16" s="1"/>
  <c r="L8" i="7"/>
  <c r="S9" i="16" s="1"/>
  <c r="O13" i="9"/>
  <c r="V14" i="13"/>
  <c r="M9" i="9"/>
  <c r="M10" i="9"/>
  <c r="O14" i="9"/>
  <c r="V10" i="13"/>
  <c r="Z14" i="13"/>
  <c r="W15" i="13"/>
  <c r="U12" i="2"/>
  <c r="J12" i="2" s="1"/>
  <c r="L12" i="2" s="1"/>
  <c r="N13" i="16" s="1"/>
  <c r="R13" i="9"/>
  <c r="D11" i="9"/>
  <c r="E13" i="9"/>
  <c r="U11" i="13"/>
  <c r="M8" i="2"/>
  <c r="G8" i="2" s="1"/>
  <c r="E9" i="16" s="1"/>
  <c r="U15" i="2"/>
  <c r="J15" i="2" s="1"/>
  <c r="M15" i="2" s="1"/>
  <c r="G15" i="2" s="1"/>
  <c r="E16" i="16" s="1"/>
  <c r="U9" i="7"/>
  <c r="J9" i="7" s="1"/>
  <c r="M9" i="7" s="1"/>
  <c r="U12" i="4"/>
  <c r="J12" i="4" s="1"/>
  <c r="L12" i="4" s="1"/>
  <c r="O13" i="16" s="1"/>
  <c r="U11" i="6"/>
  <c r="J11" i="6" s="1"/>
  <c r="M11" i="6" s="1"/>
  <c r="G11" i="6" s="1"/>
  <c r="O9" i="9"/>
  <c r="W10" i="13"/>
  <c r="E15" i="9"/>
  <c r="I16" i="13"/>
  <c r="U10" i="2"/>
  <c r="J10" i="2" s="1"/>
  <c r="M10" i="2" s="1"/>
  <c r="G10" i="2" s="1"/>
  <c r="E11" i="16" s="1"/>
  <c r="O10" i="9"/>
  <c r="W11" i="13"/>
  <c r="D14" i="9"/>
  <c r="G15" i="13"/>
  <c r="N8" i="9"/>
  <c r="V9" i="13"/>
  <c r="Q15" i="9"/>
  <c r="Y16" i="13"/>
  <c r="O11" i="9"/>
  <c r="W12" i="13"/>
  <c r="E8" i="9"/>
  <c r="I9" i="13"/>
  <c r="O8" i="9"/>
  <c r="W9" i="13"/>
  <c r="M14" i="9"/>
  <c r="U15" i="13"/>
  <c r="R9" i="8"/>
  <c r="S9" i="8" s="1"/>
  <c r="U9" i="2"/>
  <c r="J9" i="2" s="1"/>
  <c r="L9" i="2" s="1"/>
  <c r="N10" i="16" s="1"/>
  <c r="U11" i="2"/>
  <c r="J11" i="2" s="1"/>
  <c r="M11" i="2" s="1"/>
  <c r="G11" i="2" s="1"/>
  <c r="E12" i="16" s="1"/>
  <c r="M12" i="5"/>
  <c r="U9" i="6"/>
  <c r="J9" i="6" s="1"/>
  <c r="U8" i="8"/>
  <c r="J8" i="8" s="1"/>
  <c r="M12" i="6"/>
  <c r="G12" i="6" s="1"/>
  <c r="L12" i="6"/>
  <c r="R13" i="16" s="1"/>
  <c r="M8" i="4"/>
  <c r="G8" i="4" s="1"/>
  <c r="G9" i="16" s="1"/>
  <c r="L8" i="4"/>
  <c r="O9" i="16" s="1"/>
  <c r="R10" i="8"/>
  <c r="S10" i="8" s="1"/>
  <c r="T10" i="8"/>
  <c r="K10" i="8"/>
  <c r="U15" i="4"/>
  <c r="J15" i="4" s="1"/>
  <c r="U15" i="8"/>
  <c r="J15" i="8" s="1"/>
  <c r="U10" i="6"/>
  <c r="J10" i="6" s="1"/>
  <c r="K11" i="8"/>
  <c r="T11" i="8"/>
  <c r="R11" i="8"/>
  <c r="S11" i="8" s="1"/>
  <c r="L12" i="3"/>
  <c r="P13" i="16" s="1"/>
  <c r="M12" i="3"/>
  <c r="G12" i="3" s="1"/>
  <c r="I13" i="16" s="1"/>
  <c r="K9" i="8"/>
  <c r="T9" i="8"/>
  <c r="Q12" i="9" l="1"/>
  <c r="Y13" i="13"/>
  <c r="L15" i="6"/>
  <c r="R16" i="16" s="1"/>
  <c r="V15" i="13"/>
  <c r="N14" i="9"/>
  <c r="L8" i="6"/>
  <c r="R9" i="16" s="1"/>
  <c r="Q15" i="13"/>
  <c r="L10" i="7"/>
  <c r="S11" i="16" s="1"/>
  <c r="R14" i="9"/>
  <c r="L15" i="5"/>
  <c r="Q16" i="16" s="1"/>
  <c r="T9" i="13"/>
  <c r="L8" i="9"/>
  <c r="X15" i="13"/>
  <c r="P14" i="9"/>
  <c r="G8" i="9"/>
  <c r="Z15" i="13"/>
  <c r="Q14" i="9"/>
  <c r="Y15" i="13"/>
  <c r="Y14" i="13"/>
  <c r="E9" i="13"/>
  <c r="Q13" i="9"/>
  <c r="I14" i="9"/>
  <c r="L10" i="2"/>
  <c r="N11" i="16" s="1"/>
  <c r="M10" i="7"/>
  <c r="L11" i="6"/>
  <c r="R12" i="16" s="1"/>
  <c r="V16" i="13"/>
  <c r="N15" i="9"/>
  <c r="I10" i="16"/>
  <c r="C8" i="9"/>
  <c r="E9" i="9"/>
  <c r="G12" i="9"/>
  <c r="M13" i="13"/>
  <c r="G11" i="9"/>
  <c r="M12" i="13"/>
  <c r="G15" i="9"/>
  <c r="M16" i="13"/>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P12" i="9"/>
  <c r="X13" i="13"/>
  <c r="L12" i="9"/>
  <c r="T13" i="13"/>
  <c r="M12" i="8"/>
  <c r="G12" i="8" s="1"/>
  <c r="K13" i="16" s="1"/>
  <c r="L12" i="8"/>
  <c r="T13" i="16" s="1"/>
  <c r="L15" i="8"/>
  <c r="T16" i="16" s="1"/>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P15" i="9" l="1"/>
  <c r="X16" i="13"/>
  <c r="P8" i="9"/>
  <c r="X9" i="13"/>
  <c r="Q10" i="9"/>
  <c r="Y11" i="13"/>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I12" i="9"/>
  <c r="Q13" i="13"/>
  <c r="P9" i="9"/>
  <c r="X10" i="13"/>
  <c r="R8" i="9"/>
  <c r="Z9" i="13"/>
  <c r="I15" i="9"/>
  <c r="Q16" i="13"/>
  <c r="P10" i="9"/>
  <c r="X11" i="13"/>
  <c r="I8" i="9"/>
  <c r="Q9" i="13"/>
  <c r="R15" i="9"/>
  <c r="Z16" i="13"/>
  <c r="I9" i="9"/>
  <c r="Q10" i="13"/>
  <c r="Q11" i="9"/>
  <c r="Y12" i="13"/>
  <c r="D15" i="9"/>
  <c r="G16" i="13"/>
  <c r="R12" i="9"/>
  <c r="Z13" i="13"/>
  <c r="M10" i="8"/>
  <c r="G10" i="8" s="1"/>
  <c r="K11" i="16" s="1"/>
  <c r="L10" i="8"/>
  <c r="T11" i="16" s="1"/>
  <c r="L11" i="8"/>
  <c r="T12" i="16" s="1"/>
  <c r="M11" i="8"/>
  <c r="G11" i="8" s="1"/>
  <c r="K12" i="16" s="1"/>
  <c r="R9" i="9" l="1"/>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<sst xmlns="http://schemas.openxmlformats.org/spreadsheetml/2006/main" count="654" uniqueCount="141">
  <si>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</si>
  <si>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</si>
  <si>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</si>
  <si>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</si>
  <si>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</si>
  <si>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</si>
  <si>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</si>
  <si>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</si>
  <si>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</si>
  <si>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</si>
  <si>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</si>
  <si>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</si>
  <si>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</si>
  <si>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</si>
  <si>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</si>
  <si>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</si>
  <si>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</si>
  <si>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</si>
  <si>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</si>
  <si>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</si>
  <si>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</si>
  <si>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</si>
  <si>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</si>
  <si>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</si>
  <si>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</si>
  <si>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</si>
  <si>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</si>
  <si>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</si>
  <si>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</si>
  <si>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</si>
  <si>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</si>
  <si>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</si>
  <si>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</si>
  <si>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</si>
  <si>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</si>
  <si>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</si>
  <si>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</si>
  <si>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</si>
  <si>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</si>
  <si>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</si>
  <si>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</si>
  <si>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</si>
  <si>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</si>
  <si>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</si>
  <si>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</si>
  <si>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</si>
  <si>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</si>
  <si>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</si>
  <si>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</si>
  <si>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</si>
  <si>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</si>
  <si>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</si>
  <si>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</si>
  <si>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</si>
  <si>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</si>
  <si>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</si>
  <si>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</si>
  <si>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</si>
  <si>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</si>
  <si>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</si>
  <si>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</si>
  <si>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</si>
  <si>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</si>
  <si>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</si>
  <si>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</si>
  <si>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</si>
  <si>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</si>
  <si>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</si>
  <si>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</si>
  <si>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</si>
  <si>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</si>
  <si>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</si>
  <si>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</si>
  <si>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</si>
  <si>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</si>
  <si>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</si>
  <si>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</si>
  <si>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</si>
  <si>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</si>
  <si>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</si>
  <si>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</si>
  <si>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</si>
  <si>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</si>
  <si>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</si>
  <si>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</si>
  <si>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</si>
  <si>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</si>
  <si>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</si>
  <si>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</si>
  <si>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</si>
  <si>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</si>
  <si>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</si>
  <si>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</si>
  <si>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</si>
  <si>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</si>
  <si>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</si>
  <si>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</si>
  <si>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</si>
  <si>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</si>
  <si>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</si>
  <si>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</si>
  <si>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</si>
  <si>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</si>
  <si>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</si>
  <si>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</si>
  <si>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</si>
  <si>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</si>
  <si>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</si>
  <si>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</si>
  <si>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</si>
  <si>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</si>
  <si>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</si>
  <si>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</si>
  <si>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</si>
  <si>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</si>
  <si>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</si>
  <si>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</si>
  <si>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</si>
  <si>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</si>
  <si>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</si>
  <si>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</si>
  <si>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</si>
  <si>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</si>
  <si>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</si>
  <si>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</si>
  <si>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</si>
  <si>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</si>
  <si>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</si>
  <si>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</si>
  <si>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</si>
  <si>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</si>
  <si>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</si>
  <si>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</si>
  <si>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</si>
  <si>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</si>
  <si>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</si>
  <si>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Ottawa</t>
  </si>
  <si>
    <t>Item 2. Arrest: Michigan State Police</t>
  </si>
  <si>
    <t>10/1/21 through 9/30/22</t>
  </si>
  <si>
    <t>1. Population at Risk (age 10 through 17)</t>
  </si>
  <si>
    <t>Item 1. Population: U.S. Census estimate (from C. Puzzanchera, A. Sladky, and W. Kang, "Easy Access to Juvenile Populations: 1990-2020," Online, accessed August 17, 2023 from http://www.ojjdp.gov/ojstatbb/ezapop/)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</si>
</sst>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4" fillId="0" borderId="0" xfId="0" applyNumberFormat="1" applyFont="1" applyAlignment="1">
      <alignment vertical="top" wrapText="1"/>
    </xf>
    <xf numFmtId="4" fontId="2" fillId="2" borderId="0" xfId="0" applyNumberFormat="1" applyFont="1" applyFill="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Ottawa 2022</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N=651</c:v>
                </c:pt>
                <c:pt idx="7">
                  <c:v>Population, total N=32274</c:v>
                </c:pt>
              </c:strCache>
            </c:strRef>
          </c:cat>
          <c:val>
            <c:numRef>
              <c:f>'Stacked 100%'!$B$7:$B$14</c:f>
              <c:numCache>
                <c:formatCode>0%</c:formatCode>
                <c:ptCount val="8"/>
                <c:pt idx="0">
                  <c:v>0</c:v>
                </c:pt>
                <c:pt idx="1">
                  <c:v>0</c:v>
                </c:pt>
                <c:pt idx="2">
                  <c:v>0</c:v>
                </c:pt>
                <c:pt idx="3">
                  <c:v>0</c:v>
                </c:pt>
                <c:pt idx="4">
                  <c:v>0</c:v>
                </c:pt>
                <c:pt idx="5">
                  <c:v>0</c:v>
                </c:pt>
                <c:pt idx="6">
                  <c:v>0.15360983102918588</c:v>
                </c:pt>
                <c:pt idx="7">
                  <c:v>3.1914234368222098E-2</c:v>
                </c:pt>
              </c:numCache>
            </c:numRef>
          </c:val>
          <c:extLst>
            <c:ext xmlns:c16="http://schemas.microsoft.com/office/drawing/2014/chart" uri="{C3380CC4-5D6E-409C-BE32-E72D297353CC}">
              <c16:uniqueId val="{00000000-8355-4D29-8883-84EFB608CC55}"/>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N=651</c:v>
                </c:pt>
                <c:pt idx="7">
                  <c:v>Population, total N=32274</c:v>
                </c:pt>
              </c:strCache>
            </c:strRef>
          </c:cat>
          <c:val>
            <c:numRef>
              <c:f>'Stacked 100%'!$C$7:$C$14</c:f>
              <c:numCache>
                <c:formatCode>0%</c:formatCode>
                <c:ptCount val="8"/>
                <c:pt idx="0">
                  <c:v>0</c:v>
                </c:pt>
                <c:pt idx="1">
                  <c:v>0</c:v>
                </c:pt>
                <c:pt idx="2">
                  <c:v>0</c:v>
                </c:pt>
                <c:pt idx="3">
                  <c:v>0</c:v>
                </c:pt>
                <c:pt idx="4">
                  <c:v>0</c:v>
                </c:pt>
                <c:pt idx="5">
                  <c:v>0</c:v>
                </c:pt>
                <c:pt idx="6">
                  <c:v>1.5360983102918587E-3</c:v>
                </c:pt>
                <c:pt idx="7">
                  <c:v>0.15055462601474873</c:v>
                </c:pt>
              </c:numCache>
            </c:numRef>
          </c:val>
          <c:extLst>
            <c:ext xmlns:c16="http://schemas.microsoft.com/office/drawing/2014/chart" uri="{C3380CC4-5D6E-409C-BE32-E72D297353CC}">
              <c16:uniqueId val="{00000001-8355-4D29-8883-84EFB608CC55}"/>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N=651</c:v>
                </c:pt>
                <c:pt idx="7">
                  <c:v>Population, total N=32274</c:v>
                </c:pt>
              </c:strCache>
            </c:strRef>
          </c:cat>
          <c:val>
            <c:numRef>
              <c:f>'Stacked 100%'!$H$7:$H$14</c:f>
              <c:numCache>
                <c:formatCode>0%</c:formatCode>
                <c:ptCount val="8"/>
                <c:pt idx="0">
                  <c:v>0</c:v>
                </c:pt>
                <c:pt idx="1">
                  <c:v>0</c:v>
                </c:pt>
                <c:pt idx="2">
                  <c:v>0</c:v>
                </c:pt>
                <c:pt idx="3">
                  <c:v>0</c:v>
                </c:pt>
                <c:pt idx="4">
                  <c:v>0</c:v>
                </c:pt>
                <c:pt idx="5">
                  <c:v>0</c:v>
                </c:pt>
                <c:pt idx="6">
                  <c:v>2.3595980188815032E-5</c:v>
                </c:pt>
                <c:pt idx="7">
                  <c:v>1.2029441975711095E-6</c:v>
                </c:pt>
              </c:numCache>
            </c:numRef>
          </c:val>
          <c:extLst>
            <c:ext xmlns:c16="http://schemas.microsoft.com/office/drawing/2014/chart" uri="{C3380CC4-5D6E-409C-BE32-E72D297353CC}">
              <c16:uniqueId val="{00000002-8355-4D29-8883-84EFB608CC55}"/>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N=651</c:v>
                </c:pt>
                <c:pt idx="7">
                  <c:v>Population, total N=32274</c:v>
                </c:pt>
              </c:strCache>
            </c:strRef>
          </c:cat>
          <c:val>
            <c:numRef>
              <c:f>'Stacked 100%'!$I$7:$I$14</c:f>
              <c:numCache>
                <c:formatCode>0%</c:formatCode>
                <c:ptCount val="8"/>
                <c:pt idx="0">
                  <c:v>0</c:v>
                </c:pt>
                <c:pt idx="1">
                  <c:v>0</c:v>
                </c:pt>
                <c:pt idx="2">
                  <c:v>0</c:v>
                </c:pt>
                <c:pt idx="3">
                  <c:v>0</c:v>
                </c:pt>
                <c:pt idx="4">
                  <c:v>0</c:v>
                </c:pt>
                <c:pt idx="5">
                  <c:v>0</c:v>
                </c:pt>
                <c:pt idx="6">
                  <c:v>0.7250384024577573</c:v>
                </c:pt>
                <c:pt idx="7">
                  <c:v>0.77870731858461917</c:v>
                </c:pt>
              </c:numCache>
            </c:numRef>
          </c:val>
          <c:extLst>
            <c:ext xmlns:c16="http://schemas.microsoft.com/office/drawing/2014/chart" uri="{C3380CC4-5D6E-409C-BE32-E72D297353CC}">
              <c16:uniqueId val="{00000003-8355-4D29-8883-84EFB608CC55}"/>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N=651</c:v>
                </c:pt>
                <c:pt idx="7">
                  <c:v>Population, total N=32274</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8355-4D29-8883-84EFB608CC55}"/>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B8" sqref="B8"/>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69" t="s">
        <v>1</v>
      </c>
      <c r="C1" s="169"/>
      <c r="D1" s="169"/>
      <c r="E1" s="169"/>
      <c r="F1" s="169"/>
      <c r="G1" s="169"/>
      <c r="H1" s="169"/>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138</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139</v>
      </c>
      <c r="B6" s="11">
        <f>SUM(C6:I6)+K6</f>
        <v>32274</v>
      </c>
      <c r="C6" s="11">
        <v>25132</v>
      </c>
      <c r="D6" s="11">
        <v>1030</v>
      </c>
      <c r="E6" s="11">
        <v>4859</v>
      </c>
      <c r="F6" s="11">
        <v>1142</v>
      </c>
      <c r="G6" s="11"/>
      <c r="H6" s="11">
        <v>111</v>
      </c>
      <c r="I6" s="11"/>
      <c r="J6" s="91">
        <f>SUM(D6:I6)</f>
        <v>7142</v>
      </c>
      <c r="K6" s="92"/>
    </row>
    <row r="7" spans="1:11" ht="15.75" customHeight="1" thickBot="1">
      <c r="A7" s="10" t="s">
        <v>8</v>
      </c>
      <c r="B7" s="11">
        <f t="shared" ref="B7:B15" si="0">SUM(C7:I7)+K7</f>
        <v>651</v>
      </c>
      <c r="C7" s="11">
        <v>472</v>
      </c>
      <c r="D7" s="11">
        <v>100</v>
      </c>
      <c r="E7" s="11">
        <v>1</v>
      </c>
      <c r="F7" s="11">
        <v>5</v>
      </c>
      <c r="G7" s="11"/>
      <c r="H7" s="11">
        <v>5</v>
      </c>
      <c r="I7" s="11"/>
      <c r="J7" s="91">
        <f t="shared" ref="J7:J15" si="1">SUM(D7:I7)</f>
        <v>111</v>
      </c>
      <c r="K7" s="92">
        <v>68</v>
      </c>
    </row>
    <row r="8" spans="1:11" ht="15.75" customHeight="1" thickBot="1">
      <c r="A8" s="10" t="s">
        <v>9</v>
      </c>
      <c r="B8" s="11">
        <f t="shared" si="0"/>
        <v>0</v>
      </c>
      <c r="C8" s="11"/>
      <c r="D8" s="11"/>
      <c r="E8" s="11"/>
      <c r="F8" s="11"/>
      <c r="G8" s="11"/>
      <c r="H8" s="11"/>
      <c r="I8" s="11"/>
      <c r="J8" s="91">
        <f t="shared" si="1"/>
        <v>0</v>
      </c>
      <c r="K8" s="92"/>
    </row>
    <row r="9" spans="1:11" ht="15.75" customHeight="1" thickBot="1">
      <c r="A9" s="10" t="s">
        <v>10</v>
      </c>
      <c r="B9" s="11">
        <f t="shared" si="0"/>
        <v>0</v>
      </c>
      <c r="C9" s="11"/>
      <c r="D9" s="11"/>
      <c r="E9" s="11"/>
      <c r="F9" s="11"/>
      <c r="G9" s="11"/>
      <c r="H9" s="11"/>
      <c r="I9" s="11"/>
      <c r="J9" s="91">
        <f t="shared" si="1"/>
        <v>0</v>
      </c>
      <c r="K9" s="92"/>
    </row>
    <row r="10" spans="1:11" ht="15.75" customHeight="1" thickBot="1">
      <c r="A10" s="10" t="s">
        <v>11</v>
      </c>
      <c r="B10" s="11">
        <f t="shared" si="0"/>
        <v>0</v>
      </c>
      <c r="C10" s="11"/>
      <c r="D10" s="11"/>
      <c r="E10" s="11"/>
      <c r="F10" s="11"/>
      <c r="G10" s="11"/>
      <c r="H10" s="11"/>
      <c r="I10" s="11"/>
      <c r="J10" s="91">
        <f t="shared" si="1"/>
        <v>0</v>
      </c>
      <c r="K10" s="92"/>
    </row>
    <row r="11" spans="1:11" ht="15.75" customHeight="1" thickBot="1">
      <c r="A11" s="10" t="s">
        <v>12</v>
      </c>
      <c r="B11" s="11">
        <f t="shared" si="0"/>
        <v>0</v>
      </c>
      <c r="C11" s="11"/>
      <c r="D11" s="11"/>
      <c r="E11" s="11"/>
      <c r="F11" s="11"/>
      <c r="G11" s="11"/>
      <c r="H11" s="11"/>
      <c r="I11" s="11"/>
      <c r="J11" s="91">
        <f t="shared" si="1"/>
        <v>0</v>
      </c>
      <c r="K11" s="92"/>
    </row>
    <row r="12" spans="1:11" ht="15.75" customHeight="1" thickBot="1">
      <c r="A12" s="10" t="s">
        <v>13</v>
      </c>
      <c r="B12" s="11">
        <f t="shared" si="0"/>
        <v>0</v>
      </c>
      <c r="C12" s="11"/>
      <c r="D12" s="11"/>
      <c r="E12" s="11"/>
      <c r="F12" s="11"/>
      <c r="G12" s="11"/>
      <c r="H12" s="11"/>
      <c r="I12" s="11"/>
      <c r="J12" s="91">
        <f t="shared" si="1"/>
        <v>0</v>
      </c>
      <c r="K12" s="92"/>
    </row>
    <row r="13" spans="1:11" ht="15.75" customHeight="1" thickBot="1">
      <c r="A13" s="10" t="s">
        <v>133</v>
      </c>
      <c r="B13" s="11">
        <f t="shared" si="0"/>
        <v>0</v>
      </c>
      <c r="C13" s="11"/>
      <c r="D13" s="11"/>
      <c r="E13" s="11"/>
      <c r="F13" s="11"/>
      <c r="G13" s="11"/>
      <c r="H13" s="11"/>
      <c r="I13" s="11"/>
      <c r="J13" s="91">
        <f t="shared" si="1"/>
        <v>0</v>
      </c>
      <c r="K13" s="92"/>
    </row>
    <row r="14" spans="1:11" ht="26.25" customHeight="1" thickBot="1">
      <c r="A14" s="10" t="s">
        <v>123</v>
      </c>
      <c r="B14" s="11">
        <f t="shared" si="0"/>
        <v>0</v>
      </c>
      <c r="C14" s="11"/>
      <c r="D14" s="11"/>
      <c r="E14" s="11"/>
      <c r="F14" s="11"/>
      <c r="G14" s="11"/>
      <c r="H14" s="11"/>
      <c r="I14" s="11"/>
      <c r="J14" s="91">
        <f t="shared" si="1"/>
        <v>0</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c r="A16" s="12" t="s">
        <v>17</v>
      </c>
      <c r="B16" s="13" t="str">
        <f>IF((B6 &gt; ($B6/100)),"Yes","No")</f>
        <v>Yes</v>
      </c>
      <c r="C16" s="13" t="str">
        <f>IF((C6 &gt; ($B6/100)),"Yes","No")</f>
        <v>Yes</v>
      </c>
      <c r="D16" s="13" t="str">
        <f t="shared" ref="D16:J16" si="2">IF((D6 &gt; ($B6/100)),"Yes","No")</f>
        <v>Yes</v>
      </c>
      <c r="E16" s="13" t="str">
        <f t="shared" si="2"/>
        <v>Yes</v>
      </c>
      <c r="F16" s="13" t="str">
        <f t="shared" si="2"/>
        <v>Yes</v>
      </c>
      <c r="G16" s="13" t="str">
        <f t="shared" si="2"/>
        <v>No</v>
      </c>
      <c r="H16" s="13" t="str">
        <f t="shared" si="2"/>
        <v>No</v>
      </c>
      <c r="I16" s="13" t="str">
        <f t="shared" si="2"/>
        <v>No</v>
      </c>
      <c r="J16" s="13" t="str">
        <f t="shared" si="2"/>
        <v>Yes</v>
      </c>
    </row>
    <row r="17" spans="1:9" ht="15" customHeight="1">
      <c r="A17" s="15"/>
    </row>
    <row r="18" spans="1:9" ht="15" customHeight="1">
      <c r="A18" s="16" t="s">
        <v>18</v>
      </c>
      <c r="B18" s="16"/>
      <c r="C18" s="16"/>
      <c r="D18" s="16"/>
      <c r="E18" s="16"/>
      <c r="F18" s="16"/>
      <c r="G18" s="16"/>
    </row>
    <row r="19" spans="1:9" ht="15" customHeight="1">
      <c r="A19" s="170" t="s">
        <v>140</v>
      </c>
      <c r="B19" s="170"/>
      <c r="C19" s="8"/>
      <c r="D19" s="170" t="s">
        <v>137</v>
      </c>
      <c r="E19" s="170"/>
      <c r="F19" s="170"/>
      <c r="G19" s="170"/>
      <c r="H19" s="170"/>
      <c r="I19" s="170"/>
    </row>
    <row r="20" spans="1:9" ht="15" customHeight="1">
      <c r="A20" s="170" t="s">
        <v>108</v>
      </c>
      <c r="B20" s="170"/>
      <c r="C20" s="8"/>
      <c r="D20" s="170" t="s">
        <v>109</v>
      </c>
      <c r="E20" s="170"/>
      <c r="F20" s="170"/>
      <c r="G20" s="170"/>
      <c r="H20" s="170"/>
      <c r="I20" s="170"/>
    </row>
    <row r="21" spans="1:9" ht="15" customHeight="1">
      <c r="A21" s="170" t="s">
        <v>110</v>
      </c>
      <c r="B21" s="170"/>
      <c r="C21" s="8"/>
      <c r="D21" s="170" t="s">
        <v>111</v>
      </c>
      <c r="E21" s="170"/>
      <c r="F21" s="170"/>
      <c r="G21" s="170"/>
      <c r="H21" s="170"/>
      <c r="I21" s="170"/>
    </row>
    <row r="22" spans="1:9" ht="15" customHeight="1">
      <c r="A22" s="170" t="s">
        <v>112</v>
      </c>
      <c r="B22" s="170"/>
      <c r="C22" s="8"/>
      <c r="D22" s="170" t="s">
        <v>113</v>
      </c>
      <c r="E22" s="170"/>
      <c r="F22" s="170"/>
      <c r="G22" s="170"/>
      <c r="H22" s="170"/>
      <c r="I22" s="170"/>
    </row>
    <row r="23" spans="1:9" ht="15" customHeight="1">
      <c r="A23" s="170" t="s">
        <v>114</v>
      </c>
      <c r="B23" s="170"/>
      <c r="C23" s="8"/>
      <c r="D23" s="170" t="s">
        <v>115</v>
      </c>
      <c r="E23" s="170"/>
      <c r="F23" s="170"/>
      <c r="G23" s="170"/>
      <c r="H23" s="170"/>
      <c r="I23" s="170"/>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Ottawa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25132</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472</v>
      </c>
      <c r="D7" s="34">
        <f>IF((AND(C66&gt;0,C7&gt;0)),(C7/C66),0)</f>
        <v>18.780837179691229</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472</v>
      </c>
      <c r="Q7" s="42">
        <f>C6-C7</f>
        <v>24660</v>
      </c>
      <c r="R7" s="42">
        <f t="shared" ref="R7:R15" si="5">SUM(N7:Q7)</f>
        <v>25132</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0</v>
      </c>
      <c r="D8" s="34">
        <f>IF((AND(C67&gt;0,C8&gt;0)),(C8/C67),0)</f>
        <v>0</v>
      </c>
      <c r="E8" s="33">
        <f>'Data Entry'!I8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472</v>
      </c>
      <c r="R8" s="42">
        <f t="shared" si="5"/>
        <v>472.05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472</v>
      </c>
      <c r="R9" s="42">
        <f t="shared" si="5"/>
        <v>472</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472</v>
      </c>
      <c r="R10" s="42">
        <f t="shared" si="5"/>
        <v>472</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472</v>
      </c>
      <c r="R11" s="42">
        <f t="shared" si="5"/>
        <v>472</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472</v>
      </c>
      <c r="R12" s="42">
        <f t="shared" si="5"/>
        <v>472</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472</v>
      </c>
      <c r="R13" s="42">
        <f t="shared" si="5"/>
        <v>472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472</v>
      </c>
      <c r="R14" s="42">
        <f t="shared" si="5"/>
        <v>472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472</v>
      </c>
      <c r="R15" s="42">
        <f t="shared" si="5"/>
        <v>472</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25.132000000000001</v>
      </c>
      <c r="D42" s="56">
        <f>E6/1000</f>
        <v>0</v>
      </c>
      <c r="E42" s="56">
        <f>MAX(C42:D42)</f>
        <v>25.132000000000001</v>
      </c>
      <c r="G42" s="1" t="str">
        <f>B42</f>
        <v>per 1000 youth</v>
      </c>
      <c r="L42" s="57">
        <v>1000</v>
      </c>
      <c r="M42" s="57"/>
      <c r="R42" s="49"/>
    </row>
    <row r="43" spans="2:18" ht="15" hidden="1" customHeight="1">
      <c r="B43" s="49" t="s">
        <v>87</v>
      </c>
      <c r="C43" s="56">
        <f>C7/100</f>
        <v>4.72</v>
      </c>
      <c r="D43" s="56">
        <f>E7/100</f>
        <v>0</v>
      </c>
      <c r="E43" s="56">
        <f>MAX(C43:D43,0)</f>
        <v>4.72</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25.132000000000001</v>
      </c>
      <c r="D48" s="56">
        <f>D42</f>
        <v>0</v>
      </c>
      <c r="E48" s="56">
        <f>MAX(C48:D48)</f>
        <v>25.132000000000001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4.72</v>
      </c>
      <c r="D49" s="49">
        <f t="shared" si="9"/>
        <v>0</v>
      </c>
      <c r="E49" s="49">
        <f>MAX(C49:D49)</f>
        <v>4.72</v>
      </c>
      <c r="G49" s="1" t="str">
        <f>G43</f>
        <v>per 100 arrests</v>
      </c>
      <c r="L49" s="58">
        <f>IF(($E43&gt;0),L43,L42)</f>
        <v>100</v>
      </c>
      <c r="M49" s="58"/>
      <c r="N49" s="21"/>
      <c r="O49" s="21"/>
      <c r="P49" s="21"/>
      <c r="Q49" s="21"/>
      <c r="R49" s="21"/>
    </row>
    <row r="50" spans="2:18" ht="15" hidden="1" customHeight="1">
      <c r="B50" s="49" t="str">
        <f t="shared" si="9"/>
        <v>per 100 arrests</v>
      </c>
      <c r="C50" s="49">
        <f t="shared" si="9"/>
        <v>4.72</v>
      </c>
      <c r="D50" s="49">
        <f t="shared" si="9"/>
        <v>0</v>
      </c>
      <c r="E50" s="49">
        <f>MAX(C50:D50)</f>
        <v>4.72</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25.132000000000001</v>
      </c>
      <c r="D54" s="56">
        <f>D48</f>
        <v>0</v>
      </c>
      <c r="E54" s="56">
        <f>MAX(C54:D54)</f>
        <v>25.132000000000001</v>
      </c>
      <c r="G54" s="1" t="str">
        <f>G48</f>
        <v>per 1000 youth</v>
      </c>
      <c r="L54" s="58">
        <f>L48</f>
        <v>1000</v>
      </c>
      <c r="M54" s="58"/>
    </row>
    <row r="55" spans="2:18" ht="15" hidden="1" customHeight="1">
      <c r="B55" s="49" t="str">
        <f t="shared" ref="B55:D56" si="10">IF(($E49&gt;0),B49,B48)</f>
        <v>per 100 arrests</v>
      </c>
      <c r="C55" s="49">
        <f t="shared" si="10"/>
        <v>4.72</v>
      </c>
      <c r="D55" s="49">
        <f t="shared" si="10"/>
        <v>0</v>
      </c>
      <c r="E55" s="49">
        <f>MAX(C55:D55)</f>
        <v>4.72</v>
      </c>
      <c r="G55" s="1" t="str">
        <f>G49</f>
        <v>per 100 arrests</v>
      </c>
      <c r="L55" s="58">
        <f>IF(($E49&gt;0),L49,L48)</f>
        <v>100</v>
      </c>
      <c r="M55" s="58"/>
    </row>
    <row r="56" spans="2:18" ht="15" hidden="1" customHeight="1">
      <c r="B56" s="49" t="str">
        <f t="shared" si="10"/>
        <v>per 100 arrests</v>
      </c>
      <c r="C56" s="49">
        <f t="shared" si="10"/>
        <v>4.72</v>
      </c>
      <c r="D56" s="49">
        <f t="shared" si="10"/>
        <v>0</v>
      </c>
      <c r="E56" s="49">
        <f>MAX(C56:D56)</f>
        <v>4.72</v>
      </c>
      <c r="G56" s="1" t="str">
        <f>G50</f>
        <v>per 100 referrals</v>
      </c>
      <c r="L56" s="58">
        <f>IF(($E50&gt;0),L50,L49)</f>
        <v>100</v>
      </c>
      <c r="M56" s="58"/>
    </row>
    <row r="57" spans="2:18" ht="15" hidden="1" customHeight="1">
      <c r="B57" s="49" t="str">
        <f>IF(($E51&gt;0),B51,B49)</f>
        <v>per 100 arrests</v>
      </c>
      <c r="C57" s="49">
        <f>IF(($E51&gt;0),C51,C50)</f>
        <v>4.72</v>
      </c>
      <c r="D57" s="49">
        <f>IF(($E51&gt;0),D51,D50)</f>
        <v>0</v>
      </c>
      <c r="E57" s="49">
        <f>MAX(C57:D57)</f>
        <v>4.72</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25.132000000000001</v>
      </c>
      <c r="D60" s="56">
        <f>D54</f>
        <v>0</v>
      </c>
      <c r="E60" s="56">
        <f>MAX(C60:D60)</f>
        <v>25.132000000000001</v>
      </c>
      <c r="G60" s="1" t="str">
        <f>G54</f>
        <v>per 1000 youth</v>
      </c>
      <c r="L60" s="58">
        <f>L54</f>
        <v>1000</v>
      </c>
      <c r="M60" s="58"/>
    </row>
    <row r="61" spans="2:18" ht="15" hidden="1" customHeight="1">
      <c r="B61" s="49" t="str">
        <f t="shared" ref="B61:D62" si="11">IF(($E55&gt;0),B55,B54)</f>
        <v>per 100 arrests</v>
      </c>
      <c r="C61" s="49">
        <f t="shared" si="11"/>
        <v>4.72</v>
      </c>
      <c r="D61" s="49">
        <f t="shared" si="11"/>
        <v>0</v>
      </c>
      <c r="E61" s="49">
        <f>MAX(C61:D61)</f>
        <v>4.72</v>
      </c>
      <c r="G61" s="1" t="str">
        <f>G55</f>
        <v>per 100 arrests</v>
      </c>
      <c r="L61" s="58">
        <f>IF(($E55&gt;0),L55,L54)</f>
        <v>100</v>
      </c>
      <c r="M61" s="58"/>
    </row>
    <row r="62" spans="2:18" ht="15" hidden="1" customHeight="1">
      <c r="B62" s="49" t="str">
        <f t="shared" si="11"/>
        <v>per 100 arrests</v>
      </c>
      <c r="C62" s="49">
        <f t="shared" si="11"/>
        <v>4.72</v>
      </c>
      <c r="D62" s="49">
        <f t="shared" si="11"/>
        <v>0</v>
      </c>
      <c r="E62" s="49">
        <f>MAX(C62:D62)</f>
        <v>4.72</v>
      </c>
      <c r="G62" s="1" t="str">
        <f>G56</f>
        <v>per 100 referrals</v>
      </c>
      <c r="L62" s="58">
        <f>IF(($E56&gt;0),L56,L55)</f>
        <v>100</v>
      </c>
      <c r="M62" s="58"/>
    </row>
    <row r="63" spans="2:18" ht="15" hidden="1" customHeight="1">
      <c r="B63" s="49" t="str">
        <f>IF(($E57&gt;0),B57,B55)</f>
        <v>per 100 arrests</v>
      </c>
      <c r="C63" s="49">
        <f>IF(($E57&gt;0),C57,C56)</f>
        <v>4.72</v>
      </c>
      <c r="D63" s="49">
        <f>IF(($E57&gt;0),D57,D56)</f>
        <v>0</v>
      </c>
      <c r="E63" s="49">
        <f>MAX(C63:D63)</f>
        <v>4.72</v>
      </c>
      <c r="G63" s="1" t="str">
        <f>G57</f>
        <v>per 100 youth petitioned</v>
      </c>
      <c r="L63" s="58">
        <f>IF(($E57&gt;0),L57,L56)</f>
        <v>100</v>
      </c>
      <c r="M63" s="58"/>
    </row>
    <row r="64" spans="2:18" ht="15" hidden="1" customHeight="1">
      <c r="B64" s="49" t="str">
        <f>IF(($E58&gt;0),B58,B57)</f>
        <v>per 100 arrests</v>
      </c>
      <c r="C64" s="49">
        <f>IF(($E58&gt;0),C58,C57)</f>
        <v>4.72</v>
      </c>
      <c r="D64" s="49">
        <f>IF(($E58&gt;0),D58,D57)</f>
        <v>0</v>
      </c>
      <c r="E64" s="56">
        <f>MAX(C64:D64)</f>
        <v>4.72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25.132000000000001</v>
      </c>
      <c r="D66" s="56">
        <f>D60</f>
        <v>0</v>
      </c>
      <c r="E66" s="56">
        <f>MAX(C66:D66)</f>
        <v>25.132000000000001</v>
      </c>
      <c r="G66" s="1" t="str">
        <f>G60</f>
        <v>per 1000 youth</v>
      </c>
      <c r="L66" s="58">
        <f>L60</f>
        <v>1000</v>
      </c>
      <c r="M66" s="58">
        <f>IF((B66=G66),1,2)</f>
        <v>1</v>
      </c>
    </row>
    <row r="67" spans="2:13" ht="15" hidden="1" customHeight="1">
      <c r="B67" s="49" t="str">
        <f t="shared" ref="B67:D68" si="12">IF(($E61&gt;0),B61,B60)</f>
        <v>per 100 arrests</v>
      </c>
      <c r="C67" s="49">
        <f t="shared" si="12"/>
        <v>4.72</v>
      </c>
      <c r="D67" s="49">
        <f t="shared" si="12"/>
        <v>0</v>
      </c>
      <c r="E67" s="49">
        <f>MAX(C67:D67)</f>
        <v>4.72</v>
      </c>
      <c r="G67" s="1" t="str">
        <f>G61</f>
        <v>per 100 arrests</v>
      </c>
      <c r="L67" s="58">
        <f>IF(($E61&gt;0),L61,L60)</f>
        <v>100</v>
      </c>
      <c r="M67" s="58">
        <f>IF((B67=G67),1,2)</f>
        <v>1</v>
      </c>
    </row>
    <row r="68" spans="2:13" ht="15" hidden="1" customHeight="1">
      <c r="B68" s="49" t="str">
        <f t="shared" si="12"/>
        <v>per 100 arrests</v>
      </c>
      <c r="C68" s="49">
        <f t="shared" si="12"/>
        <v>4.72</v>
      </c>
      <c r="D68" s="49">
        <f t="shared" si="12"/>
        <v>0</v>
      </c>
      <c r="E68" s="49">
        <f>MAX(C68:D68)</f>
        <v>4.72</v>
      </c>
      <c r="G68" s="1" t="str">
        <f>G62</f>
        <v>per 100 referrals</v>
      </c>
      <c r="L68" s="58">
        <f>IF(($E62&gt;0),L62,L61)</f>
        <v>100</v>
      </c>
      <c r="M68" s="58">
        <f>IF((B68=G68),1,2)</f>
        <v>2</v>
      </c>
    </row>
    <row r="69" spans="2:13" ht="15" hidden="1" customHeight="1">
      <c r="B69" s="49" t="str">
        <f>IF(($E63&gt;0),B63,B61)</f>
        <v>per 100 arrests</v>
      </c>
      <c r="C69" s="49">
        <f>IF(($E63&gt;0),C63,C62)</f>
        <v>4.72</v>
      </c>
      <c r="D69" s="49">
        <f>IF(($E63&gt;0),D63,D62)</f>
        <v>0</v>
      </c>
      <c r="E69" s="49">
        <f>MAX(C69:D69)</f>
        <v>4.72</v>
      </c>
      <c r="G69" s="1" t="str">
        <f>G63</f>
        <v>per 100 youth petitioned</v>
      </c>
      <c r="L69" s="58">
        <f>IF(($E63&gt;0),L63,L62)</f>
        <v>100</v>
      </c>
      <c r="M69" s="58">
        <f>IF((B69=G69),1,2)</f>
        <v>2</v>
      </c>
    </row>
    <row r="70" spans="2:13" ht="15" hidden="1" customHeight="1">
      <c r="B70" s="49" t="str">
        <f>IF(($E64&gt;0),B64,B63)</f>
        <v>per 100 arrests</v>
      </c>
      <c r="C70" s="49">
        <f>IF(($E64&gt;0),C64,C63)</f>
        <v>4.72</v>
      </c>
      <c r="D70" s="49">
        <f>IF(($E64&gt;0),D64,D63)</f>
        <v>0</v>
      </c>
      <c r="E70" s="56">
        <f>MAX(C70:D70)</f>
        <v>4.72</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Ottawa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25132</v>
      </c>
      <c r="D6" s="34"/>
      <c r="E6" s="33">
        <f>'Data Entry'!J6</f>
        <v>7142</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472</v>
      </c>
      <c r="D7" s="34">
        <f>IF((AND(C66&gt;0,C7&gt;0)),(C7/C66),0)</f>
        <v>18.780837179691229</v>
      </c>
      <c r="E7" s="33">
        <f>'Data Entry'!J7</f>
        <v>111</v>
      </c>
      <c r="F7" s="34">
        <f>IF((AND($E$7&gt;0,$D$66&gt;0)),($E$7/$D$66),0)</f>
        <v>15.541865023802856</v>
      </c>
      <c r="G7" s="39">
        <f t="shared" ref="G7:G15" si="0">IF(L$6=100,"*",IF(M7=FALSE,"--",IF(K7=20,"**",($F7/$D7))))</f>
        <v>0.82753845715723184</v>
      </c>
      <c r="H7" s="40"/>
      <c r="I7" s="41"/>
      <c r="J7" s="40">
        <f>IF((ABS($U7)&gt;Defaults!D$7),1,2)</f>
        <v>2</v>
      </c>
      <c r="K7" s="39">
        <f>IF((AND(N7&gt;Defaults!B$12,(N7+O7)&gt;Defaults!B$13, P7 &gt; Defaults!B$12, (P7+Q7) &gt; Defaults!B$13)),1,20)</f>
        <v>1</v>
      </c>
      <c r="L7" s="1">
        <f t="shared" ref="L7:L15" si="1">(J7*K7+L$6)-1</f>
        <v>2</v>
      </c>
      <c r="M7" s="1" t="b">
        <f t="shared" ref="M7:M15" si="2">(ISNUMBER(J7))</f>
        <v>1</v>
      </c>
      <c r="N7" s="42">
        <f t="shared" ref="N7:N15" si="3">E7</f>
        <v>111</v>
      </c>
      <c r="O7" s="42">
        <f>E6-E7</f>
        <v>7031</v>
      </c>
      <c r="P7" s="42">
        <f t="shared" ref="P7:P15" si="4">C7</f>
        <v>472</v>
      </c>
      <c r="Q7" s="42">
        <f>C6-C7</f>
        <v>24660</v>
      </c>
      <c r="R7" s="42">
        <f t="shared" ref="R7:R15" si="5">SUM(N7:Q7)</f>
        <v>32274</v>
      </c>
      <c r="S7" s="30">
        <f t="shared" ref="S7:S15" si="6">R7*((((N7*Q7)-(O7*P7))^2))</f>
        <v>1.0908399068541216E+16</v>
      </c>
      <c r="T7" s="30">
        <f t="shared" ref="T7:T15" si="7">(N7+O7)*(P7+Q7)*(N7+P7)*(O7+Q7)</f>
        <v>3316281552710632</v>
      </c>
      <c r="U7" s="31">
        <f t="shared" ref="U7:U15" si="8">IF((S7&gt;0),S7/T7,"- -")</f>
        <v>3.2893464849584344</v>
      </c>
    </row>
    <row r="8" spans="2:21" ht="18" customHeight="1">
      <c r="B8" s="32" t="str">
        <f>'Data Entry'!A8</f>
        <v>3. Refer to Juvenile Court</v>
      </c>
      <c r="C8" s="33">
        <f>'Data Entry'!C8</f>
        <v>0</v>
      </c>
      <c r="D8" s="34">
        <f>IF((AND(C67&gt;0,C8&gt;0)),(C8/C67),0)</f>
        <v>0</v>
      </c>
      <c r="E8" s="33">
        <f>'Data Entry'!J8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111.05000000000001</v>
      </c>
      <c r="P8" s="42">
        <f t="shared" si="4"/>
        <v>0</v>
      </c>
      <c r="Q8" s="42">
        <f>(C$67*L67)-C8</f>
        <v>472</v>
      </c>
      <c r="R8" s="42">
        <f t="shared" si="5"/>
        <v>583.04999999999995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111.00000000000001</v>
      </c>
      <c r="P9" s="42">
        <f t="shared" si="4"/>
        <v>0</v>
      </c>
      <c r="Q9" s="42">
        <f>(C$68*L68)-C9</f>
        <v>472</v>
      </c>
      <c r="R9" s="42">
        <f t="shared" si="5"/>
        <v>583</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111.00000000000001</v>
      </c>
      <c r="P10" s="42">
        <f t="shared" si="4"/>
        <v>0</v>
      </c>
      <c r="Q10" s="42">
        <f>(C$68*L68)-C10</f>
        <v>472</v>
      </c>
      <c r="R10" s="42">
        <f t="shared" si="5"/>
        <v>583</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Entry'!J11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111.00000000000001</v>
      </c>
      <c r="P11" s="42">
        <f t="shared" si="4"/>
        <v>0</v>
      </c>
      <c r="Q11" s="42">
        <f>(C$68*L68)-C11</f>
        <v>472</v>
      </c>
      <c r="R11" s="42">
        <f t="shared" si="5"/>
        <v>583</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111.00000000000001</v>
      </c>
      <c r="P12" s="42">
        <f t="shared" si="4"/>
        <v>0</v>
      </c>
      <c r="Q12" s="42">
        <f>(C69*L69)-C12</f>
        <v>472</v>
      </c>
      <c r="R12" s="42">
        <f t="shared" si="5"/>
        <v>583</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111.00000000000001</v>
      </c>
      <c r="P13" s="42">
        <f t="shared" si="4"/>
        <v>0</v>
      </c>
      <c r="Q13" s="42">
        <f>(C70*L70)-C13</f>
        <v>472</v>
      </c>
      <c r="R13" s="42">
        <f t="shared" si="5"/>
        <v>583</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111.00000000000001</v>
      </c>
      <c r="P14" s="42">
        <f t="shared" si="4"/>
        <v>0</v>
      </c>
      <c r="Q14" s="42">
        <f>(C70*L70)-C14</f>
        <v>472</v>
      </c>
      <c r="R14" s="42">
        <f t="shared" si="5"/>
        <v>583</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111.00000000000001</v>
      </c>
      <c r="P15" s="42">
        <f t="shared" si="4"/>
        <v>0</v>
      </c>
      <c r="Q15" s="42">
        <f>(C69*L69)-C15</f>
        <v>472</v>
      </c>
      <c r="R15" s="42">
        <f t="shared" si="5"/>
        <v>583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25.132000000000001</v>
      </c>
      <c r="D42" s="56">
        <f>E6/1000</f>
        <v>7.1420000000000003</v>
      </c>
      <c r="E42" s="56">
        <f>MAX(C42:D42)</f>
        <v>25.132000000000001</v>
      </c>
      <c r="G42" s="1" t="str">
        <f>B42</f>
        <v>per 1000 youth</v>
      </c>
      <c r="L42" s="57">
        <v>1000</v>
      </c>
      <c r="M42" s="57"/>
      <c r="R42" s="49"/>
    </row>
    <row r="43" spans="2:18" ht="15" hidden="1" customHeight="1">
      <c r="B43" s="49" t="s">
        <v>87</v>
      </c>
      <c r="C43" s="56">
        <f>C7/100</f>
        <v>4.72</v>
      </c>
      <c r="D43" s="56">
        <f>E7/100</f>
        <v>1.1100000000000001</v>
      </c>
      <c r="E43" s="56">
        <f>MAX(C43:D43,0)</f>
        <v>4.72</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25.132000000000001</v>
      </c>
      <c r="D48" s="56">
        <f>D42</f>
        <v>7.1420000000000003</v>
      </c>
      <c r="E48" s="56">
        <f>MAX(C48:D48)</f>
        <v>25.132000000000001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4.72</v>
      </c>
      <c r="D49" s="49">
        <f t="shared" si="9"/>
        <v>1.1100000000000001</v>
      </c>
      <c r="E49" s="49">
        <f>MAX(C49:D49)</f>
        <v>4.72</v>
      </c>
      <c r="G49" s="1" t="str">
        <f>G43</f>
        <v>per 100 arrests</v>
      </c>
      <c r="L49" s="58">
        <f>IF(($E43&gt;0),L43,L42)</f>
        <v>100</v>
      </c>
      <c r="M49" s="58"/>
      <c r="N49" s="21"/>
      <c r="O49" s="21"/>
      <c r="P49" s="21"/>
      <c r="Q49" s="21"/>
      <c r="R49" s="21"/>
    </row>
    <row r="50" spans="2:18" ht="15" hidden="1" customHeight="1">
      <c r="B50" s="49" t="str">
        <f t="shared" si="9"/>
        <v>per 100 arrests</v>
      </c>
      <c r="C50" s="49">
        <f t="shared" si="9"/>
        <v>4.72</v>
      </c>
      <c r="D50" s="49">
        <f t="shared" si="9"/>
        <v>1.1100000000000001</v>
      </c>
      <c r="E50" s="49">
        <f>MAX(C50:D50)</f>
        <v>4.72</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25.132000000000001</v>
      </c>
      <c r="D54" s="56">
        <f>D48</f>
        <v>7.1420000000000003</v>
      </c>
      <c r="E54" s="56">
        <f>MAX(C54:D54)</f>
        <v>25.132000000000001</v>
      </c>
      <c r="G54" s="1" t="str">
        <f>G48</f>
        <v>per 1000 youth</v>
      </c>
      <c r="L54" s="58">
        <f>L48</f>
        <v>1000</v>
      </c>
      <c r="M54" s="58"/>
    </row>
    <row r="55" spans="2:18" ht="15" hidden="1" customHeight="1">
      <c r="B55" s="49" t="str">
        <f t="shared" ref="B55:D56" si="10">IF(($E49&gt;0),B49,B48)</f>
        <v>per 100 arrests</v>
      </c>
      <c r="C55" s="49">
        <f t="shared" si="10"/>
        <v>4.72</v>
      </c>
      <c r="D55" s="49">
        <f t="shared" si="10"/>
        <v>1.1100000000000001</v>
      </c>
      <c r="E55" s="49">
        <f>MAX(C55:D55)</f>
        <v>4.72</v>
      </c>
      <c r="G55" s="1" t="str">
        <f>G49</f>
        <v>per 100 arrests</v>
      </c>
      <c r="L55" s="58">
        <f>IF(($E49&gt;0),L49,L48)</f>
        <v>100</v>
      </c>
      <c r="M55" s="58"/>
    </row>
    <row r="56" spans="2:18" ht="15" hidden="1" customHeight="1">
      <c r="B56" s="49" t="str">
        <f t="shared" si="10"/>
        <v>per 100 arrests</v>
      </c>
      <c r="C56" s="49">
        <f t="shared" si="10"/>
        <v>4.72</v>
      </c>
      <c r="D56" s="49">
        <f t="shared" si="10"/>
        <v>1.1100000000000001</v>
      </c>
      <c r="E56" s="49">
        <f>MAX(C56:D56)</f>
        <v>4.72</v>
      </c>
      <c r="G56" s="1" t="str">
        <f>G50</f>
        <v>per 100 referrals</v>
      </c>
      <c r="L56" s="58">
        <f>IF(($E50&gt;0),L50,L49)</f>
        <v>100</v>
      </c>
      <c r="M56" s="58"/>
    </row>
    <row r="57" spans="2:18" ht="15" hidden="1" customHeight="1">
      <c r="B57" s="49" t="str">
        <f>IF(($E51&gt;0),B51,B49)</f>
        <v>per 100 arrests</v>
      </c>
      <c r="C57" s="49">
        <f>IF(($E51&gt;0),C51,C50)</f>
        <v>4.72</v>
      </c>
      <c r="D57" s="49">
        <f>IF(($E51&gt;0),D51,D50)</f>
        <v>1.1100000000000001</v>
      </c>
      <c r="E57" s="49">
        <f>MAX(C57:D57)</f>
        <v>4.72</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25.132000000000001</v>
      </c>
      <c r="D60" s="56">
        <f>D54</f>
        <v>7.1420000000000003</v>
      </c>
      <c r="E60" s="56">
        <f>MAX(C60:D60)</f>
        <v>25.132000000000001</v>
      </c>
      <c r="G60" s="1" t="str">
        <f>G54</f>
        <v>per 1000 youth</v>
      </c>
      <c r="L60" s="58">
        <f>L54</f>
        <v>1000</v>
      </c>
      <c r="M60" s="58"/>
    </row>
    <row r="61" spans="2:18" ht="15" hidden="1" customHeight="1">
      <c r="B61" s="49" t="str">
        <f t="shared" ref="B61:D62" si="11">IF(($E55&gt;0),B55,B54)</f>
        <v>per 100 arrests</v>
      </c>
      <c r="C61" s="49">
        <f t="shared" si="11"/>
        <v>4.72</v>
      </c>
      <c r="D61" s="49">
        <f t="shared" si="11"/>
        <v>1.1100000000000001</v>
      </c>
      <c r="E61" s="49">
        <f>MAX(C61:D61)</f>
        <v>4.72</v>
      </c>
      <c r="G61" s="1" t="str">
        <f>G55</f>
        <v>per 100 arrests</v>
      </c>
      <c r="L61" s="58">
        <f>IF(($E55&gt;0),L55,L54)</f>
        <v>100</v>
      </c>
      <c r="M61" s="58"/>
    </row>
    <row r="62" spans="2:18" ht="15" hidden="1" customHeight="1">
      <c r="B62" s="49" t="str">
        <f t="shared" si="11"/>
        <v>per 100 arrests</v>
      </c>
      <c r="C62" s="49">
        <f t="shared" si="11"/>
        <v>4.72</v>
      </c>
      <c r="D62" s="49">
        <f t="shared" si="11"/>
        <v>1.1100000000000001</v>
      </c>
      <c r="E62" s="49">
        <f>MAX(C62:D62)</f>
        <v>4.72</v>
      </c>
      <c r="G62" s="1" t="str">
        <f>G56</f>
        <v>per 100 referrals</v>
      </c>
      <c r="L62" s="58">
        <f>IF(($E56&gt;0),L56,L55)</f>
        <v>100</v>
      </c>
      <c r="M62" s="58"/>
    </row>
    <row r="63" spans="2:18" ht="15" hidden="1" customHeight="1">
      <c r="B63" s="49" t="str">
        <f>IF(($E57&gt;0),B57,B55)</f>
        <v>per 100 arrests</v>
      </c>
      <c r="C63" s="49">
        <f>IF(($E57&gt;0),C57,C56)</f>
        <v>4.72</v>
      </c>
      <c r="D63" s="49">
        <f>IF(($E57&gt;0),D57,D56)</f>
        <v>1.1100000000000001</v>
      </c>
      <c r="E63" s="49">
        <f>MAX(C63:D63)</f>
        <v>4.72</v>
      </c>
      <c r="G63" s="1" t="str">
        <f>G57</f>
        <v>per 100 youth petitioned</v>
      </c>
      <c r="L63" s="58">
        <f>IF(($E57&gt;0),L57,L56)</f>
        <v>100</v>
      </c>
      <c r="M63" s="58"/>
    </row>
    <row r="64" spans="2:18" ht="15" hidden="1" customHeight="1">
      <c r="B64" s="49" t="str">
        <f>IF(($E58&gt;0),B58,B57)</f>
        <v>per 100 arrests</v>
      </c>
      <c r="C64" s="49">
        <f>IF(($E58&gt;0),C58,C57)</f>
        <v>4.72</v>
      </c>
      <c r="D64" s="49">
        <f>IF(($E58&gt;0),D58,D57)</f>
        <v>1.1100000000000001</v>
      </c>
      <c r="E64" s="56">
        <f>MAX(C64:D64)</f>
        <v>4.72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25.132000000000001</v>
      </c>
      <c r="D66" s="56">
        <f>D60</f>
        <v>7.1420000000000003</v>
      </c>
      <c r="E66" s="56">
        <f>MAX(C66:D66)</f>
        <v>25.132000000000001</v>
      </c>
      <c r="G66" s="1" t="str">
        <f>G60</f>
        <v>per 1000 youth</v>
      </c>
      <c r="L66" s="58">
        <f>L60</f>
        <v>1000</v>
      </c>
      <c r="M66" s="58">
        <f>IF((B66=G66),1,2)</f>
        <v>1</v>
      </c>
    </row>
    <row r="67" spans="2:13" ht="15" hidden="1" customHeight="1">
      <c r="B67" s="49" t="str">
        <f t="shared" ref="B67:D68" si="12">IF(($E61&gt;0),B61,B60)</f>
        <v>per 100 arrests</v>
      </c>
      <c r="C67" s="49">
        <f t="shared" si="12"/>
        <v>4.72</v>
      </c>
      <c r="D67" s="49">
        <f t="shared" si="12"/>
        <v>1.1100000000000001</v>
      </c>
      <c r="E67" s="49">
        <f>MAX(C67:D67)</f>
        <v>4.72</v>
      </c>
      <c r="G67" s="1" t="str">
        <f>G61</f>
        <v>per 100 arrests</v>
      </c>
      <c r="L67" s="58">
        <f>IF(($E61&gt;0),L61,L60)</f>
        <v>100</v>
      </c>
      <c r="M67" s="58">
        <f>IF((B67=G67),1,2)</f>
        <v>1</v>
      </c>
    </row>
    <row r="68" spans="2:13" ht="15" hidden="1" customHeight="1">
      <c r="B68" s="49" t="str">
        <f t="shared" si="12"/>
        <v>per 100 arrests</v>
      </c>
      <c r="C68" s="49">
        <f t="shared" si="12"/>
        <v>4.72</v>
      </c>
      <c r="D68" s="49">
        <f t="shared" si="12"/>
        <v>1.1100000000000001</v>
      </c>
      <c r="E68" s="49">
        <f>MAX(C68:D68)</f>
        <v>4.72</v>
      </c>
      <c r="G68" s="1" t="str">
        <f>G62</f>
        <v>per 100 referrals</v>
      </c>
      <c r="L68" s="58">
        <f>IF(($E62&gt;0),L62,L61)</f>
        <v>100</v>
      </c>
      <c r="M68" s="58">
        <f>IF((B68=G68),1,2)</f>
        <v>2</v>
      </c>
    </row>
    <row r="69" spans="2:13" ht="15" hidden="1" customHeight="1">
      <c r="B69" s="49" t="str">
        <f>IF(($E63&gt;0),B63,B61)</f>
        <v>per 100 arrests</v>
      </c>
      <c r="C69" s="49">
        <f>IF(($E63&gt;0),C63,C62)</f>
        <v>4.72</v>
      </c>
      <c r="D69" s="49">
        <f>IF(($E63&gt;0),D63,D62)</f>
        <v>1.1100000000000001</v>
      </c>
      <c r="E69" s="49">
        <f>MAX(C69:D69)</f>
        <v>4.72</v>
      </c>
      <c r="G69" s="1" t="str">
        <f>G63</f>
        <v>per 100 youth petitioned</v>
      </c>
      <c r="L69" s="58">
        <f>IF(($E63&gt;0),L63,L62)</f>
        <v>100</v>
      </c>
      <c r="M69" s="58">
        <f>IF((B69=G69),1,2)</f>
        <v>2</v>
      </c>
    </row>
    <row r="70" spans="2:13" ht="15" hidden="1" customHeight="1">
      <c r="B70" s="49" t="str">
        <f>IF(($E64&gt;0),B64,B63)</f>
        <v>per 100 arrests</v>
      </c>
      <c r="C70" s="49">
        <f>IF(($E64&gt;0),C64,C63)</f>
        <v>4.72</v>
      </c>
      <c r="D70" s="49">
        <f>IF(($E64&gt;0),D64,D63)</f>
        <v>1.1100000000000001</v>
      </c>
      <c r="E70" s="56">
        <f>MAX(C70:D70)</f>
        <v>4.72</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10/1/21 through 9/30/22</v>
      </c>
      <c r="I4" s="67"/>
    </row>
    <row r="5" spans="2:18" ht="15" customHeight="1">
      <c r="B5" s="66" t="str">
        <f>'Data Entry'!A3</f>
        <v>County: Ottawa</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f>'Black or African-American'!$G7</f>
        <v>5.1694915254237284</v>
      </c>
      <c r="D7" s="72" t="str">
        <f>Hispanic!G7</f>
        <v>**</v>
      </c>
      <c r="E7" s="72" t="str">
        <f>Asian!G7</f>
        <v>**</v>
      </c>
      <c r="F7" s="72" t="str">
        <f>Hawaiian!G7</f>
        <v>*</v>
      </c>
      <c r="G7" s="72" t="str">
        <f>'Am Indian'!G7</f>
        <v>*</v>
      </c>
      <c r="H7" s="72" t="str">
        <f>'Other - Mixed'!G7</f>
        <v>*</v>
      </c>
      <c r="I7" s="73">
        <f>'All Minorities'!G7</f>
        <v>0.82753845715723184</v>
      </c>
      <c r="L7" s="1">
        <f>'Black or African-American'!L7</f>
        <v>1</v>
      </c>
      <c r="M7" s="1">
        <f>Hispanic!L7</f>
        <v>20</v>
      </c>
      <c r="N7" s="1">
        <f>Asian!L7</f>
        <v>20</v>
      </c>
      <c r="O7" s="1" t="e">
        <f>Hawaiian!L7</f>
        <v>#VALUE!</v>
      </c>
      <c r="P7" s="1">
        <f>'Am Indian'!L7</f>
        <v>119</v>
      </c>
      <c r="Q7" s="1" t="e">
        <f>'Other - Mixed'!L7</f>
        <v>#VALUE!</v>
      </c>
      <c r="R7" s="1">
        <f>'All Minorities'!L7</f>
        <v>2</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t="e">
        <f>'Black or African-American'!L8</f>
        <v>#VALUE!</v>
      </c>
      <c r="M8" s="1" t="e">
        <f>Hispanic!L8</f>
        <v>#VALUE!</v>
      </c>
      <c r="N8" s="1" t="e">
        <f>Asian!L8</f>
        <v>#VALUE!</v>
      </c>
      <c r="O8" s="1" t="e">
        <f>Hawaiian!L8</f>
        <v>#VALUE!</v>
      </c>
      <c r="P8" s="1" t="e">
        <f>'Am Indian'!L8</f>
        <v>#VALUE!</v>
      </c>
      <c r="Q8" s="1" t="e">
        <f>'Other - Mixed'!L8</f>
        <v>#VALUE!</v>
      </c>
      <c r="R8" s="1" t="e">
        <f>'All Minorities'!L8</f>
        <v>#VALUE!</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Yes</v>
      </c>
      <c r="F16" s="75" t="str">
        <f>'Data Entry'!G16</f>
        <v>No</v>
      </c>
      <c r="G16" s="75" t="str">
        <f>'Data Entry'!H16</f>
        <v>No</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32274</v>
      </c>
      <c r="D3" s="57">
        <f>'Data Entry'!C6</f>
        <v>25132</v>
      </c>
      <c r="E3" s="57">
        <f>'Data Entry'!D6</f>
        <v>1030</v>
      </c>
      <c r="F3" s="57">
        <f>'Data Entry'!E6</f>
        <v>4859</v>
      </c>
      <c r="G3" s="57">
        <f>'Data Entry'!F6</f>
        <v>1142</v>
      </c>
      <c r="H3" s="57">
        <f>'Data Entry'!G6</f>
        <v>0</v>
      </c>
      <c r="I3" s="57">
        <f>'Data Entry'!H6</f>
        <v>111</v>
      </c>
      <c r="J3" s="57">
        <f>'Data Entry'!I6</f>
        <v>0</v>
      </c>
      <c r="K3" s="57">
        <f>'Data Entry'!J6</f>
        <v>7142</v>
      </c>
    </row>
    <row r="4" spans="2:11" ht="15" customHeight="1">
      <c r="B4" s="16" t="s">
        <v>8</v>
      </c>
      <c r="C4" s="1">
        <f>IF((C$3&gt;0),(1000*('Data Entry'!B7/'Data Entry'!B$6)), 0)</f>
        <v>20.171035508458822</v>
      </c>
      <c r="D4" s="1">
        <f>IF((D$3&gt;0),(1000*('Data Entry'!C7/'Data Entry'!C$6)), 0)</f>
        <v>18.780837179691229</v>
      </c>
      <c r="E4" s="1">
        <f>IF((E$3&gt;0),(1000*('Data Entry'!D7/'Data Entry'!D$6)), 0)</f>
        <v>97.087378640776691</v>
      </c>
      <c r="F4" s="1">
        <f>IF((F$3&gt;0),(1000*('Data Entry'!E7/'Data Entry'!E$6)), 0)</f>
        <v>0.20580366330520683</v>
      </c>
      <c r="G4" s="1">
        <f>IF((G$3&gt;0),(1000*('Data Entry'!F7/'Data Entry'!F$6)), 0)</f>
        <v>4.3782837127845884</v>
      </c>
      <c r="H4" s="1">
        <f>IF((H$3&gt;0),(1000*('Data Entry'!G7/'Data Entry'!G$6)), 0)</f>
        <v>0</v>
      </c>
      <c r="I4" s="1">
        <f>IF((I$3&gt;0),(1000*('Data Entry'!H7/'Data Entry'!H$6)), 0)</f>
        <v>45.045045045045043</v>
      </c>
      <c r="J4" s="1">
        <f>IF((J$3&gt;0),(1000*('Data Entry'!I7/'Data Entry'!I$6)), 0)</f>
        <v>0</v>
      </c>
      <c r="K4" s="1">
        <f>IF((K$3&gt;0),(1000*('Data Entry'!J7/'Data Entry'!J$6)), 0)</f>
        <v>15.541865023802856</v>
      </c>
    </row>
    <row r="5" spans="2:11" ht="15" customHeight="1">
      <c r="B5" s="16" t="s">
        <v>9</v>
      </c>
      <c r="C5" s="1">
        <f>IF((C$3&gt;0),(1000*('Data Entry'!B8/'Data Entry'!B$6)), 0)</f>
        <v>0</v>
      </c>
      <c r="D5" s="1">
        <f>IF((D$3&gt;0),(1000*('Data Entry'!C8/'Data Entry'!C$6)), 0)</f>
        <v>0</v>
      </c>
      <c r="E5" s="1">
        <f>IF((E$3&gt;0),(1000*('Data Entry'!D8/'Data Entry'!D$6)), 0)</f>
        <v>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0</v>
      </c>
    </row>
    <row r="6" spans="2:11" ht="15" customHeight="1">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0</v>
      </c>
      <c r="D8" s="1">
        <f>IF((D$3&gt;0),(1000*('Data Entry'!C11/'Data Entry'!C$6)), 0)</f>
        <v>0</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c r="B9" s="16" t="s">
        <v>13</v>
      </c>
      <c r="C9" s="1">
        <f>IF((C$3&gt;0),(1000*('Data Entry'!B12/'Data Entry'!B$6)), 0)</f>
        <v>0</v>
      </c>
      <c r="D9" s="1">
        <f>IF((D$3&gt;0),(1000*('Data Entry'!C12/'Data Entry'!C$6)), 0)</f>
        <v>0</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10/1/21 through 9/30/22</v>
      </c>
      <c r="G16" s="1"/>
      <c r="H16" s="1"/>
      <c r="I16" s="1"/>
      <c r="J16" s="67"/>
    </row>
    <row r="17" spans="2:10" ht="15" customHeight="1">
      <c r="B17" s="81" t="str">
        <f>'Data Entry'!A3</f>
        <v>County: Ottawa</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5.1694915254237284</v>
      </c>
      <c r="E19" s="72">
        <f t="shared" si="1"/>
        <v>1.095817302158148E-2</v>
      </c>
      <c r="F19" s="72">
        <f t="shared" si="1"/>
        <v>0.23312505565614891</v>
      </c>
      <c r="G19" s="72" t="str">
        <f t="shared" si="1"/>
        <v>--</v>
      </c>
      <c r="H19" s="72">
        <f t="shared" si="1"/>
        <v>2.3984577798137119</v>
      </c>
      <c r="I19" s="72" t="str">
        <f t="shared" si="1"/>
        <v>--</v>
      </c>
      <c r="J19" s="73">
        <f t="shared" si="1"/>
        <v>0.82753845715723184</v>
      </c>
    </row>
    <row r="20" spans="2:10" ht="15" customHeight="1">
      <c r="B20" s="71" t="s">
        <v>9</v>
      </c>
      <c r="C20" s="72" t="str">
        <f t="shared" ref="C20:J27" si="2">IF(AND(($D5&gt;0),(D5&gt;0)), (D5/$D5),"--")</f>
        <v>--</v>
      </c>
      <c r="D20" s="72" t="str">
        <f t="shared" si="2"/>
        <v>--</v>
      </c>
      <c r="E20" s="72" t="str">
        <f t="shared" si="2"/>
        <v>--</v>
      </c>
      <c r="F20" s="72" t="str">
        <f t="shared" si="2"/>
        <v>--</v>
      </c>
      <c r="G20" s="72" t="str">
        <f t="shared" si="2"/>
        <v>--</v>
      </c>
      <c r="H20" s="72" t="str">
        <f t="shared" si="2"/>
        <v>--</v>
      </c>
      <c r="I20" s="72" t="str">
        <f t="shared" si="2"/>
        <v>--</v>
      </c>
      <c r="J20" s="73" t="str">
        <f t="shared" si="2"/>
        <v>--</v>
      </c>
    </row>
    <row r="21" spans="2:10" ht="15" customHeight="1">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t="str">
        <f t="shared" si="2"/>
        <v>--</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c r="B24" s="71" t="s">
        <v>13</v>
      </c>
      <c r="C24" s="72" t="str">
        <f t="shared" si="2"/>
        <v>--</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Yes</v>
      </c>
      <c r="G28" s="87" t="str">
        <f>Summary!F16</f>
        <v>No</v>
      </c>
      <c r="H28" s="87" t="str">
        <f>Summary!G16</f>
        <v>No</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Ottawa</v>
      </c>
      <c r="C4" s="102"/>
      <c r="D4" s="102"/>
      <c r="E4" s="102"/>
      <c r="F4" s="102"/>
      <c r="G4" s="102"/>
      <c r="H4" s="102"/>
      <c r="I4" s="102"/>
      <c r="J4" s="102"/>
      <c r="K4" s="102"/>
      <c r="L4" s="102"/>
      <c r="M4" s="102"/>
      <c r="N4" s="177" t="str">
        <f>'Data Entry'!C4</f>
        <v>10/1/21 through 9/30/22</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25132</v>
      </c>
      <c r="D7" s="104">
        <f>'Data Entry'!D6</f>
        <v>1030</v>
      </c>
      <c r="E7" s="105"/>
      <c r="F7" s="106">
        <f>'Data Entry'!E6</f>
        <v>4859</v>
      </c>
      <c r="G7" s="105"/>
      <c r="H7" s="106">
        <f>'Data Entry'!F6</f>
        <v>1142</v>
      </c>
      <c r="I7" s="105"/>
      <c r="J7" s="106">
        <f>'Data Entry'!G6</f>
        <v>0</v>
      </c>
      <c r="K7" s="105"/>
      <c r="L7" s="106">
        <f>'Data Entry'!H6</f>
        <v>111</v>
      </c>
      <c r="M7" s="105"/>
      <c r="N7" s="106">
        <f>'Data Entry'!I6</f>
        <v>0</v>
      </c>
      <c r="O7" s="105"/>
      <c r="P7" s="106">
        <f>'Data Entry'!J6</f>
        <v>7142</v>
      </c>
      <c r="Q7" s="107"/>
    </row>
    <row r="8" spans="2:26" s="1" customFormat="1" ht="15" customHeight="1">
      <c r="B8" s="142" t="s">
        <v>8</v>
      </c>
      <c r="C8" s="103">
        <f>'Data Entry'!C7</f>
        <v>472</v>
      </c>
      <c r="D8" s="104">
        <f>'Data Entry'!D7</f>
        <v>100</v>
      </c>
      <c r="E8" s="105">
        <f>'Black or African-American'!$G7</f>
        <v>5.1694915254237284</v>
      </c>
      <c r="F8" s="106">
        <f>'Data Entry'!E7</f>
        <v>1</v>
      </c>
      <c r="G8" s="105" t="str">
        <f>Hispanic!G7</f>
        <v>**</v>
      </c>
      <c r="H8" s="106">
        <f>'Data Entry'!F7</f>
        <v>5</v>
      </c>
      <c r="I8" s="105" t="str">
        <f>Asian!G7</f>
        <v>**</v>
      </c>
      <c r="J8" s="106">
        <f>'Data Entry'!G7</f>
        <v>0</v>
      </c>
      <c r="K8" s="105" t="str">
        <f>Hawaiian!G7</f>
        <v>*</v>
      </c>
      <c r="L8" s="106">
        <f>'Data Entry'!H7</f>
        <v>5</v>
      </c>
      <c r="M8" s="105" t="str">
        <f>'Am Indian'!G7</f>
        <v>*</v>
      </c>
      <c r="N8" s="106">
        <f>'Data Entry'!I7</f>
        <v>0</v>
      </c>
      <c r="O8" s="105" t="str">
        <f>'Other - Mixed'!G7</f>
        <v>*</v>
      </c>
      <c r="P8" s="106">
        <f>'Data Entry'!J7</f>
        <v>111</v>
      </c>
      <c r="Q8" s="107">
        <f>'All Minorities'!G7</f>
        <v>0.82753845715723184</v>
      </c>
      <c r="R8"/>
      <c r="T8" s="1">
        <f>'Black or African-American'!L7</f>
        <v>1</v>
      </c>
      <c r="U8" s="1">
        <f>Hispanic!L7</f>
        <v>20</v>
      </c>
      <c r="V8" s="1">
        <f>Asian!L7</f>
        <v>20</v>
      </c>
      <c r="W8" s="1" t="e">
        <f>Hawaiian!L7</f>
        <v>#VALUE!</v>
      </c>
      <c r="X8" s="1">
        <f>'Am Indian'!L7</f>
        <v>119</v>
      </c>
      <c r="Y8" s="1" t="e">
        <f>'Other - Mixed'!L7</f>
        <v>#VALUE!</v>
      </c>
      <c r="Z8" s="1">
        <f>'All Minorities'!L7</f>
        <v>2</v>
      </c>
    </row>
    <row r="9" spans="2:26" s="1" customFormat="1" ht="15" customHeight="1">
      <c r="B9" s="142" t="s">
        <v>134</v>
      </c>
      <c r="C9" s="103">
        <f>'Data Entry'!C8</f>
        <v>0</v>
      </c>
      <c r="D9" s="108">
        <f>'Data Entry'!D8</f>
        <v>0</v>
      </c>
      <c r="E9" s="109" t="str">
        <f>'Black or African-American'!$G8</f>
        <v>--</v>
      </c>
      <c r="F9" s="110">
        <f>'Data Entry'!E8</f>
        <v>0</v>
      </c>
      <c r="G9" s="109" t="str">
        <f>Hispanic!G8</f>
        <v>--</v>
      </c>
      <c r="H9" s="110">
        <f>'Data Entry'!F8</f>
        <v>0</v>
      </c>
      <c r="I9" s="109" t="str">
        <f>Asian!G8</f>
        <v>--</v>
      </c>
      <c r="J9" s="110">
        <f>'Data Entry'!G8</f>
        <v>0</v>
      </c>
      <c r="K9" s="109" t="str">
        <f>Hawaiian!G8</f>
        <v>*</v>
      </c>
      <c r="L9" s="110">
        <f>'Data Entry'!H8</f>
        <v>0</v>
      </c>
      <c r="M9" s="109" t="str">
        <f>'Am Indian'!G8</f>
        <v>*</v>
      </c>
      <c r="N9" s="110">
        <f>'Data Entry'!I8</f>
        <v>0</v>
      </c>
      <c r="O9" s="109" t="str">
        <f>'Other - Mixed'!G8</f>
        <v>*</v>
      </c>
      <c r="P9" s="110">
        <f>'Data Entry'!J8</f>
        <v>0</v>
      </c>
      <c r="Q9" s="111" t="str">
        <f>'All Minorities'!G8</f>
        <v>--</v>
      </c>
      <c r="R9"/>
      <c r="T9" s="1" t="e">
        <f>'Black or African-American'!L8</f>
        <v>#VALUE!</v>
      </c>
      <c r="U9" s="1" t="e">
        <f>Hispanic!L8</f>
        <v>#VALUE!</v>
      </c>
      <c r="V9" s="1" t="e">
        <f>Asian!L8</f>
        <v>#VALUE!</v>
      </c>
      <c r="W9" s="1" t="e">
        <f>Hawaiian!L8</f>
        <v>#VALUE!</v>
      </c>
      <c r="X9" s="1" t="e">
        <f>'Am Indian'!L8</f>
        <v>#VALUE!</v>
      </c>
      <c r="Y9" s="1" t="e">
        <f>'Other - Mixed'!L8</f>
        <v>#VALUE!</v>
      </c>
      <c r="Z9" s="1" t="e">
        <f>'All Minorities'!L8</f>
        <v>#VALUE!</v>
      </c>
    </row>
    <row r="10" spans="2:26" s="1" customFormat="1" ht="15" customHeight="1">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2"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c r="B12" s="142" t="s">
        <v>95</v>
      </c>
      <c r="C12" s="103">
        <f>'Data Entry'!C11</f>
        <v>0</v>
      </c>
      <c r="D12" s="112">
        <f>'Data Entry'!D11</f>
        <v>0</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0</v>
      </c>
      <c r="Q12" s="115"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c r="B13" s="142" t="s">
        <v>13</v>
      </c>
      <c r="C13" s="103">
        <f>'Data Entry'!C12</f>
        <v>0</v>
      </c>
      <c r="D13" s="108">
        <f>'Data Entry'!D12</f>
        <v>0</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0</v>
      </c>
      <c r="Q13" s="111"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c r="B14" s="142" t="s">
        <v>133</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0</v>
      </c>
      <c r="Q14" s="115"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c r="B15" s="144"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Yes</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Ottawa</v>
      </c>
    </row>
    <row r="6" spans="1:12">
      <c r="A6" s="135" t="str">
        <f>CONCATENATE("Percentage of Minorities at Stages of the Juvenile Justice System, ", A5, " 2022")</f>
        <v>Percentage of Minorities at Stages of the Juvenile Justice System, County: Ottawa 2022</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3.5189022682721922</v>
      </c>
    </row>
    <row r="8" spans="1:12" ht="25.5" customHeight="1">
      <c r="A8" s="151" t="str">
        <f>CONCATENATE("Confinement, total N=", 'Data Entry'!B14)</f>
        <v>Confinement, total N=0</v>
      </c>
      <c r="B8" s="150" t="e">
        <f>'Data Entry'!D14/'Data Entry'!B14</f>
        <v>#DIV/0!</v>
      </c>
      <c r="C8" s="150" t="e">
        <f>'Data Entry'!E14/'Data Entry'!B14</f>
        <v>#DIV/0!</v>
      </c>
      <c r="D8" s="150" t="e">
        <f>'Data Entry'!F14/'Data Entry'!B14</f>
        <v>#DIV/0!</v>
      </c>
      <c r="E8" s="150" t="e">
        <f>'Data Entry'!G14/'Data Entry'!B14</f>
        <v>#DIV/0!</v>
      </c>
      <c r="F8" s="150" t="e">
        <f>'Data Entry'!H14/'Data Entry'!B14</f>
        <v>#DIV/0!</v>
      </c>
      <c r="G8" s="150" t="e">
        <f>'Data Entry'!I14/'Data Entry'!B14</f>
        <v>#DIV/0!</v>
      </c>
      <c r="H8" s="150" t="e">
        <f>SUM(D8:G8)/'Data Entry'!B14</f>
        <v>#DIV/0!</v>
      </c>
      <c r="I8" s="150" t="e">
        <f>'Data Entry'!C14/'Data Entry'!B14</f>
        <v>#DIV/0!</v>
      </c>
      <c r="K8" s="96" t="str">
        <f>A8</f>
        <v>Confinement, total N=0</v>
      </c>
      <c r="L8">
        <f>I14/(SUM(B14:G14))</f>
        <v>3.5189022682721922</v>
      </c>
    </row>
    <row r="9" spans="1:12">
      <c r="A9" s="128" t="str">
        <f>CONCATENATE("Delinquent Findings, total N=", 'Data Entry'!B12)</f>
        <v>Delinquent Findings, total N=0</v>
      </c>
      <c r="B9" s="150" t="e">
        <f>'Data Entry'!D12/'Data Entry'!B12</f>
        <v>#DIV/0!</v>
      </c>
      <c r="C9" s="150" t="e">
        <f>'Data Entry'!E12/'Data Entry'!B12</f>
        <v>#DIV/0!</v>
      </c>
      <c r="D9" s="150" t="e">
        <f>'Data Entry'!F12/'Data Entry'!B12</f>
        <v>#DIV/0!</v>
      </c>
      <c r="E9" s="150" t="e">
        <f>'Data Entry'!G12/'Data Entry'!B12</f>
        <v>#DIV/0!</v>
      </c>
      <c r="F9" s="150" t="e">
        <f>'Data Entry'!H12/'Data Entry'!B12</f>
        <v>#DIV/0!</v>
      </c>
      <c r="G9" s="150" t="e">
        <f>'Data Entry'!I12/'Data Entry'!B12</f>
        <v>#DIV/0!</v>
      </c>
      <c r="H9" s="150" t="e">
        <f>SUM(D9:G9)/'Data Entry'!B12</f>
        <v>#DIV/0!</v>
      </c>
      <c r="I9" s="150" t="e">
        <f>'Data Entry'!C12/'Data Entry'!B12</f>
        <v>#DIV/0!</v>
      </c>
      <c r="K9" s="96" t="str">
        <f t="shared" si="0"/>
        <v>Delinquent Findings, total N=0</v>
      </c>
      <c r="L9">
        <f>I14/(SUM(B14:G14))</f>
        <v>3.5189022682721922</v>
      </c>
    </row>
    <row r="10" spans="1:12">
      <c r="A10" s="128" t="str">
        <f>CONCATENATE("Petitions, total N=", 'Data Entry'!B11)</f>
        <v>Petitions, total N=0</v>
      </c>
      <c r="B10" s="150" t="e">
        <f>'Data Entry'!D11/'Data Entry'!B11</f>
        <v>#DIV/0!</v>
      </c>
      <c r="C10" s="150" t="e">
        <f>'Data Entry'!E11/'Data Entry'!B11</f>
        <v>#DIV/0!</v>
      </c>
      <c r="D10" s="150" t="e">
        <f>'Data Entry'!F11/'Data Entry'!B11</f>
        <v>#DIV/0!</v>
      </c>
      <c r="E10" s="150" t="e">
        <f>'Data Entry'!G11/'Data Entry'!B11</f>
        <v>#DIV/0!</v>
      </c>
      <c r="F10" s="150" t="e">
        <f>'Data Entry'!H11/'Data Entry'!B11</f>
        <v>#DIV/0!</v>
      </c>
      <c r="G10" s="150" t="e">
        <f>'Data Entry'!I11/'Data Entry'!B11</f>
        <v>#DIV/0!</v>
      </c>
      <c r="H10" s="150" t="e">
        <f>SUM(D10:G10)/'Data Entry'!B11</f>
        <v>#DIV/0!</v>
      </c>
      <c r="I10" s="150" t="e">
        <f>'Data Entry'!C11/'Data Entry'!B11</f>
        <v>#DIV/0!</v>
      </c>
      <c r="K10" s="96" t="str">
        <f t="shared" si="0"/>
        <v>Petitions, total N=0</v>
      </c>
      <c r="L10">
        <f>I14/(SUM(B14:G14))</f>
        <v>3.5189022682721922</v>
      </c>
    </row>
    <row r="11" spans="1:12">
      <c r="A11" s="128" t="str">
        <f>CONCATENATE("Detentions, total N=", 'Data Entry'!B10)</f>
        <v>Detentions, total N=0</v>
      </c>
      <c r="B11" s="150" t="e">
        <f>'Data Entry'!D10/'Data Entry'!B10</f>
        <v>#DIV/0!</v>
      </c>
      <c r="C11" s="150" t="e">
        <f>'Data Entry'!E10/'Data Entry'!B10</f>
        <v>#DIV/0!</v>
      </c>
      <c r="D11" s="150" t="e">
        <f>'Data Entry'!F10/'Data Entry'!B10</f>
        <v>#DIV/0!</v>
      </c>
      <c r="E11" s="150" t="e">
        <f>'Data Entry'!G10/'Data Entry'!B10</f>
        <v>#DIV/0!</v>
      </c>
      <c r="F11" s="150" t="e">
        <f>'Data Entry'!H10/'Data Entry'!B10</f>
        <v>#DIV/0!</v>
      </c>
      <c r="G11" s="150" t="e">
        <f>'Data Entry'!I10/'Data Entry'!B10</f>
        <v>#DIV/0!</v>
      </c>
      <c r="H11" s="150" t="e">
        <f>SUM(D11:G11)/'Data Entry'!B10</f>
        <v>#DIV/0!</v>
      </c>
      <c r="I11" s="150" t="e">
        <f>'Data Entry'!C10/'Data Entry'!B10</f>
        <v>#DIV/0!</v>
      </c>
      <c r="K11" s="96" t="str">
        <f t="shared" si="0"/>
        <v>Detentions, total N=0</v>
      </c>
      <c r="L11">
        <f>I14/(SUM(B14:G14))</f>
        <v>3.5189022682721922</v>
      </c>
    </row>
    <row r="12" spans="1:12">
      <c r="A12" s="128" t="str">
        <f>CONCATENATE("Referrals, total N=", 'Data Entry'!B8)</f>
        <v>Referrals, total N=0</v>
      </c>
      <c r="B12" s="150" t="e">
        <f>'Data Entry'!D8/'Data Entry'!B8</f>
        <v>#DIV/0!</v>
      </c>
      <c r="C12" s="150" t="e">
        <f>'Data Entry'!E8/'Data Entry'!B8</f>
        <v>#DIV/0!</v>
      </c>
      <c r="D12" s="150" t="e">
        <f>'Data Entry'!F8/'Data Entry'!B8</f>
        <v>#DIV/0!</v>
      </c>
      <c r="E12" s="150" t="e">
        <f>'Data Entry'!G8/'Data Entry'!B8</f>
        <v>#DIV/0!</v>
      </c>
      <c r="F12" s="150" t="e">
        <f>'Data Entry'!H8/'Data Entry'!B8</f>
        <v>#DIV/0!</v>
      </c>
      <c r="G12" s="150" t="e">
        <f>'Data Entry'!I8/'Data Entry'!B8</f>
        <v>#DIV/0!</v>
      </c>
      <c r="H12" s="150" t="e">
        <f>SUM(D12:G12)/'Data Entry'!B8</f>
        <v>#DIV/0!</v>
      </c>
      <c r="I12" s="150" t="e">
        <f>'Data Entry'!C8/'Data Entry'!B8</f>
        <v>#DIV/0!</v>
      </c>
      <c r="K12" s="96" t="str">
        <f t="shared" si="0"/>
        <v>Referrals, total N=0</v>
      </c>
      <c r="L12">
        <f>I14/(SUM(B14:G14))</f>
        <v>3.5189022682721922</v>
      </c>
    </row>
    <row r="13" spans="1:12">
      <c r="A13" s="128" t="str">
        <f>CONCATENATE("Arrests, total N=", 'Data Entry'!B7)</f>
        <v>Arrests, total N=651</v>
      </c>
      <c r="B13" s="150">
        <f>'Data Entry'!D7/'Data Entry'!B7</f>
        <v>0.15360983102918588</v>
      </c>
      <c r="C13" s="150">
        <f>'Data Entry'!E7/'Data Entry'!B7</f>
        <v>1.5360983102918587E-3</v>
      </c>
      <c r="D13" s="150">
        <f>'Data Entry'!F7/'Data Entry'!B7</f>
        <v>7.6804915514592934E-3</v>
      </c>
      <c r="E13" s="150">
        <f>'Data Entry'!G7/'Data Entry'!B7</f>
        <v>0</v>
      </c>
      <c r="F13" s="150">
        <f>'Data Entry'!H7/'Data Entry'!B7</f>
        <v>7.6804915514592934E-3</v>
      </c>
      <c r="G13" s="150">
        <f>'Data Entry'!I7/'Data Entry'!B7</f>
        <v>0</v>
      </c>
      <c r="H13" s="150">
        <f>SUM(D13:G13)/'Data Entry'!B7</f>
        <v>2.3595980188815032E-5</v>
      </c>
      <c r="I13" s="150">
        <f>'Data Entry'!C7/'Data Entry'!B7</f>
        <v>0.7250384024577573</v>
      </c>
      <c r="K13" s="96" t="str">
        <f t="shared" si="0"/>
        <v>Arrests, total N=651</v>
      </c>
      <c r="L13">
        <f>I14/(SUM(B14:G14))</f>
        <v>3.5189022682721922</v>
      </c>
    </row>
    <row r="14" spans="1:12">
      <c r="A14" s="128" t="str">
        <f>CONCATENATE("Population, total N=", 'Data Entry'!B6)</f>
        <v>Population, total N=32274</v>
      </c>
      <c r="B14" s="150">
        <f>'Data Entry'!D6/'Data Entry'!B6</f>
        <v>3.1914234368222098E-2</v>
      </c>
      <c r="C14" s="150">
        <f>'Data Entry'!E6/'Data Entry'!B6</f>
        <v>0.15055462601474873</v>
      </c>
      <c r="D14" s="150">
        <f>'Data Entry'!F6/'Data Entry'!B6</f>
        <v>3.5384520047096732E-2</v>
      </c>
      <c r="E14" s="150">
        <f>'Data Entry'!G6/'Data Entry'!B6</f>
        <v>0</v>
      </c>
      <c r="F14" s="150">
        <f>'Data Entry'!H6/'Data Entry'!B6</f>
        <v>3.4393009853132552E-3</v>
      </c>
      <c r="G14" s="150">
        <f>'Data Entry'!I6/'Data Entry'!B6</f>
        <v>0</v>
      </c>
      <c r="H14" s="150">
        <f>SUM(D14:G14)/'Data Entry'!B6</f>
        <v>1.2029441975711095E-6</v>
      </c>
      <c r="I14" s="150">
        <f>'Data Entry'!C6/'Data Entry'!B6</f>
        <v>0.77870731858461917</v>
      </c>
      <c r="K14" s="96" t="str">
        <f t="shared" si="0"/>
        <v>Population, total N=32274</v>
      </c>
      <c r="L14">
        <f>I14/(SUM(B14:G14))</f>
        <v>3.5189022682721922</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187" t="str">
        <f>'Data Entry'!C3</f>
        <v xml:space="preserve">Reporting Period:  </v>
      </c>
      <c r="I3" s="188"/>
      <c r="J3" s="188"/>
      <c r="K3" s="189"/>
    </row>
    <row r="4" spans="2:30" s="1" customFormat="1" ht="19.5" thickBot="1">
      <c r="B4" s="101" t="str">
        <f>'Data Entry'!A3</f>
        <v>County: Ottawa</v>
      </c>
      <c r="C4" s="102"/>
      <c r="D4" s="102"/>
      <c r="E4" s="120"/>
      <c r="F4" s="120"/>
      <c r="G4" s="120"/>
      <c r="H4" s="177" t="str">
        <f>'Data Entry'!C4</f>
        <v>10/1/21 through 9/30/22</v>
      </c>
      <c r="I4" s="190"/>
      <c r="J4" s="190"/>
      <c r="K4" s="191"/>
    </row>
    <row r="5" spans="2:30" s="8" customFormat="1" ht="69" customHeight="1">
      <c r="B5" s="99"/>
      <c r="C5" s="100" t="s">
        <v>3</v>
      </c>
      <c r="D5" s="184" t="str">
        <f>'Black or African-American'!$F$1</f>
        <v>Black or African American</v>
      </c>
      <c r="E5" s="185"/>
      <c r="F5" s="184" t="str">
        <f>Hispanic!F1</f>
        <v>Hispanic or Latino</v>
      </c>
      <c r="G5" s="185"/>
      <c r="H5" s="184" t="str">
        <f>Asian!F1</f>
        <v>Asian</v>
      </c>
      <c r="I5" s="185"/>
      <c r="J5" s="184" t="str">
        <f>'Data Entry'!J5</f>
        <v>All Minorities</v>
      </c>
      <c r="K5" s="186"/>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25132</v>
      </c>
      <c r="D7" s="104">
        <f>'Data Entry'!D6</f>
        <v>1030</v>
      </c>
      <c r="E7" s="105"/>
      <c r="F7" s="106">
        <f>'Data Entry'!E6</f>
        <v>4859</v>
      </c>
      <c r="G7" s="105"/>
      <c r="H7" s="106">
        <f>'Data Entry'!F6</f>
        <v>1142</v>
      </c>
      <c r="I7" s="105"/>
      <c r="J7" s="106">
        <f>'Data Entry'!J6</f>
        <v>7142</v>
      </c>
      <c r="K7" s="107"/>
    </row>
    <row r="8" spans="2:30" s="1" customFormat="1" ht="15" customHeight="1">
      <c r="B8" s="121" t="s">
        <v>8</v>
      </c>
      <c r="C8" s="103">
        <f>'Data Entry'!C7</f>
        <v>472</v>
      </c>
      <c r="D8" s="104">
        <f>'Data Entry'!D7</f>
        <v>100</v>
      </c>
      <c r="E8" s="105">
        <f>'Black or African-American'!$G7</f>
        <v>5.1694915254237284</v>
      </c>
      <c r="F8" s="106">
        <f>'Data Entry'!E7</f>
        <v>1</v>
      </c>
      <c r="G8" s="105" t="str">
        <f>Hispanic!G7</f>
        <v>**</v>
      </c>
      <c r="H8" s="106">
        <f>'Data Entry'!F7</f>
        <v>5</v>
      </c>
      <c r="I8" s="105" t="str">
        <f>Asian!G7</f>
        <v>**</v>
      </c>
      <c r="J8" s="106">
        <f>'Data Entry'!J7</f>
        <v>111</v>
      </c>
      <c r="K8" s="107">
        <f>'All Minorities'!G7</f>
        <v>0.82753845715723184</v>
      </c>
      <c r="L8"/>
      <c r="N8" s="1">
        <f>'Black or African-American'!L7</f>
        <v>1</v>
      </c>
      <c r="O8" s="1">
        <f>Hispanic!L7</f>
        <v>20</v>
      </c>
      <c r="P8" s="1">
        <f>Asian!L7</f>
        <v>20</v>
      </c>
      <c r="Q8" s="1" t="e">
        <f>Hawaiian!L7</f>
        <v>#VALUE!</v>
      </c>
      <c r="R8" s="1">
        <f>'Am Indian'!L7</f>
        <v>119</v>
      </c>
      <c r="S8" s="1" t="e">
        <f>'Other - Mixed'!L7</f>
        <v>#VALUE!</v>
      </c>
      <c r="T8" s="1">
        <f>'All Minorities'!L7</f>
        <v>2</v>
      </c>
    </row>
    <row r="9" spans="2:30" s="1" customFormat="1" ht="15" customHeight="1">
      <c r="B9" s="121" t="s">
        <v>134</v>
      </c>
      <c r="C9" s="103">
        <f>'Data Entry'!C8</f>
        <v>0</v>
      </c>
      <c r="D9" s="108">
        <f>'Data Entry'!D8</f>
        <v>0</v>
      </c>
      <c r="E9" s="109" t="str">
        <f>'Black or African-American'!$G8</f>
        <v>--</v>
      </c>
      <c r="F9" s="110">
        <f>'Data Entry'!E8</f>
        <v>0</v>
      </c>
      <c r="G9" s="109" t="str">
        <f>Hispanic!G8</f>
        <v>--</v>
      </c>
      <c r="H9" s="110">
        <f>'Data Entry'!F8</f>
        <v>0</v>
      </c>
      <c r="I9" s="109" t="str">
        <f>Asian!G8</f>
        <v>--</v>
      </c>
      <c r="J9" s="110">
        <f>'Data Entry'!J8</f>
        <v>0</v>
      </c>
      <c r="K9" s="111" t="str">
        <f>'All Minorities'!G8</f>
        <v>--</v>
      </c>
      <c r="L9"/>
      <c r="N9" s="1" t="e">
        <f>'Black or African-American'!L8</f>
        <v>#VALUE!</v>
      </c>
      <c r="O9" s="1" t="e">
        <f>Hispanic!L8</f>
        <v>#VALUE!</v>
      </c>
      <c r="P9" s="1" t="e">
        <f>Asian!L8</f>
        <v>#VALUE!</v>
      </c>
      <c r="Q9" s="1" t="e">
        <f>Hawaiian!L8</f>
        <v>#VALUE!</v>
      </c>
      <c r="R9" s="1" t="e">
        <f>'Am Indian'!L8</f>
        <v>#VALUE!</v>
      </c>
      <c r="S9" s="1" t="e">
        <f>'Other - Mixed'!L8</f>
        <v>#VALUE!</v>
      </c>
      <c r="T9" s="1" t="e">
        <f>'All Minorities'!L8</f>
        <v>#VALUE!</v>
      </c>
    </row>
    <row r="10" spans="2:30" s="1" customFormat="1" ht="15" customHeight="1">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1"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c r="B12" s="121" t="s">
        <v>95</v>
      </c>
      <c r="C12" s="103">
        <f>'Data Entry'!C11</f>
        <v>0</v>
      </c>
      <c r="D12" s="112">
        <f>'Data Entry'!D11</f>
        <v>0</v>
      </c>
      <c r="E12" s="113" t="str">
        <f>'Black or African-American'!$G11</f>
        <v>--</v>
      </c>
      <c r="F12" s="114">
        <f>'Data Entry'!E11</f>
        <v>0</v>
      </c>
      <c r="G12" s="113" t="str">
        <f>Hispanic!G11</f>
        <v>--</v>
      </c>
      <c r="H12" s="114">
        <f>'Data Entry'!F11</f>
        <v>0</v>
      </c>
      <c r="I12" s="113" t="str">
        <f>Asian!G11</f>
        <v>--</v>
      </c>
      <c r="J12" s="114">
        <f>'Data Entry'!J11</f>
        <v>0</v>
      </c>
      <c r="K12" s="115"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c r="B13" s="121" t="s">
        <v>13</v>
      </c>
      <c r="C13" s="103">
        <f>'Data Entry'!C12</f>
        <v>0</v>
      </c>
      <c r="D13" s="108">
        <f>'Data Entry'!D12</f>
        <v>0</v>
      </c>
      <c r="E13" s="109" t="str">
        <f>'Black or African-American'!$G12</f>
        <v>--</v>
      </c>
      <c r="F13" s="110">
        <f>'Data Entry'!E12</f>
        <v>0</v>
      </c>
      <c r="G13" s="109" t="str">
        <f>Hispanic!G12</f>
        <v>--</v>
      </c>
      <c r="H13" s="110">
        <f>'Data Entry'!F12</f>
        <v>0</v>
      </c>
      <c r="I13" s="109" t="str">
        <f>Asian!G12</f>
        <v>--</v>
      </c>
      <c r="J13" s="110">
        <f>'Data Entry'!J12</f>
        <v>0</v>
      </c>
      <c r="K13" s="111"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8"/>
      <c r="X13" s="8"/>
      <c r="Y13" s="8"/>
      <c r="Z13" s="8"/>
      <c r="AA13" s="8"/>
      <c r="AB13" s="8"/>
      <c r="AC13" s="8"/>
      <c r="AD13" s="8"/>
    </row>
    <row r="14" spans="2:30" s="1" customFormat="1" ht="15" customHeight="1">
      <c r="B14" s="121" t="s">
        <v>14</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Entry'!J13</f>
        <v>0</v>
      </c>
      <c r="K14" s="115"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8"/>
      <c r="X14" s="8"/>
      <c r="Y14" s="8"/>
      <c r="Z14" s="8"/>
      <c r="AA14" s="8"/>
      <c r="AB14" s="8"/>
      <c r="AC14" s="8"/>
      <c r="AD14" s="8"/>
    </row>
    <row r="15" spans="2:30" s="1" customFormat="1" ht="33">
      <c r="B15" s="126"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Yes</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200" t="s">
        <v>120</v>
      </c>
      <c r="C19" s="201"/>
      <c r="D19" s="201"/>
      <c r="E19" s="201"/>
      <c r="F19" s="201"/>
      <c r="G19" s="201"/>
      <c r="H19" s="201"/>
      <c r="I19" s="202"/>
      <c r="J19" s="203"/>
      <c r="K19" s="204"/>
    </row>
    <row r="20" spans="2:30" ht="15.75">
      <c r="B20" s="153" t="s">
        <v>125</v>
      </c>
      <c r="C20" s="208" t="s">
        <v>53</v>
      </c>
      <c r="D20" s="209"/>
      <c r="E20" s="192" t="s">
        <v>56</v>
      </c>
      <c r="F20" s="193"/>
      <c r="G20" s="193"/>
      <c r="H20" s="193"/>
      <c r="I20" s="193"/>
      <c r="J20" s="193"/>
      <c r="K20" s="154" t="s">
        <v>57</v>
      </c>
    </row>
    <row r="21" spans="2:30" ht="15" customHeight="1">
      <c r="B21" s="155" t="s">
        <v>126</v>
      </c>
      <c r="C21" s="194" t="s">
        <v>55</v>
      </c>
      <c r="D21" s="195"/>
      <c r="E21" s="196" t="s">
        <v>58</v>
      </c>
      <c r="F21" s="197"/>
      <c r="G21" s="197"/>
      <c r="H21" s="197"/>
      <c r="I21" s="197"/>
      <c r="J21" s="197"/>
      <c r="K21" s="156" t="s">
        <v>59</v>
      </c>
    </row>
    <row r="22" spans="2:30" ht="15" customHeight="1" thickBot="1">
      <c r="B22" s="205"/>
      <c r="C22" s="206"/>
      <c r="D22" s="207"/>
      <c r="E22" s="198" t="s">
        <v>60</v>
      </c>
      <c r="F22" s="199"/>
      <c r="G22" s="199"/>
      <c r="H22" s="199"/>
      <c r="I22" s="199"/>
      <c r="J22" s="199"/>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Ottawa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25132</v>
      </c>
      <c r="D6" s="34"/>
      <c r="E6" s="33">
        <f>'Data Entry'!D6</f>
        <v>1030</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472</v>
      </c>
      <c r="D7" s="34">
        <f>IF((AND(C66&gt;0,C7&gt;0)),(C7/C66),0)</f>
        <v>18.780837179691229</v>
      </c>
      <c r="E7" s="33">
        <f>'Data Entry'!D7</f>
        <v>100</v>
      </c>
      <c r="F7" s="34">
        <f>IF((AND($E$7&gt;0,$D$66&gt;0)),($E$7/$D$66),0)</f>
        <v>97.087378640776691</v>
      </c>
      <c r="G7" s="39">
        <f>IF(L$6=100,"*",IF(M7=FALSE,"--",IF(K7=20,"**",($F7/$D7))))</f>
        <v>5.1694915254237284</v>
      </c>
      <c r="H7" s="40"/>
      <c r="I7" s="41"/>
      <c r="J7" s="40">
        <f>IF((ABS($U7)&gt;Defaults!D$7),1,2)</f>
        <v>1</v>
      </c>
      <c r="K7" s="39">
        <f>IF((AND(N7&gt;Defaults!B$12,(N7+O7)&gt;Defaults!B$13, P7 &gt; Defaults!B$12, (P7+Q7) &gt; Defaults!B$13)),1,20)</f>
        <v>1</v>
      </c>
      <c r="L7" s="1">
        <f>(J7*K7+L$6)-1</f>
        <v>1</v>
      </c>
      <c r="M7" s="1" t="b">
        <f t="shared" ref="M7:M15" si="0">(ISNUMBER(J7))</f>
        <v>1</v>
      </c>
      <c r="N7" s="42">
        <f t="shared" ref="N7:N15" si="1">E7</f>
        <v>100</v>
      </c>
      <c r="O7" s="42">
        <f>E6-E7</f>
        <v>930</v>
      </c>
      <c r="P7" s="42">
        <f t="shared" ref="P7:P15" si="2">C7</f>
        <v>472</v>
      </c>
      <c r="Q7" s="42">
        <f>C6-C7</f>
        <v>24660</v>
      </c>
      <c r="R7" s="42">
        <f t="shared" ref="R7:R15" si="3">SUM(N7:Q7)</f>
        <v>26162</v>
      </c>
      <c r="S7" s="30">
        <f t="shared" ref="S7:S15" si="4">R7*((((N7*Q7)-(O7*P7))^2))</f>
        <v>1.074968105697792E+17</v>
      </c>
      <c r="T7" s="30">
        <f t="shared" ref="T7:T15" si="5">(N7+O7)*(P7+Q7)*(N7+P7)*(O7+Q7)</f>
        <v>378905221780800</v>
      </c>
      <c r="U7" s="31">
        <f t="shared" ref="U7:U15" si="6">IF((S7&gt;0),S7/T7,"- -")</f>
        <v>283.70369261357672</v>
      </c>
    </row>
    <row r="8" spans="2:21" ht="18" customHeight="1">
      <c r="B8" s="32" t="str">
        <f>'Data Entry'!A8</f>
        <v>3. Refer to Juvenile Court</v>
      </c>
      <c r="C8" s="33">
        <f>'Data Entry'!C8</f>
        <v>0</v>
      </c>
      <c r="D8" s="34">
        <f>IF((AND(C67&gt;0,C8&gt;0)),(C8/C67),0)</f>
        <v>0</v>
      </c>
      <c r="E8" s="33">
        <f>'Data Entry'!D8</f>
        <v>0</v>
      </c>
      <c r="F8" s="34">
        <f>IF((AND($E$8&gt;0,$D$67&gt;0)),($E8/$D67),0)</f>
        <v>0</v>
      </c>
      <c r="G8" s="39" t="str">
        <f t="shared" ref="G8:G15" si="7">IF(L$6=100,"*",IF(M8=FALSE,"--",IF(K8=20,"**",($F8/$D8))))</f>
        <v>--</v>
      </c>
      <c r="H8" s="40"/>
      <c r="I8" s="41"/>
      <c r="J8" s="40" t="e">
        <f>IF((ABS($U8)&gt;Defaults!D$7),1,2)</f>
        <v>#VALUE!</v>
      </c>
      <c r="K8" s="39">
        <f>IF((AND(N8&gt;Defaults!B$12,(N8+O8)&gt;Defaults!B$13, P8 &gt; Defaults!B$12, (P8+Q8) &gt; Defaults!B$13)),1,20)</f>
        <v>20</v>
      </c>
      <c r="L8" s="1" t="e">
        <f t="shared" ref="L8:L15" si="8">(J8*K8+L$6)-1</f>
        <v>#VALUE!</v>
      </c>
      <c r="M8" s="1" t="b">
        <f t="shared" si="0"/>
        <v>0</v>
      </c>
      <c r="N8" s="42">
        <f t="shared" si="1"/>
        <v>0</v>
      </c>
      <c r="O8" s="42">
        <f>((D67*L67)-E8)+0.05</f>
        <v>100.05</v>
      </c>
      <c r="P8" s="42">
        <f t="shared" si="2"/>
        <v>0</v>
      </c>
      <c r="Q8" s="42">
        <f>(C$67*L67)-C8</f>
        <v>472</v>
      </c>
      <c r="R8" s="42">
        <f t="shared" si="3"/>
        <v>572.04999999999995</v>
      </c>
      <c r="S8" s="30">
        <f t="shared" si="4"/>
        <v>0</v>
      </c>
      <c r="T8" s="30">
        <f t="shared" si="5"/>
        <v>0</v>
      </c>
      <c r="U8" s="31" t="str">
        <f t="shared" si="6"/>
        <v>- -</v>
      </c>
    </row>
    <row r="9" spans="2:21" ht="18" customHeight="1">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100</v>
      </c>
      <c r="P9" s="42">
        <f t="shared" si="2"/>
        <v>0</v>
      </c>
      <c r="Q9" s="42">
        <f>(C$68*L68)-C9</f>
        <v>472</v>
      </c>
      <c r="R9" s="42">
        <f t="shared" si="3"/>
        <v>572</v>
      </c>
      <c r="S9" s="30">
        <f t="shared" si="4"/>
        <v>0</v>
      </c>
      <c r="T9" s="30">
        <f t="shared" si="5"/>
        <v>0</v>
      </c>
      <c r="U9" s="31" t="str">
        <f t="shared" si="6"/>
        <v>- -</v>
      </c>
    </row>
    <row r="10" spans="2:21" ht="18" customHeight="1">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100</v>
      </c>
      <c r="P10" s="42">
        <f t="shared" si="2"/>
        <v>0</v>
      </c>
      <c r="Q10" s="42">
        <f>(C$68*L68)-C10</f>
        <v>472</v>
      </c>
      <c r="R10" s="42">
        <f t="shared" si="3"/>
        <v>572</v>
      </c>
      <c r="S10" s="30">
        <f t="shared" si="4"/>
        <v>0</v>
      </c>
      <c r="T10" s="30">
        <f t="shared" si="5"/>
        <v>0</v>
      </c>
      <c r="U10" s="31" t="str">
        <f t="shared" si="6"/>
        <v>- -</v>
      </c>
    </row>
    <row r="11" spans="2:21" ht="18" customHeight="1">
      <c r="B11" s="32" t="str">
        <f>'Data Entry'!A11</f>
        <v>6. Cases Petitioned (Charge Filed)</v>
      </c>
      <c r="C11" s="33">
        <f>'Data Entry'!C11</f>
        <v>0</v>
      </c>
      <c r="D11" s="34">
        <f>IF(((AND(C68&gt;0,C11&gt;0))),(C11/(C68)),0)</f>
        <v>0</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100</v>
      </c>
      <c r="P11" s="42">
        <f t="shared" si="2"/>
        <v>0</v>
      </c>
      <c r="Q11" s="42">
        <f>(C$68*L68)-C11</f>
        <v>472</v>
      </c>
      <c r="R11" s="42">
        <f t="shared" si="3"/>
        <v>572</v>
      </c>
      <c r="S11" s="30">
        <f t="shared" si="4"/>
        <v>0</v>
      </c>
      <c r="T11" s="30">
        <f t="shared" si="5"/>
        <v>0</v>
      </c>
      <c r="U11" s="31" t="str">
        <f t="shared" si="6"/>
        <v>- -</v>
      </c>
    </row>
    <row r="12" spans="2:21" ht="18" customHeight="1">
      <c r="B12" s="32" t="str">
        <f>'Data Entry'!A12</f>
        <v>7. Cases Resulting in Delinquent Findings</v>
      </c>
      <c r="C12" s="33">
        <f>'Data Entry'!C12</f>
        <v>0</v>
      </c>
      <c r="D12" s="34">
        <f>IF(((AND(C69&gt;0,C12&gt;0))),(C12/(C69)),0)</f>
        <v>0</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100</v>
      </c>
      <c r="P12" s="42">
        <f t="shared" si="2"/>
        <v>0</v>
      </c>
      <c r="Q12" s="42">
        <f>(C69*L69)-C12</f>
        <v>472</v>
      </c>
      <c r="R12" s="42">
        <f t="shared" si="3"/>
        <v>572</v>
      </c>
      <c r="S12" s="30">
        <f t="shared" si="4"/>
        <v>0</v>
      </c>
      <c r="T12" s="30">
        <f t="shared" si="5"/>
        <v>0</v>
      </c>
      <c r="U12" s="31" t="str">
        <f t="shared" si="6"/>
        <v>- -</v>
      </c>
    </row>
    <row r="13" spans="2:21" ht="18" customHeight="1">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100</v>
      </c>
      <c r="P13" s="42">
        <f t="shared" si="2"/>
        <v>0</v>
      </c>
      <c r="Q13" s="42">
        <f>(C70*L70)-C13</f>
        <v>472</v>
      </c>
      <c r="R13" s="42">
        <f t="shared" si="3"/>
        <v>572</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100</v>
      </c>
      <c r="P14" s="42">
        <f t="shared" si="2"/>
        <v>0</v>
      </c>
      <c r="Q14" s="42">
        <f>(C70*L70)-C14</f>
        <v>472</v>
      </c>
      <c r="R14" s="42">
        <f t="shared" si="3"/>
        <v>572</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100</v>
      </c>
      <c r="P15" s="42">
        <f t="shared" si="2"/>
        <v>0</v>
      </c>
      <c r="Q15" s="42">
        <f>(C69*L69)-C15</f>
        <v>472</v>
      </c>
      <c r="R15" s="42">
        <f t="shared" si="3"/>
        <v>572</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25.132000000000001</v>
      </c>
      <c r="D42" s="56">
        <f>E6/1000</f>
        <v>1.03</v>
      </c>
      <c r="E42" s="56">
        <f>MAX(C42:D42)</f>
        <v>25.132000000000001</v>
      </c>
      <c r="G42" s="1" t="str">
        <f>B42</f>
        <v>per 1000 youth</v>
      </c>
      <c r="L42" s="57">
        <v>1000</v>
      </c>
      <c r="M42" s="57"/>
      <c r="R42" s="49"/>
    </row>
    <row r="43" spans="2:18" ht="15" hidden="1" customHeight="1">
      <c r="B43" s="49" t="s">
        <v>87</v>
      </c>
      <c r="C43" s="56">
        <f>C7/100</f>
        <v>4.72</v>
      </c>
      <c r="D43" s="56">
        <f>E7/100</f>
        <v>1</v>
      </c>
      <c r="E43" s="56">
        <f>MAX(C43:D43,0)</f>
        <v>4.72</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25.132000000000001</v>
      </c>
      <c r="D48" s="56">
        <f>D42</f>
        <v>1.03</v>
      </c>
      <c r="E48" s="56">
        <f>MAX(C48:D48)</f>
        <v>25.132000000000001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4.72</v>
      </c>
      <c r="D49" s="49">
        <f t="shared" si="9"/>
        <v>1</v>
      </c>
      <c r="E49" s="49">
        <f>MAX(C49:D49)</f>
        <v>4.72</v>
      </c>
      <c r="G49" s="1" t="str">
        <f>G43</f>
        <v>per 100 arrests</v>
      </c>
      <c r="L49" s="58">
        <f>IF(($E43&gt;0),L43,L42)</f>
        <v>100</v>
      </c>
      <c r="M49" s="58"/>
      <c r="N49" s="21"/>
      <c r="O49" s="21"/>
      <c r="P49" s="21"/>
      <c r="Q49" s="21"/>
      <c r="R49" s="21"/>
    </row>
    <row r="50" spans="2:18" ht="15" hidden="1" customHeight="1">
      <c r="B50" s="49" t="str">
        <f t="shared" si="9"/>
        <v>per 100 arrests</v>
      </c>
      <c r="C50" s="49">
        <f t="shared" si="9"/>
        <v>4.72</v>
      </c>
      <c r="D50" s="49">
        <f t="shared" si="9"/>
        <v>1</v>
      </c>
      <c r="E50" s="49">
        <f>MAX(C50:D50)</f>
        <v>4.72</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25.132000000000001</v>
      </c>
      <c r="D54" s="56">
        <f>D48</f>
        <v>1.03</v>
      </c>
      <c r="E54" s="56">
        <f>MAX(C54:D54)</f>
        <v>25.132000000000001</v>
      </c>
      <c r="G54" s="1" t="str">
        <f>G48</f>
        <v>per 1000 youth</v>
      </c>
      <c r="L54" s="58">
        <f>L48</f>
        <v>1000</v>
      </c>
      <c r="M54" s="58"/>
    </row>
    <row r="55" spans="2:18" ht="15" hidden="1" customHeight="1">
      <c r="B55" s="49" t="str">
        <f t="shared" ref="B55:D56" si="10">IF(($E49&gt;0),B49,B48)</f>
        <v>per 100 arrests</v>
      </c>
      <c r="C55" s="49">
        <f t="shared" si="10"/>
        <v>4.72</v>
      </c>
      <c r="D55" s="49">
        <f t="shared" si="10"/>
        <v>1</v>
      </c>
      <c r="E55" s="49">
        <f>MAX(C55:D55)</f>
        <v>4.72</v>
      </c>
      <c r="G55" s="1" t="str">
        <f>G49</f>
        <v>per 100 arrests</v>
      </c>
      <c r="L55" s="58">
        <f>IF(($E49&gt;0),L49,L48)</f>
        <v>100</v>
      </c>
      <c r="M55" s="58"/>
    </row>
    <row r="56" spans="2:18" ht="15" hidden="1" customHeight="1">
      <c r="B56" s="49" t="str">
        <f t="shared" si="10"/>
        <v>per 100 arrests</v>
      </c>
      <c r="C56" s="49">
        <f t="shared" si="10"/>
        <v>4.72</v>
      </c>
      <c r="D56" s="49">
        <f t="shared" si="10"/>
        <v>1</v>
      </c>
      <c r="E56" s="49">
        <f>MAX(C56:D56)</f>
        <v>4.72</v>
      </c>
      <c r="G56" s="1" t="str">
        <f>G50</f>
        <v>per 100 referrals</v>
      </c>
      <c r="L56" s="58">
        <f>IF(($E50&gt;0),L50,L49)</f>
        <v>100</v>
      </c>
      <c r="M56" s="58"/>
    </row>
    <row r="57" spans="2:18" ht="15" hidden="1" customHeight="1">
      <c r="B57" s="49" t="str">
        <f>IF(($E51&gt;0),B51,B49)</f>
        <v>per 100 arrests</v>
      </c>
      <c r="C57" s="49">
        <f>IF(($E51&gt;0),C51,C50)</f>
        <v>4.72</v>
      </c>
      <c r="D57" s="49">
        <f>IF(($E51&gt;0),D51,D50)</f>
        <v>1</v>
      </c>
      <c r="E57" s="49">
        <f>MAX(C57:D57)</f>
        <v>4.72</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25.132000000000001</v>
      </c>
      <c r="D60" s="56">
        <f>D54</f>
        <v>1.03</v>
      </c>
      <c r="E60" s="56">
        <f>MAX(C60:D60)</f>
        <v>25.132000000000001</v>
      </c>
      <c r="G60" s="1" t="str">
        <f>G54</f>
        <v>per 1000 youth</v>
      </c>
      <c r="L60" s="58">
        <f>L54</f>
        <v>1000</v>
      </c>
      <c r="M60" s="58"/>
    </row>
    <row r="61" spans="2:18" ht="15" hidden="1" customHeight="1">
      <c r="B61" s="49" t="str">
        <f t="shared" ref="B61:D62" si="11">IF(($E55&gt;0),B55,B54)</f>
        <v>per 100 arrests</v>
      </c>
      <c r="C61" s="49">
        <f t="shared" si="11"/>
        <v>4.72</v>
      </c>
      <c r="D61" s="49">
        <f t="shared" si="11"/>
        <v>1</v>
      </c>
      <c r="E61" s="49">
        <f>MAX(C61:D61)</f>
        <v>4.72</v>
      </c>
      <c r="G61" s="1" t="str">
        <f>G55</f>
        <v>per 100 arrests</v>
      </c>
      <c r="L61" s="58">
        <f>IF(($E55&gt;0),L55,L54)</f>
        <v>100</v>
      </c>
      <c r="M61" s="58"/>
    </row>
    <row r="62" spans="2:18" ht="15" hidden="1" customHeight="1">
      <c r="B62" s="49" t="str">
        <f t="shared" si="11"/>
        <v>per 100 arrests</v>
      </c>
      <c r="C62" s="49">
        <f t="shared" si="11"/>
        <v>4.72</v>
      </c>
      <c r="D62" s="49">
        <f t="shared" si="11"/>
        <v>1</v>
      </c>
      <c r="E62" s="49">
        <f>MAX(C62:D62)</f>
        <v>4.72</v>
      </c>
      <c r="G62" s="1" t="str">
        <f>G56</f>
        <v>per 100 referrals</v>
      </c>
      <c r="L62" s="58">
        <f>IF(($E56&gt;0),L56,L55)</f>
        <v>100</v>
      </c>
      <c r="M62" s="58"/>
    </row>
    <row r="63" spans="2:18" ht="15" hidden="1" customHeight="1">
      <c r="B63" s="49" t="str">
        <f>IF(($E57&gt;0),B57,B55)</f>
        <v>per 100 arrests</v>
      </c>
      <c r="C63" s="49">
        <f>IF(($E57&gt;0),C57,C56)</f>
        <v>4.72</v>
      </c>
      <c r="D63" s="49">
        <f>IF(($E57&gt;0),D57,D56)</f>
        <v>1</v>
      </c>
      <c r="E63" s="49">
        <f>MAX(C63:D63)</f>
        <v>4.72</v>
      </c>
      <c r="G63" s="1" t="str">
        <f>G57</f>
        <v>per 100 youth petitioned</v>
      </c>
      <c r="L63" s="58">
        <f>IF(($E57&gt;0),L57,L56)</f>
        <v>100</v>
      </c>
      <c r="M63" s="58"/>
    </row>
    <row r="64" spans="2:18" ht="15" hidden="1" customHeight="1">
      <c r="B64" s="49" t="str">
        <f>IF(($E58&gt;0),B58,B57)</f>
        <v>per 100 arrests</v>
      </c>
      <c r="C64" s="49">
        <f>IF(($E58&gt;0),C58,C57)</f>
        <v>4.72</v>
      </c>
      <c r="D64" s="49">
        <f>IF(($E58&gt;0),D58,D57)</f>
        <v>1</v>
      </c>
      <c r="E64" s="56">
        <f>MAX(C64:D64)</f>
        <v>4.72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25.132000000000001</v>
      </c>
      <c r="D66" s="56">
        <f>D60</f>
        <v>1.03</v>
      </c>
      <c r="E66" s="56">
        <f>MAX(C66:D66)</f>
        <v>25.132000000000001</v>
      </c>
      <c r="G66" s="1" t="str">
        <f>G60</f>
        <v>per 1000 youth</v>
      </c>
      <c r="L66" s="58">
        <f>L60</f>
        <v>1000</v>
      </c>
      <c r="M66" s="58">
        <f>IF((B66=G66),1,2)</f>
        <v>1</v>
      </c>
    </row>
    <row r="67" spans="2:13" ht="15" hidden="1" customHeight="1">
      <c r="B67" s="49" t="str">
        <f t="shared" ref="B67:D68" si="12">IF(($E61&gt;0),B61,B60)</f>
        <v>per 100 arrests</v>
      </c>
      <c r="C67" s="49">
        <f t="shared" si="12"/>
        <v>4.72</v>
      </c>
      <c r="D67" s="49">
        <f t="shared" si="12"/>
        <v>1</v>
      </c>
      <c r="E67" s="49">
        <f>MAX(C67:D67)</f>
        <v>4.72</v>
      </c>
      <c r="G67" s="1" t="str">
        <f>G61</f>
        <v>per 100 arrests</v>
      </c>
      <c r="L67" s="58">
        <f>IF(($E61&gt;0),L61,L60)</f>
        <v>100</v>
      </c>
      <c r="M67" s="58">
        <f>IF((B67=G67),1,2)</f>
        <v>1</v>
      </c>
    </row>
    <row r="68" spans="2:13" ht="15" hidden="1" customHeight="1">
      <c r="B68" s="49" t="str">
        <f t="shared" si="12"/>
        <v>per 100 arrests</v>
      </c>
      <c r="C68" s="49">
        <f t="shared" si="12"/>
        <v>4.72</v>
      </c>
      <c r="D68" s="49">
        <f t="shared" si="12"/>
        <v>1</v>
      </c>
      <c r="E68" s="49">
        <f>MAX(C68:D68)</f>
        <v>4.72</v>
      </c>
      <c r="G68" s="1" t="str">
        <f>G62</f>
        <v>per 100 referrals</v>
      </c>
      <c r="L68" s="58">
        <f>IF(($E62&gt;0),L62,L61)</f>
        <v>100</v>
      </c>
      <c r="M68" s="58">
        <f>IF((B68=G68),1,2)</f>
        <v>2</v>
      </c>
    </row>
    <row r="69" spans="2:13" ht="15" hidden="1" customHeight="1">
      <c r="B69" s="49" t="str">
        <f>IF(($E63&gt;0),B63,B61)</f>
        <v>per 100 arrests</v>
      </c>
      <c r="C69" s="49">
        <f>IF(($E63&gt;0),C63,C62)</f>
        <v>4.72</v>
      </c>
      <c r="D69" s="49">
        <f>IF(($E63&gt;0),D63,D62)</f>
        <v>1</v>
      </c>
      <c r="E69" s="49">
        <f>MAX(C69:D69)</f>
        <v>4.72</v>
      </c>
      <c r="G69" s="1" t="str">
        <f>G63</f>
        <v>per 100 youth petitioned</v>
      </c>
      <c r="L69" s="58">
        <f>IF(($E63&gt;0),L63,L62)</f>
        <v>100</v>
      </c>
      <c r="M69" s="58">
        <f>IF((B69=G69),1,2)</f>
        <v>2</v>
      </c>
    </row>
    <row r="70" spans="2:13" ht="15" hidden="1" customHeight="1">
      <c r="B70" s="49" t="str">
        <f>IF(($E64&gt;0),B64,B63)</f>
        <v>per 100 arrests</v>
      </c>
      <c r="C70" s="49">
        <f>IF(($E64&gt;0),C64,C63)</f>
        <v>4.72</v>
      </c>
      <c r="D70" s="49">
        <f>IF(($E64&gt;0),D64,D63)</f>
        <v>1</v>
      </c>
      <c r="E70" s="56">
        <f>MAX(C70:D70)</f>
        <v>4.72</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Ottawa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25132</v>
      </c>
      <c r="D6" s="34"/>
      <c r="E6" s="33">
        <f>'Data Entry'!F6</f>
        <v>1142</v>
      </c>
      <c r="F6" s="34"/>
      <c r="G6" s="35"/>
      <c r="H6" s="36"/>
      <c r="I6" s="37"/>
      <c r="J6" s="38"/>
      <c r="K6" s="37"/>
      <c r="L6" s="1">
        <f>IF( ('Data Entry'!F6&gt;('Data Entry'!B6/100)),1,100)</f>
        <v>1</v>
      </c>
      <c r="M6" s="1" t="s">
        <v>50</v>
      </c>
      <c r="N6" s="21"/>
      <c r="O6" s="21"/>
      <c r="P6" s="21"/>
      <c r="Q6" s="21"/>
      <c r="R6" s="21"/>
      <c r="S6" s="30"/>
      <c r="T6" s="30"/>
      <c r="U6" s="31"/>
    </row>
    <row r="7" spans="2:21" ht="18" customHeight="1">
      <c r="B7" s="32" t="str">
        <f>'Data Entry'!A7</f>
        <v xml:space="preserve">2. Juvenile Arrests </v>
      </c>
      <c r="C7" s="33">
        <f>'Data Entry'!C7</f>
        <v>472</v>
      </c>
      <c r="D7" s="34">
        <f>IF((AND(C66&gt;0,C7&gt;0)),(C7/C66),0)</f>
        <v>18.780837179691229</v>
      </c>
      <c r="E7" s="33">
        <f>'Data Entry'!F7</f>
        <v>5</v>
      </c>
      <c r="F7" s="34">
        <f>IF((AND($E$7&gt;0,$D$66&gt;0)),($E$7/$D$66),0)</f>
        <v>4.3782837127845884</v>
      </c>
      <c r="G7" s="39" t="str">
        <f t="shared" ref="G7:G15" si="0">IF(L$6=100,"*",IF(M7=FALSE,"--",IF(K7=20,"**",($F7/$D7))))</f>
        <v>**</v>
      </c>
      <c r="H7" s="40"/>
      <c r="I7" s="41"/>
      <c r="J7" s="40">
        <f>IF((ABS($U7)&gt;Defaults!D$7),1,2)</f>
        <v>1</v>
      </c>
      <c r="K7" s="39">
        <f>IF((AND(N7&gt;Defaults!B$12,(N7+O7)&gt;Defaults!B$13, P7 &gt; Defaults!B$12, (P7+Q7) &gt; Defaults!B$13)),1,20)</f>
        <v>20</v>
      </c>
      <c r="L7" s="1">
        <f t="shared" ref="L7:L15" si="1">(J7*K7+L$6)-1</f>
        <v>20</v>
      </c>
      <c r="M7" s="1" t="b">
        <f t="shared" ref="M7:M15" si="2">(ISNUMBER(J7))</f>
        <v>1</v>
      </c>
      <c r="N7" s="42">
        <f t="shared" ref="N7:N15" si="3">E7</f>
        <v>5</v>
      </c>
      <c r="O7" s="42">
        <f>E6-E7</f>
        <v>1137</v>
      </c>
      <c r="P7" s="42">
        <f t="shared" ref="P7:P15" si="4">C7</f>
        <v>472</v>
      </c>
      <c r="Q7" s="42">
        <f>C6-C7</f>
        <v>24660</v>
      </c>
      <c r="R7" s="42">
        <f t="shared" ref="R7:R15" si="5">SUM(N7:Q7)</f>
        <v>26274</v>
      </c>
      <c r="S7" s="30">
        <f t="shared" ref="S7:S15" si="6">R7*((((N7*Q7)-(O7*P7))^2))</f>
        <v>4489433033135904</v>
      </c>
      <c r="T7" s="30">
        <f t="shared" ref="T7:T15" si="7">(N7+O7)*(P7+Q7)*(N7+P7)*(O7+Q7)</f>
        <v>353167505345736</v>
      </c>
      <c r="U7" s="31">
        <f t="shared" ref="U7:U15" si="8">IF((S7&gt;0),S7/T7,"- -")</f>
        <v>12.711908556652004</v>
      </c>
    </row>
    <row r="8" spans="2:21" ht="18" customHeight="1">
      <c r="B8" s="32" t="str">
        <f>'Data Entry'!A8</f>
        <v>3. Refer to Juvenile Court</v>
      </c>
      <c r="C8" s="33">
        <f>'Data Entry'!C8</f>
        <v>0</v>
      </c>
      <c r="D8" s="34">
        <f>IF((AND(C67&gt;0,C8&gt;0)),(C8/C67),0)</f>
        <v>0</v>
      </c>
      <c r="E8" s="33">
        <f>'Data Entry'!F8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5.05</v>
      </c>
      <c r="P8" s="42">
        <f t="shared" si="4"/>
        <v>0</v>
      </c>
      <c r="Q8" s="42">
        <f>(C$67*L67)-C8</f>
        <v>472</v>
      </c>
      <c r="R8" s="42">
        <f t="shared" si="5"/>
        <v>477.05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5</v>
      </c>
      <c r="P9" s="42">
        <f t="shared" si="4"/>
        <v>0</v>
      </c>
      <c r="Q9" s="42">
        <f>(C$68*L68)-C9</f>
        <v>472</v>
      </c>
      <c r="R9" s="42">
        <f t="shared" si="5"/>
        <v>477</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5</v>
      </c>
      <c r="P10" s="42">
        <f t="shared" si="4"/>
        <v>0</v>
      </c>
      <c r="Q10" s="42">
        <f>(C$68*L68)-C10</f>
        <v>472</v>
      </c>
      <c r="R10" s="42">
        <f t="shared" si="5"/>
        <v>477</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5</v>
      </c>
      <c r="P11" s="42">
        <f t="shared" si="4"/>
        <v>0</v>
      </c>
      <c r="Q11" s="42">
        <f>(C$68*L68)-C11</f>
        <v>472</v>
      </c>
      <c r="R11" s="42">
        <f t="shared" si="5"/>
        <v>477</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5</v>
      </c>
      <c r="P12" s="42">
        <f t="shared" si="4"/>
        <v>0</v>
      </c>
      <c r="Q12" s="42">
        <f>(C69*L69)-C12</f>
        <v>472</v>
      </c>
      <c r="R12" s="42">
        <f t="shared" si="5"/>
        <v>477</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5</v>
      </c>
      <c r="P13" s="42">
        <f t="shared" si="4"/>
        <v>0</v>
      </c>
      <c r="Q13" s="42">
        <f>(C70*L70)-C13</f>
        <v>472</v>
      </c>
      <c r="R13" s="42">
        <f t="shared" si="5"/>
        <v>477</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5</v>
      </c>
      <c r="P14" s="42">
        <f t="shared" si="4"/>
        <v>0</v>
      </c>
      <c r="Q14" s="42">
        <f>(C70*L70)-C14</f>
        <v>472</v>
      </c>
      <c r="R14" s="42">
        <f t="shared" si="5"/>
        <v>477</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5</v>
      </c>
      <c r="P15" s="42">
        <f t="shared" si="4"/>
        <v>0</v>
      </c>
      <c r="Q15" s="42">
        <f>(C69*L69)-C15</f>
        <v>472</v>
      </c>
      <c r="R15" s="42">
        <f t="shared" si="5"/>
        <v>477</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25.132000000000001</v>
      </c>
      <c r="D42" s="56">
        <f>E6/1000</f>
        <v>1.1419999999999999</v>
      </c>
      <c r="E42" s="56">
        <f>MAX(C42:D42)</f>
        <v>25.132000000000001</v>
      </c>
      <c r="G42" s="1" t="str">
        <f>B42</f>
        <v>per 1000 youth</v>
      </c>
      <c r="L42" s="57">
        <v>1000</v>
      </c>
      <c r="M42" s="57"/>
      <c r="R42" s="49"/>
    </row>
    <row r="43" spans="2:18" ht="15" hidden="1" customHeight="1">
      <c r="B43" s="49" t="s">
        <v>87</v>
      </c>
      <c r="C43" s="56">
        <f>C7/100</f>
        <v>4.72</v>
      </c>
      <c r="D43" s="56">
        <f>E7/100</f>
        <v>0.05</v>
      </c>
      <c r="E43" s="56">
        <f>MAX(C43:D43,0)</f>
        <v>4.72</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25.132000000000001</v>
      </c>
      <c r="D48" s="56">
        <f>D42</f>
        <v>1.1419999999999999</v>
      </c>
      <c r="E48" s="56">
        <f>MAX(C48:D48)</f>
        <v>25.132000000000001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4.72</v>
      </c>
      <c r="D49" s="49">
        <f t="shared" si="9"/>
        <v>0.05</v>
      </c>
      <c r="E49" s="49">
        <f>MAX(C49:D49)</f>
        <v>4.72</v>
      </c>
      <c r="G49" s="1" t="str">
        <f>G43</f>
        <v>per 100 arrests</v>
      </c>
      <c r="L49" s="58">
        <f>IF(($E43&gt;0),L43,L42)</f>
        <v>100</v>
      </c>
      <c r="M49" s="58"/>
      <c r="N49" s="21"/>
      <c r="O49" s="21"/>
      <c r="P49" s="21"/>
      <c r="Q49" s="21"/>
      <c r="R49" s="21"/>
    </row>
    <row r="50" spans="2:18" ht="15" hidden="1" customHeight="1">
      <c r="B50" s="49" t="str">
        <f t="shared" si="9"/>
        <v>per 100 arrests</v>
      </c>
      <c r="C50" s="49">
        <f t="shared" si="9"/>
        <v>4.72</v>
      </c>
      <c r="D50" s="49">
        <f t="shared" si="9"/>
        <v>0.05</v>
      </c>
      <c r="E50" s="49">
        <f>MAX(C50:D50)</f>
        <v>4.72</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25.132000000000001</v>
      </c>
      <c r="D54" s="56">
        <f>D48</f>
        <v>1.1419999999999999</v>
      </c>
      <c r="E54" s="56">
        <f>MAX(C54:D54)</f>
        <v>25.132000000000001</v>
      </c>
      <c r="G54" s="1" t="str">
        <f>G48</f>
        <v>per 1000 youth</v>
      </c>
      <c r="L54" s="58">
        <f>L48</f>
        <v>1000</v>
      </c>
      <c r="M54" s="58"/>
    </row>
    <row r="55" spans="2:18" ht="15" hidden="1" customHeight="1">
      <c r="B55" s="49" t="str">
        <f t="shared" ref="B55:D56" si="10">IF(($E49&gt;0),B49,B48)</f>
        <v>per 100 arrests</v>
      </c>
      <c r="C55" s="49">
        <f t="shared" si="10"/>
        <v>4.72</v>
      </c>
      <c r="D55" s="49">
        <f t="shared" si="10"/>
        <v>0.05</v>
      </c>
      <c r="E55" s="49">
        <f>MAX(C55:D55)</f>
        <v>4.72</v>
      </c>
      <c r="G55" s="1" t="str">
        <f>G49</f>
        <v>per 100 arrests</v>
      </c>
      <c r="L55" s="58">
        <f>IF(($E49&gt;0),L49,L48)</f>
        <v>100</v>
      </c>
      <c r="M55" s="58"/>
    </row>
    <row r="56" spans="2:18" ht="15" hidden="1" customHeight="1">
      <c r="B56" s="49" t="str">
        <f t="shared" si="10"/>
        <v>per 100 arrests</v>
      </c>
      <c r="C56" s="49">
        <f t="shared" si="10"/>
        <v>4.72</v>
      </c>
      <c r="D56" s="49">
        <f t="shared" si="10"/>
        <v>0.05</v>
      </c>
      <c r="E56" s="49">
        <f>MAX(C56:D56)</f>
        <v>4.72</v>
      </c>
      <c r="G56" s="1" t="str">
        <f>G50</f>
        <v>per 100 referrals</v>
      </c>
      <c r="L56" s="58">
        <f>IF(($E50&gt;0),L50,L49)</f>
        <v>100</v>
      </c>
      <c r="M56" s="58"/>
    </row>
    <row r="57" spans="2:18" ht="15" hidden="1" customHeight="1">
      <c r="B57" s="49" t="str">
        <f>IF(($E51&gt;0),B51,B49)</f>
        <v>per 100 arrests</v>
      </c>
      <c r="C57" s="49">
        <f>IF(($E51&gt;0),C51,C50)</f>
        <v>4.72</v>
      </c>
      <c r="D57" s="49">
        <f>IF(($E51&gt;0),D51,D50)</f>
        <v>0.05</v>
      </c>
      <c r="E57" s="49">
        <f>MAX(C57:D57)</f>
        <v>4.72</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25.132000000000001</v>
      </c>
      <c r="D60" s="56">
        <f>D54</f>
        <v>1.1419999999999999</v>
      </c>
      <c r="E60" s="56">
        <f>MAX(C60:D60)</f>
        <v>25.132000000000001</v>
      </c>
      <c r="G60" s="1" t="str">
        <f>G54</f>
        <v>per 1000 youth</v>
      </c>
      <c r="L60" s="58">
        <f>L54</f>
        <v>1000</v>
      </c>
      <c r="M60" s="58"/>
    </row>
    <row r="61" spans="2:18" ht="15" hidden="1" customHeight="1">
      <c r="B61" s="49" t="str">
        <f t="shared" ref="B61:D62" si="11">IF(($E55&gt;0),B55,B54)</f>
        <v>per 100 arrests</v>
      </c>
      <c r="C61" s="49">
        <f t="shared" si="11"/>
        <v>4.72</v>
      </c>
      <c r="D61" s="49">
        <f t="shared" si="11"/>
        <v>0.05</v>
      </c>
      <c r="E61" s="49">
        <f>MAX(C61:D61)</f>
        <v>4.72</v>
      </c>
      <c r="G61" s="1" t="str">
        <f>G55</f>
        <v>per 100 arrests</v>
      </c>
      <c r="L61" s="58">
        <f>IF(($E55&gt;0),L55,L54)</f>
        <v>100</v>
      </c>
      <c r="M61" s="58"/>
    </row>
    <row r="62" spans="2:18" ht="15" hidden="1" customHeight="1">
      <c r="B62" s="49" t="str">
        <f t="shared" si="11"/>
        <v>per 100 arrests</v>
      </c>
      <c r="C62" s="49">
        <f t="shared" si="11"/>
        <v>4.72</v>
      </c>
      <c r="D62" s="49">
        <f t="shared" si="11"/>
        <v>0.05</v>
      </c>
      <c r="E62" s="49">
        <f>MAX(C62:D62)</f>
        <v>4.72</v>
      </c>
      <c r="G62" s="1" t="str">
        <f>G56</f>
        <v>per 100 referrals</v>
      </c>
      <c r="L62" s="58">
        <f>IF(($E56&gt;0),L56,L55)</f>
        <v>100</v>
      </c>
      <c r="M62" s="58"/>
    </row>
    <row r="63" spans="2:18" ht="15" hidden="1" customHeight="1">
      <c r="B63" s="49" t="str">
        <f>IF(($E57&gt;0),B57,B55)</f>
        <v>per 100 arrests</v>
      </c>
      <c r="C63" s="49">
        <f>IF(($E57&gt;0),C57,C56)</f>
        <v>4.72</v>
      </c>
      <c r="D63" s="49">
        <f>IF(($E57&gt;0),D57,D56)</f>
        <v>0.05</v>
      </c>
      <c r="E63" s="49">
        <f>MAX(C63:D63)</f>
        <v>4.72</v>
      </c>
      <c r="G63" s="1" t="str">
        <f>G57</f>
        <v>per 100 youth petitioned</v>
      </c>
      <c r="L63" s="58">
        <f>IF(($E57&gt;0),L57,L56)</f>
        <v>100</v>
      </c>
      <c r="M63" s="58"/>
    </row>
    <row r="64" spans="2:18" ht="15" hidden="1" customHeight="1">
      <c r="B64" s="49" t="str">
        <f>IF(($E58&gt;0),B58,B57)</f>
        <v>per 100 arrests</v>
      </c>
      <c r="C64" s="49">
        <f>IF(($E58&gt;0),C58,C57)</f>
        <v>4.72</v>
      </c>
      <c r="D64" s="49">
        <f>IF(($E58&gt;0),D58,D57)</f>
        <v>0.05</v>
      </c>
      <c r="E64" s="56">
        <f>MAX(C64:D64)</f>
        <v>4.72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25.132000000000001</v>
      </c>
      <c r="D66" s="56">
        <f>D60</f>
        <v>1.1419999999999999</v>
      </c>
      <c r="E66" s="56">
        <f>MAX(C66:D66)</f>
        <v>25.132000000000001</v>
      </c>
      <c r="G66" s="1" t="str">
        <f>G60</f>
        <v>per 1000 youth</v>
      </c>
      <c r="L66" s="58">
        <f>L60</f>
        <v>1000</v>
      </c>
      <c r="M66" s="58">
        <f>IF((B66=G66),1,2)</f>
        <v>1</v>
      </c>
    </row>
    <row r="67" spans="2:13" ht="15" hidden="1" customHeight="1">
      <c r="B67" s="49" t="str">
        <f t="shared" ref="B67:D68" si="12">IF(($E61&gt;0),B61,B60)</f>
        <v>per 100 arrests</v>
      </c>
      <c r="C67" s="49">
        <f t="shared" si="12"/>
        <v>4.72</v>
      </c>
      <c r="D67" s="49">
        <f t="shared" si="12"/>
        <v>0.05</v>
      </c>
      <c r="E67" s="49">
        <f>MAX(C67:D67)</f>
        <v>4.72</v>
      </c>
      <c r="G67" s="1" t="str">
        <f>G61</f>
        <v>per 100 arrests</v>
      </c>
      <c r="L67" s="58">
        <f>IF(($E61&gt;0),L61,L60)</f>
        <v>100</v>
      </c>
      <c r="M67" s="58">
        <f>IF((B67=G67),1,2)</f>
        <v>1</v>
      </c>
    </row>
    <row r="68" spans="2:13" ht="15" hidden="1" customHeight="1">
      <c r="B68" s="49" t="str">
        <f t="shared" si="12"/>
        <v>per 100 arrests</v>
      </c>
      <c r="C68" s="49">
        <f t="shared" si="12"/>
        <v>4.72</v>
      </c>
      <c r="D68" s="49">
        <f t="shared" si="12"/>
        <v>0.05</v>
      </c>
      <c r="E68" s="49">
        <f>MAX(C68:D68)</f>
        <v>4.72</v>
      </c>
      <c r="G68" s="1" t="str">
        <f>G62</f>
        <v>per 100 referrals</v>
      </c>
      <c r="L68" s="58">
        <f>IF(($E62&gt;0),L62,L61)</f>
        <v>100</v>
      </c>
      <c r="M68" s="58">
        <f>IF((B68=G68),1,2)</f>
        <v>2</v>
      </c>
    </row>
    <row r="69" spans="2:13" ht="15" hidden="1" customHeight="1">
      <c r="B69" s="49" t="str">
        <f>IF(($E63&gt;0),B63,B61)</f>
        <v>per 100 arrests</v>
      </c>
      <c r="C69" s="49">
        <f>IF(($E63&gt;0),C63,C62)</f>
        <v>4.72</v>
      </c>
      <c r="D69" s="49">
        <f>IF(($E63&gt;0),D63,D62)</f>
        <v>0.05</v>
      </c>
      <c r="E69" s="49">
        <f>MAX(C69:D69)</f>
        <v>4.72</v>
      </c>
      <c r="G69" s="1" t="str">
        <f>G63</f>
        <v>per 100 youth petitioned</v>
      </c>
      <c r="L69" s="58">
        <f>IF(($E63&gt;0),L63,L62)</f>
        <v>100</v>
      </c>
      <c r="M69" s="58">
        <f>IF((B69=G69),1,2)</f>
        <v>2</v>
      </c>
    </row>
    <row r="70" spans="2:13" ht="15" hidden="1" customHeight="1">
      <c r="B70" s="49" t="str">
        <f>IF(($E64&gt;0),B64,B63)</f>
        <v>per 100 arrests</v>
      </c>
      <c r="C70" s="49">
        <f>IF(($E64&gt;0),C64,C63)</f>
        <v>4.72</v>
      </c>
      <c r="D70" s="49">
        <f>IF(($E64&gt;0),D64,D63)</f>
        <v>0.05</v>
      </c>
      <c r="E70" s="56">
        <f>MAX(C70:D70)</f>
        <v>4.72</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Ottawa</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25132</v>
      </c>
      <c r="D6" s="34"/>
      <c r="E6" s="33">
        <f>'Data Entry'!E6</f>
        <v>4859</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472</v>
      </c>
      <c r="D7" s="34">
        <f>IF((AND(C66&gt;0,C7&gt;0)),(C7/C66),0)</f>
        <v>18.780837179691229</v>
      </c>
      <c r="E7" s="33">
        <f>'Data Entry'!E7</f>
        <v>1</v>
      </c>
      <c r="F7" s="34">
        <f>IF((AND($E$7&gt;0,$D$66&gt;0)),($E$7/$D$66),0)</f>
        <v>0.20580366330520683</v>
      </c>
      <c r="G7" s="39" t="str">
        <f t="shared" ref="G7:G15" si="0">IF(L$6=100,"*",IF(M7=FALSE,"--",IF(K7=20,"**",($F7/$D7))))</f>
        <v>**</v>
      </c>
      <c r="H7" s="40"/>
      <c r="I7" s="41"/>
      <c r="J7" s="40">
        <f>IF((ABS($U7)&gt;Defaults!D$7),1,2)</f>
        <v>1</v>
      </c>
      <c r="K7" s="39">
        <f>IF((AND(N7&gt;Defaults!B$12,(N7+O7)&gt;Defaults!B$13, P7 &gt; Defaults!B$12, (P7+Q7) &gt; Defaults!B$13)),1,20)</f>
        <v>20</v>
      </c>
      <c r="L7" s="1">
        <f t="shared" ref="L7:L15" si="1">(J7*K7+L$6)-1</f>
        <v>20</v>
      </c>
      <c r="M7" s="1" t="b">
        <f t="shared" ref="M7:M15" si="2">(ISNUMBER(J7))</f>
        <v>1</v>
      </c>
      <c r="N7" s="42">
        <f t="shared" ref="N7:N15" si="3">E7</f>
        <v>1</v>
      </c>
      <c r="O7" s="42">
        <f>E6-E7</f>
        <v>4858</v>
      </c>
      <c r="P7" s="42">
        <f t="shared" ref="P7:P15" si="4">C7</f>
        <v>472</v>
      </c>
      <c r="Q7" s="42">
        <f>C6-C7</f>
        <v>24660</v>
      </c>
      <c r="R7" s="42">
        <f t="shared" ref="R7:R15" si="5">SUM(N7:Q7)</f>
        <v>29991</v>
      </c>
      <c r="S7" s="30">
        <f t="shared" ref="S7:S15" si="6">R7*((((N7*Q7)-(O7*P7))^2))</f>
        <v>1.5431141695839731E+17</v>
      </c>
      <c r="T7" s="30">
        <f t="shared" ref="T7:T15" si="7">(N7+O7)*(P7+Q7)*(N7+P7)*(O7+Q7)</f>
        <v>1704990718885432</v>
      </c>
      <c r="U7" s="31">
        <f t="shared" ref="U7:U15" si="8">IF((S7&gt;0),S7/T7,"- -")</f>
        <v>90.505722552714005</v>
      </c>
    </row>
    <row r="8" spans="2:21" ht="18" customHeight="1">
      <c r="B8" s="32" t="str">
        <f>'Data Entry'!A8</f>
        <v>3. Refer to Juvenile Court</v>
      </c>
      <c r="C8" s="33">
        <f>'Data Entry'!C8</f>
        <v>0</v>
      </c>
      <c r="D8" s="34">
        <f>IF((AND(C67&gt;0,C8&gt;0)),(C8/C67),0)</f>
        <v>0</v>
      </c>
      <c r="E8" s="33">
        <f>'Data Entry'!E8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1.05</v>
      </c>
      <c r="P8" s="42">
        <f t="shared" si="4"/>
        <v>0</v>
      </c>
      <c r="Q8" s="42">
        <f>(C$67*L67)-C8</f>
        <v>472</v>
      </c>
      <c r="R8" s="42">
        <f t="shared" si="5"/>
        <v>473.05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v>
      </c>
      <c r="P9" s="42">
        <f t="shared" si="4"/>
        <v>0</v>
      </c>
      <c r="Q9" s="42">
        <f>(C$68*L68)-C9</f>
        <v>472</v>
      </c>
      <c r="R9" s="42">
        <f t="shared" si="5"/>
        <v>473</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1</v>
      </c>
      <c r="P10" s="42">
        <f t="shared" si="4"/>
        <v>0</v>
      </c>
      <c r="Q10" s="42">
        <f>(C$68*L68)-C10</f>
        <v>472</v>
      </c>
      <c r="R10" s="42">
        <f t="shared" si="5"/>
        <v>473</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1</v>
      </c>
      <c r="P11" s="42">
        <f t="shared" si="4"/>
        <v>0</v>
      </c>
      <c r="Q11" s="42">
        <f>(C$68*L68)-C11</f>
        <v>472</v>
      </c>
      <c r="R11" s="42">
        <f t="shared" si="5"/>
        <v>473</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1</v>
      </c>
      <c r="P12" s="42">
        <f t="shared" si="4"/>
        <v>0</v>
      </c>
      <c r="Q12" s="42">
        <f>(C69*L69)-C12</f>
        <v>472</v>
      </c>
      <c r="R12" s="42">
        <f t="shared" si="5"/>
        <v>473</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1</v>
      </c>
      <c r="P13" s="42">
        <f t="shared" si="4"/>
        <v>0</v>
      </c>
      <c r="Q13" s="42">
        <f>(C70*L70)-C13</f>
        <v>472</v>
      </c>
      <c r="R13" s="42">
        <f t="shared" si="5"/>
        <v>473</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1</v>
      </c>
      <c r="P14" s="42">
        <f t="shared" si="4"/>
        <v>0</v>
      </c>
      <c r="Q14" s="42">
        <f>(C70*L70)-C14</f>
        <v>472</v>
      </c>
      <c r="R14" s="42">
        <f t="shared" si="5"/>
        <v>473</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472</v>
      </c>
      <c r="R15" s="42">
        <f t="shared" si="5"/>
        <v>473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25.132000000000001</v>
      </c>
      <c r="D42" s="56">
        <f>E6/1000</f>
        <v>4.859</v>
      </c>
      <c r="E42" s="56">
        <f>MAX(C42:D42)</f>
        <v>25.132000000000001</v>
      </c>
      <c r="G42" s="1" t="str">
        <f>B42</f>
        <v>per 1000 youth</v>
      </c>
      <c r="L42" s="57">
        <v>1000</v>
      </c>
      <c r="M42" s="57"/>
      <c r="R42" s="49"/>
    </row>
    <row r="43" spans="2:18" ht="15" hidden="1" customHeight="1">
      <c r="B43" s="49" t="s">
        <v>87</v>
      </c>
      <c r="C43" s="56">
        <f>C7/100</f>
        <v>4.72</v>
      </c>
      <c r="D43" s="56">
        <f>E7/100</f>
        <v>0.01</v>
      </c>
      <c r="E43" s="56">
        <f>MAX(C43:D43,0)</f>
        <v>4.72</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25.132000000000001</v>
      </c>
      <c r="D48" s="56">
        <f>D42</f>
        <v>4.859</v>
      </c>
      <c r="E48" s="56">
        <f>MAX(C48:D48)</f>
        <v>25.132000000000001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4.72</v>
      </c>
      <c r="D49" s="49">
        <f t="shared" si="9"/>
        <v>0.01</v>
      </c>
      <c r="E49" s="49">
        <f>MAX(C49:D49)</f>
        <v>4.72</v>
      </c>
      <c r="G49" s="1" t="str">
        <f>G43</f>
        <v>per 100 arrests</v>
      </c>
      <c r="L49" s="58">
        <f>IF(($E43&gt;0),L43,L42)</f>
        <v>100</v>
      </c>
      <c r="M49" s="58"/>
      <c r="N49" s="21"/>
      <c r="O49" s="21"/>
      <c r="P49" s="21"/>
      <c r="Q49" s="21"/>
      <c r="R49" s="21"/>
    </row>
    <row r="50" spans="2:18" ht="15" hidden="1" customHeight="1">
      <c r="B50" s="49" t="str">
        <f t="shared" si="9"/>
        <v>per 100 arrests</v>
      </c>
      <c r="C50" s="49">
        <f t="shared" si="9"/>
        <v>4.72</v>
      </c>
      <c r="D50" s="49">
        <f t="shared" si="9"/>
        <v>0.01</v>
      </c>
      <c r="E50" s="49">
        <f>MAX(C50:D50)</f>
        <v>4.72</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25.132000000000001</v>
      </c>
      <c r="D54" s="56">
        <f>D48</f>
        <v>4.859</v>
      </c>
      <c r="E54" s="56">
        <f>MAX(C54:D54)</f>
        <v>25.132000000000001</v>
      </c>
      <c r="G54" s="1" t="str">
        <f>G48</f>
        <v>per 1000 youth</v>
      </c>
      <c r="L54" s="58">
        <f>L48</f>
        <v>1000</v>
      </c>
      <c r="M54" s="58"/>
    </row>
    <row r="55" spans="2:18" ht="15" hidden="1" customHeight="1">
      <c r="B55" s="49" t="str">
        <f t="shared" ref="B55:D56" si="10">IF(($E49&gt;0),B49,B48)</f>
        <v>per 100 arrests</v>
      </c>
      <c r="C55" s="49">
        <f t="shared" si="10"/>
        <v>4.72</v>
      </c>
      <c r="D55" s="49">
        <f t="shared" si="10"/>
        <v>0.01</v>
      </c>
      <c r="E55" s="49">
        <f>MAX(C55:D55)</f>
        <v>4.72</v>
      </c>
      <c r="G55" s="1" t="str">
        <f>G49</f>
        <v>per 100 arrests</v>
      </c>
      <c r="L55" s="58">
        <f>IF(($E49&gt;0),L49,L48)</f>
        <v>100</v>
      </c>
      <c r="M55" s="58"/>
    </row>
    <row r="56" spans="2:18" ht="15" hidden="1" customHeight="1">
      <c r="B56" s="49" t="str">
        <f t="shared" si="10"/>
        <v>per 100 arrests</v>
      </c>
      <c r="C56" s="49">
        <f t="shared" si="10"/>
        <v>4.72</v>
      </c>
      <c r="D56" s="49">
        <f t="shared" si="10"/>
        <v>0.01</v>
      </c>
      <c r="E56" s="49">
        <f>MAX(C56:D56)</f>
        <v>4.72</v>
      </c>
      <c r="G56" s="1" t="str">
        <f>G50</f>
        <v>per 100 referrals</v>
      </c>
      <c r="L56" s="58">
        <f>IF(($E50&gt;0),L50,L49)</f>
        <v>100</v>
      </c>
      <c r="M56" s="58"/>
    </row>
    <row r="57" spans="2:18" ht="15" hidden="1" customHeight="1">
      <c r="B57" s="49" t="str">
        <f>IF(($E51&gt;0),B51,B49)</f>
        <v>per 100 arrests</v>
      </c>
      <c r="C57" s="49">
        <f>IF(($E51&gt;0),C51,C50)</f>
        <v>4.72</v>
      </c>
      <c r="D57" s="49">
        <f>IF(($E51&gt;0),D51,D50)</f>
        <v>0.01</v>
      </c>
      <c r="E57" s="49">
        <f>MAX(C57:D57)</f>
        <v>4.72</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25.132000000000001</v>
      </c>
      <c r="D60" s="56">
        <f>D54</f>
        <v>4.859</v>
      </c>
      <c r="E60" s="56">
        <f>MAX(C60:D60)</f>
        <v>25.132000000000001</v>
      </c>
      <c r="G60" s="1" t="str">
        <f>G54</f>
        <v>per 1000 youth</v>
      </c>
      <c r="L60" s="58">
        <f>L54</f>
        <v>1000</v>
      </c>
      <c r="M60" s="58"/>
    </row>
    <row r="61" spans="2:18" ht="15" hidden="1" customHeight="1">
      <c r="B61" s="49" t="str">
        <f t="shared" ref="B61:D62" si="11">IF(($E55&gt;0),B55,B54)</f>
        <v>per 100 arrests</v>
      </c>
      <c r="C61" s="49">
        <f t="shared" si="11"/>
        <v>4.72</v>
      </c>
      <c r="D61" s="49">
        <f t="shared" si="11"/>
        <v>0.01</v>
      </c>
      <c r="E61" s="49">
        <f>MAX(C61:D61)</f>
        <v>4.72</v>
      </c>
      <c r="G61" s="1" t="str">
        <f>G55</f>
        <v>per 100 arrests</v>
      </c>
      <c r="L61" s="58">
        <f>IF(($E55&gt;0),L55,L54)</f>
        <v>100</v>
      </c>
      <c r="M61" s="58"/>
    </row>
    <row r="62" spans="2:18" ht="15" hidden="1" customHeight="1">
      <c r="B62" s="49" t="str">
        <f t="shared" si="11"/>
        <v>per 100 arrests</v>
      </c>
      <c r="C62" s="49">
        <f t="shared" si="11"/>
        <v>4.72</v>
      </c>
      <c r="D62" s="49">
        <f t="shared" si="11"/>
        <v>0.01</v>
      </c>
      <c r="E62" s="49">
        <f>MAX(C62:D62)</f>
        <v>4.72</v>
      </c>
      <c r="G62" s="1" t="str">
        <f>G56</f>
        <v>per 100 referrals</v>
      </c>
      <c r="L62" s="58">
        <f>IF(($E56&gt;0),L56,L55)</f>
        <v>100</v>
      </c>
      <c r="M62" s="58"/>
    </row>
    <row r="63" spans="2:18" ht="15" hidden="1" customHeight="1">
      <c r="B63" s="49" t="str">
        <f>IF(($E57&gt;0),B57,B55)</f>
        <v>per 100 arrests</v>
      </c>
      <c r="C63" s="49">
        <f>IF(($E57&gt;0),C57,C56)</f>
        <v>4.72</v>
      </c>
      <c r="D63" s="49">
        <f>IF(($E57&gt;0),D57,D56)</f>
        <v>0.01</v>
      </c>
      <c r="E63" s="49">
        <f>MAX(C63:D63)</f>
        <v>4.72</v>
      </c>
      <c r="G63" s="1" t="str">
        <f>G57</f>
        <v>per 100 youth petitioned</v>
      </c>
      <c r="L63" s="58">
        <f>IF(($E57&gt;0),L57,L56)</f>
        <v>100</v>
      </c>
      <c r="M63" s="58"/>
    </row>
    <row r="64" spans="2:18" ht="15" hidden="1" customHeight="1">
      <c r="B64" s="49" t="str">
        <f>IF(($E58&gt;0),B58,B57)</f>
        <v>per 100 arrests</v>
      </c>
      <c r="C64" s="49">
        <f>IF(($E58&gt;0),C58,C57)</f>
        <v>4.72</v>
      </c>
      <c r="D64" s="49">
        <f>IF(($E58&gt;0),D58,D57)</f>
        <v>0.01</v>
      </c>
      <c r="E64" s="56">
        <f>MAX(C64:D64)</f>
        <v>4.72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25.132000000000001</v>
      </c>
      <c r="D66" s="56">
        <f>D60</f>
        <v>4.859</v>
      </c>
      <c r="E66" s="56">
        <f>MAX(C66:D66)</f>
        <v>25.132000000000001</v>
      </c>
      <c r="G66" s="1" t="str">
        <f>G60</f>
        <v>per 1000 youth</v>
      </c>
      <c r="L66" s="58">
        <f>L60</f>
        <v>1000</v>
      </c>
      <c r="M66" s="58">
        <f>IF((B66=G66),1,2)</f>
        <v>1</v>
      </c>
    </row>
    <row r="67" spans="2:13" ht="15" hidden="1" customHeight="1">
      <c r="B67" s="49" t="str">
        <f t="shared" ref="B67:D68" si="12">IF(($E61&gt;0),B61,B60)</f>
        <v>per 100 arrests</v>
      </c>
      <c r="C67" s="49">
        <f t="shared" si="12"/>
        <v>4.72</v>
      </c>
      <c r="D67" s="49">
        <f t="shared" si="12"/>
        <v>0.01</v>
      </c>
      <c r="E67" s="49">
        <f>MAX(C67:D67)</f>
        <v>4.72</v>
      </c>
      <c r="G67" s="1" t="str">
        <f>G61</f>
        <v>per 100 arrests</v>
      </c>
      <c r="L67" s="58">
        <f>IF(($E61&gt;0),L61,L60)</f>
        <v>100</v>
      </c>
      <c r="M67" s="58">
        <f>IF((B67=G67),1,2)</f>
        <v>1</v>
      </c>
    </row>
    <row r="68" spans="2:13" ht="15" hidden="1" customHeight="1">
      <c r="B68" s="49" t="str">
        <f t="shared" si="12"/>
        <v>per 100 arrests</v>
      </c>
      <c r="C68" s="49">
        <f t="shared" si="12"/>
        <v>4.72</v>
      </c>
      <c r="D68" s="49">
        <f t="shared" si="12"/>
        <v>0.01</v>
      </c>
      <c r="E68" s="49">
        <f>MAX(C68:D68)</f>
        <v>4.72</v>
      </c>
      <c r="G68" s="1" t="str">
        <f>G62</f>
        <v>per 100 referrals</v>
      </c>
      <c r="L68" s="58">
        <f>IF(($E62&gt;0),L62,L61)</f>
        <v>100</v>
      </c>
      <c r="M68" s="58">
        <f>IF((B68=G68),1,2)</f>
        <v>2</v>
      </c>
    </row>
    <row r="69" spans="2:13" ht="15" hidden="1" customHeight="1">
      <c r="B69" s="49" t="str">
        <f>IF(($E63&gt;0),B63,B61)</f>
        <v>per 100 arrests</v>
      </c>
      <c r="C69" s="49">
        <f>IF(($E63&gt;0),C63,C62)</f>
        <v>4.72</v>
      </c>
      <c r="D69" s="49">
        <f>IF(($E63&gt;0),D63,D62)</f>
        <v>0.01</v>
      </c>
      <c r="E69" s="49">
        <f>MAX(C69:D69)</f>
        <v>4.72</v>
      </c>
      <c r="G69" s="1" t="str">
        <f>G63</f>
        <v>per 100 youth petitioned</v>
      </c>
      <c r="L69" s="58">
        <f>IF(($E63&gt;0),L63,L62)</f>
        <v>100</v>
      </c>
      <c r="M69" s="58">
        <f>IF((B69=G69),1,2)</f>
        <v>2</v>
      </c>
    </row>
    <row r="70" spans="2:13" ht="15" hidden="1" customHeight="1">
      <c r="B70" s="49" t="str">
        <f>IF(($E64&gt;0),B64,B63)</f>
        <v>per 100 arrests</v>
      </c>
      <c r="C70" s="49">
        <f>IF(($E64&gt;0),C64,C63)</f>
        <v>4.72</v>
      </c>
      <c r="D70" s="49">
        <f>IF(($E64&gt;0),D64,D63)</f>
        <v>0.01</v>
      </c>
      <c r="E70" s="56">
        <f>MAX(C70:D70)</f>
        <v>4.72</v>
      </c>
      <c r="G70" s="1" t="str">
        <f>G64</f>
        <v>per 100 youth found delinquent</v>
      </c>
      <c r="L70" s="58">
        <f>IF(($E64&gt;0),L64,L63)</f>
        <v>100</v>
      </c>
      <c r="M70" s="58">
        <f>IF((B70=G70),1,2)</f>
        <v>2</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Ottawa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25132</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472</v>
      </c>
      <c r="D7" s="34">
        <f>IF((AND(C66&gt;0,C7&gt;0)),(C7/C66),0)</f>
        <v>18.780837179691229</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472</v>
      </c>
      <c r="Q7" s="42">
        <f>C6-C7</f>
        <v>24660</v>
      </c>
      <c r="R7" s="42">
        <f t="shared" ref="R7:R15" si="5">SUM(N7:Q7)</f>
        <v>25132</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0</v>
      </c>
      <c r="D8" s="34">
        <f>IF((AND(C67&gt;0,C8&gt;0)),(C8/C67),0)</f>
        <v>0</v>
      </c>
      <c r="E8" s="33">
        <f>'Data Entry'!G8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472</v>
      </c>
      <c r="R8" s="42">
        <f t="shared" si="5"/>
        <v>472.05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472</v>
      </c>
      <c r="R9" s="42">
        <f t="shared" si="5"/>
        <v>472</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472</v>
      </c>
      <c r="R10" s="42">
        <f t="shared" si="5"/>
        <v>472</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472</v>
      </c>
      <c r="R11" s="42">
        <f t="shared" si="5"/>
        <v>472</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472</v>
      </c>
      <c r="R12" s="42">
        <f t="shared" si="5"/>
        <v>472</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472</v>
      </c>
      <c r="R13" s="42">
        <f t="shared" si="5"/>
        <v>472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472</v>
      </c>
      <c r="R14" s="42">
        <f t="shared" si="5"/>
        <v>472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472</v>
      </c>
      <c r="R15" s="42">
        <f t="shared" si="5"/>
        <v>472</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25.132000000000001</v>
      </c>
      <c r="D42" s="56">
        <f>E6/1000</f>
        <v>0</v>
      </c>
      <c r="E42" s="56">
        <f>MAX(C42:D42)</f>
        <v>25.132000000000001</v>
      </c>
      <c r="G42" s="1" t="str">
        <f>B42</f>
        <v>per 1000 youth</v>
      </c>
      <c r="L42" s="57">
        <v>1000</v>
      </c>
      <c r="M42" s="57"/>
      <c r="R42" s="49"/>
    </row>
    <row r="43" spans="2:18" ht="15" hidden="1" customHeight="1">
      <c r="B43" s="49" t="s">
        <v>87</v>
      </c>
      <c r="C43" s="56">
        <f>C7/100</f>
        <v>4.72</v>
      </c>
      <c r="D43" s="56">
        <f>E7/100</f>
        <v>0</v>
      </c>
      <c r="E43" s="56">
        <f>MAX(C43:D43,0)</f>
        <v>4.72</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25.132000000000001</v>
      </c>
      <c r="D48" s="56">
        <f>D42</f>
        <v>0</v>
      </c>
      <c r="E48" s="56">
        <f>MAX(C48:D48)</f>
        <v>25.132000000000001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4.72</v>
      </c>
      <c r="D49" s="49">
        <f t="shared" si="9"/>
        <v>0</v>
      </c>
      <c r="E49" s="49">
        <f>MAX(C49:D49)</f>
        <v>4.72</v>
      </c>
      <c r="G49" s="1" t="str">
        <f>G43</f>
        <v>per 100 arrests</v>
      </c>
      <c r="L49" s="58">
        <f>IF(($E43&gt;0),L43,L42)</f>
        <v>100</v>
      </c>
      <c r="M49" s="58"/>
      <c r="N49" s="21"/>
      <c r="O49" s="21"/>
      <c r="P49" s="21"/>
      <c r="Q49" s="21"/>
      <c r="R49" s="21"/>
    </row>
    <row r="50" spans="2:18" ht="15" hidden="1" customHeight="1">
      <c r="B50" s="49" t="str">
        <f t="shared" si="9"/>
        <v>per 100 arrests</v>
      </c>
      <c r="C50" s="49">
        <f t="shared" si="9"/>
        <v>4.72</v>
      </c>
      <c r="D50" s="49">
        <f t="shared" si="9"/>
        <v>0</v>
      </c>
      <c r="E50" s="49">
        <f>MAX(C50:D50)</f>
        <v>4.72</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25.132000000000001</v>
      </c>
      <c r="D54" s="56">
        <f>D48</f>
        <v>0</v>
      </c>
      <c r="E54" s="56">
        <f>MAX(C54:D54)</f>
        <v>25.132000000000001</v>
      </c>
      <c r="G54" s="1" t="str">
        <f>G48</f>
        <v>per 1000 youth</v>
      </c>
      <c r="L54" s="58">
        <f>L48</f>
        <v>1000</v>
      </c>
      <c r="M54" s="58"/>
    </row>
    <row r="55" spans="2:18" ht="15" hidden="1" customHeight="1">
      <c r="B55" s="49" t="str">
        <f t="shared" ref="B55:D56" si="10">IF(($E49&gt;0),B49,B48)</f>
        <v>per 100 arrests</v>
      </c>
      <c r="C55" s="49">
        <f t="shared" si="10"/>
        <v>4.72</v>
      </c>
      <c r="D55" s="49">
        <f t="shared" si="10"/>
        <v>0</v>
      </c>
      <c r="E55" s="49">
        <f>MAX(C55:D55)</f>
        <v>4.72</v>
      </c>
      <c r="G55" s="1" t="str">
        <f>G49</f>
        <v>per 100 arrests</v>
      </c>
      <c r="L55" s="58">
        <f>IF(($E49&gt;0),L49,L48)</f>
        <v>100</v>
      </c>
      <c r="M55" s="58"/>
    </row>
    <row r="56" spans="2:18" ht="15" hidden="1" customHeight="1">
      <c r="B56" s="49" t="str">
        <f t="shared" si="10"/>
        <v>per 100 arrests</v>
      </c>
      <c r="C56" s="49">
        <f t="shared" si="10"/>
        <v>4.72</v>
      </c>
      <c r="D56" s="49">
        <f t="shared" si="10"/>
        <v>0</v>
      </c>
      <c r="E56" s="49">
        <f>MAX(C56:D56)</f>
        <v>4.72</v>
      </c>
      <c r="G56" s="1" t="str">
        <f>G50</f>
        <v>per 100 referrals</v>
      </c>
      <c r="L56" s="58">
        <f>IF(($E50&gt;0),L50,L49)</f>
        <v>100</v>
      </c>
      <c r="M56" s="58"/>
    </row>
    <row r="57" spans="2:18" ht="15" hidden="1" customHeight="1">
      <c r="B57" s="49" t="str">
        <f>IF(($E51&gt;0),B51,B49)</f>
        <v>per 100 arrests</v>
      </c>
      <c r="C57" s="49">
        <f>IF(($E51&gt;0),C51,C50)</f>
        <v>4.72</v>
      </c>
      <c r="D57" s="49">
        <f>IF(($E51&gt;0),D51,D50)</f>
        <v>0</v>
      </c>
      <c r="E57" s="49">
        <f>MAX(C57:D57)</f>
        <v>4.72</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25.132000000000001</v>
      </c>
      <c r="D60" s="56">
        <f>D54</f>
        <v>0</v>
      </c>
      <c r="E60" s="56">
        <f>MAX(C60:D60)</f>
        <v>25.132000000000001</v>
      </c>
      <c r="G60" s="1" t="str">
        <f>G54</f>
        <v>per 1000 youth</v>
      </c>
      <c r="L60" s="58">
        <f>L54</f>
        <v>1000</v>
      </c>
      <c r="M60" s="58"/>
    </row>
    <row r="61" spans="2:18" ht="15" hidden="1" customHeight="1">
      <c r="B61" s="49" t="str">
        <f t="shared" ref="B61:D62" si="11">IF(($E55&gt;0),B55,B54)</f>
        <v>per 100 arrests</v>
      </c>
      <c r="C61" s="49">
        <f t="shared" si="11"/>
        <v>4.72</v>
      </c>
      <c r="D61" s="49">
        <f t="shared" si="11"/>
        <v>0</v>
      </c>
      <c r="E61" s="49">
        <f>MAX(C61:D61)</f>
        <v>4.72</v>
      </c>
      <c r="G61" s="1" t="str">
        <f>G55</f>
        <v>per 100 arrests</v>
      </c>
      <c r="L61" s="58">
        <f>IF(($E55&gt;0),L55,L54)</f>
        <v>100</v>
      </c>
      <c r="M61" s="58"/>
    </row>
    <row r="62" spans="2:18" ht="15" hidden="1" customHeight="1">
      <c r="B62" s="49" t="str">
        <f t="shared" si="11"/>
        <v>per 100 arrests</v>
      </c>
      <c r="C62" s="49">
        <f t="shared" si="11"/>
        <v>4.72</v>
      </c>
      <c r="D62" s="49">
        <f t="shared" si="11"/>
        <v>0</v>
      </c>
      <c r="E62" s="49">
        <f>MAX(C62:D62)</f>
        <v>4.72</v>
      </c>
      <c r="G62" s="1" t="str">
        <f>G56</f>
        <v>per 100 referrals</v>
      </c>
      <c r="L62" s="58">
        <f>IF(($E56&gt;0),L56,L55)</f>
        <v>100</v>
      </c>
      <c r="M62" s="58"/>
    </row>
    <row r="63" spans="2:18" ht="15" hidden="1" customHeight="1">
      <c r="B63" s="49" t="str">
        <f>IF(($E57&gt;0),B57,B55)</f>
        <v>per 100 arrests</v>
      </c>
      <c r="C63" s="49">
        <f>IF(($E57&gt;0),C57,C56)</f>
        <v>4.72</v>
      </c>
      <c r="D63" s="49">
        <f>IF(($E57&gt;0),D57,D56)</f>
        <v>0</v>
      </c>
      <c r="E63" s="49">
        <f>MAX(C63:D63)</f>
        <v>4.72</v>
      </c>
      <c r="G63" s="1" t="str">
        <f>G57</f>
        <v>per 100 youth petitioned</v>
      </c>
      <c r="L63" s="58">
        <f>IF(($E57&gt;0),L57,L56)</f>
        <v>100</v>
      </c>
      <c r="M63" s="58"/>
    </row>
    <row r="64" spans="2:18" ht="15" hidden="1" customHeight="1">
      <c r="B64" s="49" t="str">
        <f>IF(($E58&gt;0),B58,B57)</f>
        <v>per 100 arrests</v>
      </c>
      <c r="C64" s="49">
        <f>IF(($E58&gt;0),C58,C57)</f>
        <v>4.72</v>
      </c>
      <c r="D64" s="49">
        <f>IF(($E58&gt;0),D58,D57)</f>
        <v>0</v>
      </c>
      <c r="E64" s="56">
        <f>MAX(C64:D64)</f>
        <v>4.72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25.132000000000001</v>
      </c>
      <c r="D66" s="56">
        <f>D60</f>
        <v>0</v>
      </c>
      <c r="E66" s="56">
        <f>MAX(C66:D66)</f>
        <v>25.132000000000001</v>
      </c>
      <c r="G66" s="1" t="str">
        <f>G60</f>
        <v>per 1000 youth</v>
      </c>
      <c r="L66" s="58">
        <f>L60</f>
        <v>1000</v>
      </c>
      <c r="M66" s="58">
        <f>IF((B66=G66),1,2)</f>
        <v>1</v>
      </c>
    </row>
    <row r="67" spans="2:13" ht="15" hidden="1" customHeight="1">
      <c r="B67" s="49" t="str">
        <f t="shared" ref="B67:D68" si="12">IF(($E61&gt;0),B61,B60)</f>
        <v>per 100 arrests</v>
      </c>
      <c r="C67" s="49">
        <f t="shared" si="12"/>
        <v>4.72</v>
      </c>
      <c r="D67" s="49">
        <f t="shared" si="12"/>
        <v>0</v>
      </c>
      <c r="E67" s="49">
        <f>MAX(C67:D67)</f>
        <v>4.72</v>
      </c>
      <c r="G67" s="1" t="str">
        <f>G61</f>
        <v>per 100 arrests</v>
      </c>
      <c r="L67" s="58">
        <f>IF(($E61&gt;0),L61,L60)</f>
        <v>100</v>
      </c>
      <c r="M67" s="58">
        <f>IF((B67=G67),1,2)</f>
        <v>1</v>
      </c>
    </row>
    <row r="68" spans="2:13" ht="15" hidden="1" customHeight="1">
      <c r="B68" s="49" t="str">
        <f t="shared" si="12"/>
        <v>per 100 arrests</v>
      </c>
      <c r="C68" s="49">
        <f t="shared" si="12"/>
        <v>4.72</v>
      </c>
      <c r="D68" s="49">
        <f t="shared" si="12"/>
        <v>0</v>
      </c>
      <c r="E68" s="49">
        <f>MAX(C68:D68)</f>
        <v>4.72</v>
      </c>
      <c r="G68" s="1" t="str">
        <f>G62</f>
        <v>per 100 referrals</v>
      </c>
      <c r="L68" s="58">
        <f>IF(($E62&gt;0),L62,L61)</f>
        <v>100</v>
      </c>
      <c r="M68" s="58">
        <f>IF((B68=G68),1,2)</f>
        <v>2</v>
      </c>
    </row>
    <row r="69" spans="2:13" ht="15" hidden="1" customHeight="1">
      <c r="B69" s="49" t="str">
        <f>IF(($E63&gt;0),B63,B61)</f>
        <v>per 100 arrests</v>
      </c>
      <c r="C69" s="49">
        <f>IF(($E63&gt;0),C63,C62)</f>
        <v>4.72</v>
      </c>
      <c r="D69" s="49">
        <f>IF(($E63&gt;0),D63,D62)</f>
        <v>0</v>
      </c>
      <c r="E69" s="49">
        <f>MAX(C69:D69)</f>
        <v>4.72</v>
      </c>
      <c r="G69" s="1" t="str">
        <f>G63</f>
        <v>per 100 youth petitioned</v>
      </c>
      <c r="L69" s="58">
        <f>IF(($E63&gt;0),L63,L62)</f>
        <v>100</v>
      </c>
      <c r="M69" s="58">
        <f>IF((B69=G69),1,2)</f>
        <v>2</v>
      </c>
    </row>
    <row r="70" spans="2:13" ht="15" hidden="1" customHeight="1">
      <c r="B70" s="49" t="str">
        <f>IF(($E64&gt;0),B64,B63)</f>
        <v>per 100 arrests</v>
      </c>
      <c r="C70" s="49">
        <f>IF(($E64&gt;0),C64,C63)</f>
        <v>4.72</v>
      </c>
      <c r="D70" s="49">
        <f>IF(($E64&gt;0),D64,D63)</f>
        <v>0</v>
      </c>
      <c r="E70" s="56">
        <f>MAX(C70:D70)</f>
        <v>4.72</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Ottawa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25132</v>
      </c>
      <c r="D6" s="34"/>
      <c r="E6" s="33">
        <f>'Data Entry'!H6</f>
        <v>111</v>
      </c>
      <c r="F6" s="34"/>
      <c r="G6" s="35"/>
      <c r="H6" s="36"/>
      <c r="I6" s="37"/>
      <c r="J6" s="38"/>
      <c r="K6" s="37"/>
      <c r="L6" s="1">
        <f>IF( ('Data Entry'!H6&gt;('Data Entry'!B6/100)),1,100)</f>
        <v>100</v>
      </c>
      <c r="M6" s="1" t="s">
        <v>50</v>
      </c>
      <c r="N6" s="21"/>
      <c r="O6" s="21"/>
      <c r="P6" s="21"/>
      <c r="Q6" s="21"/>
      <c r="R6" s="21"/>
      <c r="S6" s="30"/>
      <c r="T6" s="30"/>
      <c r="U6" s="31"/>
    </row>
    <row r="7" spans="2:21" ht="18" customHeight="1">
      <c r="B7" s="32" t="str">
        <f>'Data Entry'!A7</f>
        <v xml:space="preserve">2. Juvenile Arrests </v>
      </c>
      <c r="C7" s="33">
        <f>'Data Entry'!C7</f>
        <v>472</v>
      </c>
      <c r="D7" s="34">
        <f>IF((AND(C66&gt;0,C7&gt;0)),(C7/C66),0)</f>
        <v>18.780837179691229</v>
      </c>
      <c r="E7" s="33">
        <f>'Data Entry'!H7</f>
        <v>5</v>
      </c>
      <c r="F7" s="34">
        <f>IF((AND($E$7&gt;0,$D$66&gt;0)),($E$7/$D$66),0)</f>
        <v>45.045045045045043</v>
      </c>
      <c r="G7" s="39" t="str">
        <f t="shared" ref="G7:G15" si="0">IF(L$6=100,"*",IF(M7=FALSE,"--",IF(K7=20,"**",($F7/$D7))))</f>
        <v>*</v>
      </c>
      <c r="H7" s="40"/>
      <c r="I7" s="41"/>
      <c r="J7" s="40">
        <f>IF((ABS($U7)&gt;Defaults!D$7),1,2)</f>
        <v>1</v>
      </c>
      <c r="K7" s="39">
        <f>IF((AND(N7&gt;Defaults!B$12,(N7+O7)&gt;Defaults!B$13, P7 &gt; Defaults!B$12, (P7+Q7) &gt; Defaults!B$13)),1,20)</f>
        <v>20</v>
      </c>
      <c r="L7" s="1">
        <f t="shared" ref="L7:L15" si="1">(J7*K7+L$6)-1</f>
        <v>119</v>
      </c>
      <c r="M7" s="1" t="b">
        <f t="shared" ref="M7:M15" si="2">(ISNUMBER(J7))</f>
        <v>1</v>
      </c>
      <c r="N7" s="42">
        <f t="shared" ref="N7:N15" si="3">E7</f>
        <v>5</v>
      </c>
      <c r="O7" s="42">
        <f>E6-E7</f>
        <v>106</v>
      </c>
      <c r="P7" s="42">
        <f t="shared" ref="P7:P15" si="4">C7</f>
        <v>472</v>
      </c>
      <c r="Q7" s="42">
        <f>C6-C7</f>
        <v>24660</v>
      </c>
      <c r="R7" s="42">
        <f t="shared" ref="R7:R15" si="5">SUM(N7:Q7)</f>
        <v>25243</v>
      </c>
      <c r="S7" s="30">
        <f t="shared" ref="S7:S15" si="6">R7*((((N7*Q7)-(O7*P7))^2))</f>
        <v>135509468157232</v>
      </c>
      <c r="T7" s="30">
        <f t="shared" ref="T7:T15" si="7">(N7+O7)*(P7+Q7)*(N7+P7)*(O7+Q7)</f>
        <v>32955224723064</v>
      </c>
      <c r="U7" s="31">
        <f t="shared" ref="U7:U15" si="8">IF((S7&gt;0),S7/T7,"- -")</f>
        <v>4.1119266913204973</v>
      </c>
    </row>
    <row r="8" spans="2:21" ht="18" customHeight="1">
      <c r="B8" s="32" t="str">
        <f>'Data Entry'!A8</f>
        <v>3. Refer to Juvenile Court</v>
      </c>
      <c r="C8" s="33">
        <f>'Data Entry'!C8</f>
        <v>0</v>
      </c>
      <c r="D8" s="34">
        <f>IF((AND(C67&gt;0,C8&gt;0)),(C8/C67),0)</f>
        <v>0</v>
      </c>
      <c r="E8" s="33">
        <f>'Data Entry'!H8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5.05</v>
      </c>
      <c r="P8" s="42">
        <f t="shared" si="4"/>
        <v>0</v>
      </c>
      <c r="Q8" s="42">
        <f>(C$67*L67)-C8</f>
        <v>472</v>
      </c>
      <c r="R8" s="42">
        <f t="shared" si="5"/>
        <v>477.05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5</v>
      </c>
      <c r="P9" s="42">
        <f t="shared" si="4"/>
        <v>0</v>
      </c>
      <c r="Q9" s="42">
        <f>(C$68*L68)-C9</f>
        <v>472</v>
      </c>
      <c r="R9" s="42">
        <f t="shared" si="5"/>
        <v>477</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5</v>
      </c>
      <c r="P10" s="42">
        <f t="shared" si="4"/>
        <v>0</v>
      </c>
      <c r="Q10" s="42">
        <f>(C$68*L68)-C10</f>
        <v>472</v>
      </c>
      <c r="R10" s="42">
        <f t="shared" si="5"/>
        <v>477</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5</v>
      </c>
      <c r="P11" s="42">
        <f t="shared" si="4"/>
        <v>0</v>
      </c>
      <c r="Q11" s="42">
        <f>(C$68*L68)-C11</f>
        <v>472</v>
      </c>
      <c r="R11" s="42">
        <f t="shared" si="5"/>
        <v>477</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5</v>
      </c>
      <c r="P12" s="42">
        <f t="shared" si="4"/>
        <v>0</v>
      </c>
      <c r="Q12" s="42">
        <f>(C69*L69)-C12</f>
        <v>472</v>
      </c>
      <c r="R12" s="42">
        <f t="shared" si="5"/>
        <v>477</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5</v>
      </c>
      <c r="P13" s="42">
        <f t="shared" si="4"/>
        <v>0</v>
      </c>
      <c r="Q13" s="42">
        <f>(C70*L70)-C13</f>
        <v>472</v>
      </c>
      <c r="R13" s="42">
        <f t="shared" si="5"/>
        <v>477</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5</v>
      </c>
      <c r="P14" s="42">
        <f t="shared" si="4"/>
        <v>0</v>
      </c>
      <c r="Q14" s="42">
        <f>(C70*L70)-C14</f>
        <v>472</v>
      </c>
      <c r="R14" s="42">
        <f t="shared" si="5"/>
        <v>477</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5</v>
      </c>
      <c r="P15" s="42">
        <f t="shared" si="4"/>
        <v>0</v>
      </c>
      <c r="Q15" s="42">
        <f>(C69*L69)-C15</f>
        <v>472</v>
      </c>
      <c r="R15" s="42">
        <f t="shared" si="5"/>
        <v>477</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25.132000000000001</v>
      </c>
      <c r="D42" s="56">
        <f>E6/1000</f>
        <v>0.111</v>
      </c>
      <c r="E42" s="56">
        <f>MAX(C42:D42)</f>
        <v>25.132000000000001</v>
      </c>
      <c r="G42" s="1" t="str">
        <f>B42</f>
        <v>per 1000 youth</v>
      </c>
      <c r="L42" s="57">
        <v>1000</v>
      </c>
      <c r="M42" s="57"/>
      <c r="R42" s="49"/>
    </row>
    <row r="43" spans="2:18" ht="15" hidden="1" customHeight="1">
      <c r="B43" s="49" t="s">
        <v>87</v>
      </c>
      <c r="C43" s="56">
        <f>C7/100</f>
        <v>4.72</v>
      </c>
      <c r="D43" s="56">
        <f>E7/100</f>
        <v>0.05</v>
      </c>
      <c r="E43" s="56">
        <f>MAX(C43:D43,0)</f>
        <v>4.72</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25.132000000000001</v>
      </c>
      <c r="D48" s="56">
        <f>D42</f>
        <v>0.111</v>
      </c>
      <c r="E48" s="56">
        <f>MAX(C48:D48)</f>
        <v>25.132000000000001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4.72</v>
      </c>
      <c r="D49" s="49">
        <f t="shared" si="9"/>
        <v>0.05</v>
      </c>
      <c r="E49" s="49">
        <f>MAX(C49:D49)</f>
        <v>4.72</v>
      </c>
      <c r="G49" s="1" t="str">
        <f>G43</f>
        <v>per 100 arrests</v>
      </c>
      <c r="L49" s="58">
        <f>IF(($E43&gt;0),L43,L42)</f>
        <v>100</v>
      </c>
      <c r="M49" s="58"/>
      <c r="N49" s="21"/>
      <c r="O49" s="21"/>
      <c r="P49" s="21"/>
      <c r="Q49" s="21"/>
      <c r="R49" s="21"/>
    </row>
    <row r="50" spans="2:18" ht="15" hidden="1" customHeight="1">
      <c r="B50" s="49" t="str">
        <f t="shared" si="9"/>
        <v>per 100 arrests</v>
      </c>
      <c r="C50" s="49">
        <f t="shared" si="9"/>
        <v>4.72</v>
      </c>
      <c r="D50" s="49">
        <f t="shared" si="9"/>
        <v>0.05</v>
      </c>
      <c r="E50" s="49">
        <f>MAX(C50:D50)</f>
        <v>4.72</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25.132000000000001</v>
      </c>
      <c r="D54" s="56">
        <f>D48</f>
        <v>0.111</v>
      </c>
      <c r="E54" s="56">
        <f>MAX(C54:D54)</f>
        <v>25.132000000000001</v>
      </c>
      <c r="G54" s="1" t="str">
        <f>G48</f>
        <v>per 1000 youth</v>
      </c>
      <c r="L54" s="58">
        <f>L48</f>
        <v>1000</v>
      </c>
      <c r="M54" s="58"/>
    </row>
    <row r="55" spans="2:18" ht="15" hidden="1" customHeight="1">
      <c r="B55" s="49" t="str">
        <f t="shared" ref="B55:D56" si="10">IF(($E49&gt;0),B49,B48)</f>
        <v>per 100 arrests</v>
      </c>
      <c r="C55" s="49">
        <f t="shared" si="10"/>
        <v>4.72</v>
      </c>
      <c r="D55" s="49">
        <f t="shared" si="10"/>
        <v>0.05</v>
      </c>
      <c r="E55" s="49">
        <f>MAX(C55:D55)</f>
        <v>4.72</v>
      </c>
      <c r="G55" s="1" t="str">
        <f>G49</f>
        <v>per 100 arrests</v>
      </c>
      <c r="L55" s="58">
        <f>IF(($E49&gt;0),L49,L48)</f>
        <v>100</v>
      </c>
      <c r="M55" s="58"/>
    </row>
    <row r="56" spans="2:18" ht="15" hidden="1" customHeight="1">
      <c r="B56" s="49" t="str">
        <f t="shared" si="10"/>
        <v>per 100 arrests</v>
      </c>
      <c r="C56" s="49">
        <f t="shared" si="10"/>
        <v>4.72</v>
      </c>
      <c r="D56" s="49">
        <f t="shared" si="10"/>
        <v>0.05</v>
      </c>
      <c r="E56" s="49">
        <f>MAX(C56:D56)</f>
        <v>4.72</v>
      </c>
      <c r="G56" s="1" t="str">
        <f>G50</f>
        <v>per 100 referrals</v>
      </c>
      <c r="L56" s="58">
        <f>IF(($E50&gt;0),L50,L49)</f>
        <v>100</v>
      </c>
      <c r="M56" s="58"/>
    </row>
    <row r="57" spans="2:18" ht="15" hidden="1" customHeight="1">
      <c r="B57" s="49" t="str">
        <f>IF(($E51&gt;0),B51,B49)</f>
        <v>per 100 arrests</v>
      </c>
      <c r="C57" s="49">
        <f>IF(($E51&gt;0),C51,C50)</f>
        <v>4.72</v>
      </c>
      <c r="D57" s="49">
        <f>IF(($E51&gt;0),D51,D50)</f>
        <v>0.05</v>
      </c>
      <c r="E57" s="49">
        <f>MAX(C57:D57)</f>
        <v>4.72</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25.132000000000001</v>
      </c>
      <c r="D60" s="56">
        <f>D54</f>
        <v>0.111</v>
      </c>
      <c r="E60" s="56">
        <f>MAX(C60:D60)</f>
        <v>25.132000000000001</v>
      </c>
      <c r="G60" s="1" t="str">
        <f>G54</f>
        <v>per 1000 youth</v>
      </c>
      <c r="L60" s="58">
        <f>L54</f>
        <v>1000</v>
      </c>
      <c r="M60" s="58"/>
    </row>
    <row r="61" spans="2:18" ht="15" hidden="1" customHeight="1">
      <c r="B61" s="49" t="str">
        <f t="shared" ref="B61:D62" si="11">IF(($E55&gt;0),B55,B54)</f>
        <v>per 100 arrests</v>
      </c>
      <c r="C61" s="49">
        <f t="shared" si="11"/>
        <v>4.72</v>
      </c>
      <c r="D61" s="49">
        <f t="shared" si="11"/>
        <v>0.05</v>
      </c>
      <c r="E61" s="49">
        <f>MAX(C61:D61)</f>
        <v>4.72</v>
      </c>
      <c r="G61" s="1" t="str">
        <f>G55</f>
        <v>per 100 arrests</v>
      </c>
      <c r="L61" s="58">
        <f>IF(($E55&gt;0),L55,L54)</f>
        <v>100</v>
      </c>
      <c r="M61" s="58"/>
    </row>
    <row r="62" spans="2:18" ht="15" hidden="1" customHeight="1">
      <c r="B62" s="49" t="str">
        <f t="shared" si="11"/>
        <v>per 100 arrests</v>
      </c>
      <c r="C62" s="49">
        <f t="shared" si="11"/>
        <v>4.72</v>
      </c>
      <c r="D62" s="49">
        <f t="shared" si="11"/>
        <v>0.05</v>
      </c>
      <c r="E62" s="49">
        <f>MAX(C62:D62)</f>
        <v>4.72</v>
      </c>
      <c r="G62" s="1" t="str">
        <f>G56</f>
        <v>per 100 referrals</v>
      </c>
      <c r="L62" s="58">
        <f>IF(($E56&gt;0),L56,L55)</f>
        <v>100</v>
      </c>
      <c r="M62" s="58"/>
    </row>
    <row r="63" spans="2:18" ht="15" hidden="1" customHeight="1">
      <c r="B63" s="49" t="str">
        <f>IF(($E57&gt;0),B57,B55)</f>
        <v>per 100 arrests</v>
      </c>
      <c r="C63" s="49">
        <f>IF(($E57&gt;0),C57,C56)</f>
        <v>4.72</v>
      </c>
      <c r="D63" s="49">
        <f>IF(($E57&gt;0),D57,D56)</f>
        <v>0.05</v>
      </c>
      <c r="E63" s="49">
        <f>MAX(C63:D63)</f>
        <v>4.72</v>
      </c>
      <c r="G63" s="1" t="str">
        <f>G57</f>
        <v>per 100 youth petitioned</v>
      </c>
      <c r="L63" s="58">
        <f>IF(($E57&gt;0),L57,L56)</f>
        <v>100</v>
      </c>
      <c r="M63" s="58"/>
    </row>
    <row r="64" spans="2:18" ht="15" hidden="1" customHeight="1">
      <c r="B64" s="49" t="str">
        <f>IF(($E58&gt;0),B58,B57)</f>
        <v>per 100 arrests</v>
      </c>
      <c r="C64" s="49">
        <f>IF(($E58&gt;0),C58,C57)</f>
        <v>4.72</v>
      </c>
      <c r="D64" s="49">
        <f>IF(($E58&gt;0),D58,D57)</f>
        <v>0.05</v>
      </c>
      <c r="E64" s="56">
        <f>MAX(C64:D64)</f>
        <v>4.72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25.132000000000001</v>
      </c>
      <c r="D66" s="56">
        <f>D60</f>
        <v>0.111</v>
      </c>
      <c r="E66" s="56">
        <f>MAX(C66:D66)</f>
        <v>25.132000000000001</v>
      </c>
      <c r="G66" s="1" t="str">
        <f>G60</f>
        <v>per 1000 youth</v>
      </c>
      <c r="L66" s="58">
        <f>L60</f>
        <v>1000</v>
      </c>
      <c r="M66" s="58">
        <f>IF((B66=G66),1,2)</f>
        <v>1</v>
      </c>
    </row>
    <row r="67" spans="2:13" ht="15" hidden="1" customHeight="1">
      <c r="B67" s="49" t="str">
        <f t="shared" ref="B67:D68" si="12">IF(($E61&gt;0),B61,B60)</f>
        <v>per 100 arrests</v>
      </c>
      <c r="C67" s="49">
        <f t="shared" si="12"/>
        <v>4.72</v>
      </c>
      <c r="D67" s="49">
        <f t="shared" si="12"/>
        <v>0.05</v>
      </c>
      <c r="E67" s="49">
        <f>MAX(C67:D67)</f>
        <v>4.72</v>
      </c>
      <c r="G67" s="1" t="str">
        <f>G61</f>
        <v>per 100 arrests</v>
      </c>
      <c r="L67" s="58">
        <f>IF(($E61&gt;0),L61,L60)</f>
        <v>100</v>
      </c>
      <c r="M67" s="58">
        <f>IF((B67=G67),1,2)</f>
        <v>1</v>
      </c>
    </row>
    <row r="68" spans="2:13" ht="15" hidden="1" customHeight="1">
      <c r="B68" s="49" t="str">
        <f t="shared" si="12"/>
        <v>per 100 arrests</v>
      </c>
      <c r="C68" s="49">
        <f t="shared" si="12"/>
        <v>4.72</v>
      </c>
      <c r="D68" s="49">
        <f t="shared" si="12"/>
        <v>0.05</v>
      </c>
      <c r="E68" s="49">
        <f>MAX(C68:D68)</f>
        <v>4.72</v>
      </c>
      <c r="G68" s="1" t="str">
        <f>G62</f>
        <v>per 100 referrals</v>
      </c>
      <c r="L68" s="58">
        <f>IF(($E62&gt;0),L62,L61)</f>
        <v>100</v>
      </c>
      <c r="M68" s="58">
        <f>IF((B68=G68),1,2)</f>
        <v>2</v>
      </c>
    </row>
    <row r="69" spans="2:13" ht="15" hidden="1" customHeight="1">
      <c r="B69" s="49" t="str">
        <f>IF(($E63&gt;0),B63,B61)</f>
        <v>per 100 arrests</v>
      </c>
      <c r="C69" s="49">
        <f>IF(($E63&gt;0),C63,C62)</f>
        <v>4.72</v>
      </c>
      <c r="D69" s="49">
        <f>IF(($E63&gt;0),D63,D62)</f>
        <v>0.05</v>
      </c>
      <c r="E69" s="49">
        <f>MAX(C69:D69)</f>
        <v>4.72</v>
      </c>
      <c r="G69" s="1" t="str">
        <f>G63</f>
        <v>per 100 youth petitioned</v>
      </c>
      <c r="L69" s="58">
        <f>IF(($E63&gt;0),L63,L62)</f>
        <v>100</v>
      </c>
      <c r="M69" s="58">
        <f>IF((B69=G69),1,2)</f>
        <v>2</v>
      </c>
    </row>
    <row r="70" spans="2:13" ht="15" hidden="1" customHeight="1">
      <c r="B70" s="49" t="str">
        <f>IF(($E64&gt;0),B64,B63)</f>
        <v>per 100 arrests</v>
      </c>
      <c r="C70" s="49">
        <f>IF(($E64&gt;0),C64,C63)</f>
        <v>4.72</v>
      </c>
      <c r="D70" s="49">
        <f>IF(($E64&gt;0),D64,D63)</f>
        <v>0.05</v>
      </c>
      <c r="E70" s="56">
        <f>MAX(C70:D70)</f>
        <v>4.72</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6" ma:contentTypeDescription="Create a new document." ma:contentTypeScope="" ma:versionID="b0020f0d0e4fc1df33350f71a38530f5">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3cca003d09c7b3d78bd28b27f338c84a"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U47JMPN4QEAR-1806752177-30499</_dlc_DocId>
    <_dlc_DocIdUrl xmlns="ac3811b5-0f3e-49e2-ba69-f2ffa0c782af">
      <Url>https://michiganphi.sharepoint.com/sites/CMDMC/_layouts/15/DocIdRedir.aspx?ID=U47JMPN4QEAR-1806752177-30499</Url>
      <Description>U47JMPN4QEAR-1806752177-30499</Description>
    </_dlc_DocIdUrl>
    <TaxCatchAll xmlns="ac3811b5-0f3e-49e2-ba69-f2ffa0c782af" xsi:nil="true"/>
    <lcf76f155ced4ddcb4097134ff3c332f xmlns="738f5db5-75d9-4d31-a801-79680892ab9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ACA724D-14F0-4E14-9BF7-3571F6A7C548}"/>
</file>

<file path=customXml/itemProps2.xml><?xml version="1.0" encoding="utf-8"?>
<ds:datastoreItem xmlns:ds="http://schemas.openxmlformats.org/officeDocument/2006/customXml" ds:itemID="{4269E95A-4185-4D69-9587-D99F81FC70C7}">
  <ds:schemaRefs>
    <ds:schemaRef ds:uri="http://schemas.microsoft.com/office/2006/metadata/properties"/>
    <ds:schemaRef ds:uri="http://schemas.microsoft.com/office/infopath/2007/PartnerControls"/>
    <ds:schemaRef ds:uri="484b6390-420c-42dd-8c3a-28591147ec7d"/>
    <ds:schemaRef ds:uri="9782a34e-d753-422a-920a-0aab6b11865f"/>
  </ds:schemaRefs>
</ds:datastoreItem>
</file>

<file path=customXml/itemProps3.xml><?xml version="1.0" encoding="utf-8"?>
<ds:datastoreItem xmlns:ds="http://schemas.openxmlformats.org/officeDocument/2006/customXml" ds:itemID="{F84AD956-166B-419C-B7FF-99F82743D255}">
  <ds:schemaRefs>
    <ds:schemaRef ds:uri="http://schemas.microsoft.com/sharepoint/v3/contenttype/forms"/>
  </ds:schemaRefs>
</ds:datastoreItem>
</file>

<file path=customXml/itemProps4.xml><?xml version="1.0" encoding="utf-8"?>
<ds:datastoreItem xmlns:ds="http://schemas.openxmlformats.org/officeDocument/2006/customXml" ds:itemID="{D2BAC3D3-A9F4-437F-9F99-CE0F2CB90CA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2023-08-30T20:23:53Z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854cb07c-ef59-485c-9298-74df7532790a</vt:lpwstr>
  </property>
</Properties>
</file>