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8" documentId="8_{51CB0178-E673-4C96-B4AC-C0A34DE2BBA0}" xr6:coauthVersionLast="47" xr6:coauthVersionMax="47" xr10:uidLastSave="{74C93BE1-73A6-4A4F-BD8D-8D6259C5193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s="1"/>
  <c r="G60" i="8" s="1"/>
  <c r="G66" i="8" s="1"/>
  <c r="L48" i="8"/>
  <c r="G51" i="8"/>
  <c r="G57" i="8" s="1"/>
  <c r="G63" i="8" s="1"/>
  <c r="G69" i="8" s="1"/>
  <c r="L54" i="8"/>
  <c r="L60" i="8" s="1"/>
  <c r="L66" i="8" s="1"/>
  <c r="G58" i="8"/>
  <c r="G64" i="8"/>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3"/>
  <c r="M66" i="3"/>
  <c r="M66" i="8"/>
  <c r="F27" i="8"/>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3" i="6"/>
  <c r="C49" i="6" s="1"/>
  <c r="E44" i="6"/>
  <c r="C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B49" i="6"/>
  <c r="D23" i="10"/>
  <c r="C48" i="7"/>
  <c r="E42" i="7"/>
  <c r="C54" i="8"/>
  <c r="E48" i="8"/>
  <c r="H26" i="10"/>
  <c r="D26" i="10"/>
  <c r="I26" i="10"/>
  <c r="C26" i="10"/>
  <c r="E20" i="10"/>
  <c r="C20" i="10"/>
  <c r="G20" i="10"/>
  <c r="H20" i="10"/>
  <c r="D20" i="10"/>
  <c r="G23" i="10"/>
  <c r="G19" i="10"/>
  <c r="E44" i="7"/>
  <c r="H23" i="10"/>
  <c r="E22" i="10"/>
  <c r="E25" i="10"/>
  <c r="F20" i="10"/>
  <c r="D50" i="6" l="1"/>
  <c r="D49" i="6"/>
  <c r="L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B58" i="8" s="1"/>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E58" i="8" l="1"/>
  <c r="L64" i="8" s="1"/>
  <c r="L64" i="3"/>
  <c r="L56" i="8"/>
  <c r="B56" i="8"/>
  <c r="D64" i="5"/>
  <c r="E64" i="5" s="1"/>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D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9" i="7" l="1"/>
  <c r="C69" i="7"/>
  <c r="D12" i="7" s="1"/>
  <c r="C63" i="8"/>
  <c r="D63" i="8"/>
  <c r="B70" i="3"/>
  <c r="M70" i="3" s="1"/>
  <c r="D70" i="6"/>
  <c r="F14" i="6" s="1"/>
  <c r="L63" i="8"/>
  <c r="L70" i="8" s="1"/>
  <c r="E63" i="3"/>
  <c r="C69" i="3" s="1"/>
  <c r="D12" i="3"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Q15" i="7"/>
  <c r="E63" i="5"/>
  <c r="L69" i="5" s="1"/>
  <c r="Q12" i="7"/>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63" i="8" l="1"/>
  <c r="D69" i="8" s="1"/>
  <c r="D15" i="3"/>
  <c r="L69" i="3"/>
  <c r="Q12" i="3" s="1"/>
  <c r="B69" i="3"/>
  <c r="M69" i="3" s="1"/>
  <c r="D70" i="8"/>
  <c r="F13" i="8" s="1"/>
  <c r="D69" i="3"/>
  <c r="E69" i="3" s="1"/>
  <c r="O13" i="3"/>
  <c r="F34" i="3"/>
  <c r="F33" i="3"/>
  <c r="F14" i="3"/>
  <c r="B69" i="6"/>
  <c r="M69" i="6" s="1"/>
  <c r="E69" i="7"/>
  <c r="Q13" i="8"/>
  <c r="F13" i="6"/>
  <c r="O14" i="6"/>
  <c r="D13" i="3"/>
  <c r="E70" i="6"/>
  <c r="E70" i="3"/>
  <c r="O13" i="6"/>
  <c r="C69" i="6"/>
  <c r="D12" i="6" s="1"/>
  <c r="Q14" i="3"/>
  <c r="F12" i="7"/>
  <c r="O12" i="7"/>
  <c r="K12" i="7" s="1"/>
  <c r="D14" i="6"/>
  <c r="O15" i="7"/>
  <c r="T15" i="7" s="1"/>
  <c r="Q13" i="3"/>
  <c r="Q13" i="6"/>
  <c r="Q14" i="6"/>
  <c r="O14" i="3"/>
  <c r="R14" i="3" s="1"/>
  <c r="S14" i="3" s="1"/>
  <c r="U14" i="3" s="1"/>
  <c r="J14" i="3" s="1"/>
  <c r="M14" i="3" s="1"/>
  <c r="G14" i="3" s="1"/>
  <c r="I15" i="16" s="1"/>
  <c r="D69" i="6"/>
  <c r="F12" i="6" s="1"/>
  <c r="T10" i="3"/>
  <c r="K10" i="4"/>
  <c r="F8" i="7"/>
  <c r="T9" i="4"/>
  <c r="F35" i="6"/>
  <c r="T11" i="4"/>
  <c r="U11" i="4" s="1"/>
  <c r="J11" i="4" s="1"/>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O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2" i="7" l="1"/>
  <c r="S12" i="7" s="1"/>
  <c r="U12" i="7" s="1"/>
  <c r="J12" i="7" s="1"/>
  <c r="E70" i="8"/>
  <c r="O15" i="3"/>
  <c r="T12" i="7"/>
  <c r="K13" i="6"/>
  <c r="F15" i="3"/>
  <c r="F12" i="3"/>
  <c r="O12" i="3"/>
  <c r="R12" i="3" s="1"/>
  <c r="S12" i="3" s="1"/>
  <c r="U12" i="3" s="1"/>
  <c r="J12" i="3" s="1"/>
  <c r="T14" i="6"/>
  <c r="O13" i="8"/>
  <c r="T13" i="8" s="1"/>
  <c r="F14" i="8"/>
  <c r="K13" i="3"/>
  <c r="F32" i="3"/>
  <c r="F35" i="3"/>
  <c r="T13" i="6"/>
  <c r="F32" i="6"/>
  <c r="R14" i="6"/>
  <c r="S14" i="6" s="1"/>
  <c r="U14" i="6" s="1"/>
  <c r="J14" i="6" s="1"/>
  <c r="M14" i="6" s="1"/>
  <c r="G14" i="6" s="1"/>
  <c r="M15" i="13" s="1"/>
  <c r="R13" i="6"/>
  <c r="S13" i="6" s="1"/>
  <c r="U13" i="6" s="1"/>
  <c r="J13" i="6" s="1"/>
  <c r="M13" i="6" s="1"/>
  <c r="G13" i="6" s="1"/>
  <c r="G13" i="9" s="1"/>
  <c r="D15" i="6"/>
  <c r="O12" i="6"/>
  <c r="K14" i="6"/>
  <c r="R15" i="7"/>
  <c r="S15" i="7" s="1"/>
  <c r="U15" i="7" s="1"/>
  <c r="J15" i="7" s="1"/>
  <c r="M15" i="7" s="1"/>
  <c r="R14" i="8"/>
  <c r="S14" i="8" s="1"/>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L12" i="7"/>
  <c r="S13" i="16" s="1"/>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T14" i="8"/>
  <c r="D13" i="2"/>
  <c r="E70" i="2"/>
  <c r="Q14" i="2"/>
  <c r="K14" i="2" s="1"/>
  <c r="M13" i="4"/>
  <c r="G13" i="4" s="1"/>
  <c r="G14" i="16" s="1"/>
  <c r="M12" i="7"/>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K13" i="8"/>
  <c r="R13" i="8"/>
  <c r="S13" i="8" s="1"/>
  <c r="U13" i="8" s="1"/>
  <c r="J13" i="8" s="1"/>
  <c r="M13" i="8" s="1"/>
  <c r="G13" i="8" s="1"/>
  <c r="K14" i="16" s="1"/>
  <c r="T12" i="3"/>
  <c r="T12" i="6"/>
  <c r="L15" i="7"/>
  <c r="S16" i="16" s="1"/>
  <c r="L13" i="6"/>
  <c r="R14" i="16" s="1"/>
  <c r="M14" i="13"/>
  <c r="R12" i="6"/>
  <c r="S12" i="6" s="1"/>
  <c r="U12" i="6" s="1"/>
  <c r="J12" i="6" s="1"/>
  <c r="M12" i="6" s="1"/>
  <c r="G12" i="6" s="1"/>
  <c r="K12" i="6"/>
  <c r="L13" i="3"/>
  <c r="P14" i="16" s="1"/>
  <c r="K15" i="6"/>
  <c r="U14" i="8"/>
  <c r="J14" i="8" s="1"/>
  <c r="N30" i="8" s="1"/>
  <c r="R15" i="6"/>
  <c r="S15" i="6" s="1"/>
  <c r="U15" i="6" s="1"/>
  <c r="J15" i="6" s="1"/>
  <c r="M15" i="6" s="1"/>
  <c r="G15" i="6" s="1"/>
  <c r="T15"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3" i="8" l="1"/>
  <c r="T14" i="16" s="1"/>
  <c r="Q14" i="13"/>
  <c r="I13" i="9"/>
  <c r="N13" i="9"/>
  <c r="X14" i="13"/>
  <c r="V14" i="13"/>
  <c r="P13" i="9"/>
  <c r="Y16" i="13"/>
  <c r="Q15" i="9"/>
  <c r="U12" i="8"/>
  <c r="J12" i="8" s="1"/>
  <c r="M12" i="8" s="1"/>
  <c r="G12" i="8" s="1"/>
  <c r="K13" i="16" s="1"/>
  <c r="L12" i="6"/>
  <c r="R13" i="16" s="1"/>
  <c r="L15" i="6"/>
  <c r="R16" i="16" s="1"/>
  <c r="U14" i="2"/>
  <c r="J14" i="2" s="1"/>
  <c r="M14" i="2" s="1"/>
  <c r="G14" i="2" s="1"/>
  <c r="E15" i="16" s="1"/>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3" i="9" l="1"/>
  <c r="Z14" i="13"/>
  <c r="L12" i="8"/>
  <c r="T13" i="16" s="1"/>
  <c r="X16" i="13"/>
  <c r="X13" i="13"/>
  <c r="P12" i="9"/>
  <c r="P15" i="9"/>
  <c r="E15" i="13"/>
  <c r="L14" i="2"/>
  <c r="N15" i="16" s="1"/>
  <c r="C14" i="9"/>
  <c r="N30" i="2"/>
  <c r="R14" i="9"/>
  <c r="I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Z13" i="13"/>
  <c r="T15" i="13"/>
  <c r="L14"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<sst xmlns="http://schemas.openxmlformats.org/spreadsheetml/2006/main" count="654" uniqueCount="141">
  <si>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</si>
  <si>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</si>
  <si>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</si>
  <si>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</si>
  <si>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</si>
  <si>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</si>
  <si>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</si>
  <si>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</si>
  <si>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</si>
  <si>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</si>
  <si>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</si>
  <si>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</si>
  <si>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</si>
  <si>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</si>
  <si>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</si>
  <si>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</si>
  <si>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</si>
  <si>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</si>
  <si>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</si>
  <si>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</si>
  <si>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</si>
  <si>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</si>
  <si>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</si>
  <si>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</si>
  <si>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</si>
  <si>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</si>
  <si>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</si>
  <si>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</si>
  <si>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</si>
  <si>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</si>
  <si>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</si>
  <si>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</si>
  <si>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</si>
  <si>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</si>
  <si>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</si>
  <si>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</si>
  <si>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</si>
  <si>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</si>
  <si>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</si>
  <si>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</si>
  <si>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</si>
  <si>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</si>
  <si>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</si>
  <si>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</si>
  <si>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</si>
  <si>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</si>
  <si>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</si>
  <si>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</si>
  <si>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</si>
  <si>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</si>
  <si>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</si>
  <si>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</si>
  <si>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</si>
  <si>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</si>
  <si>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</si>
  <si>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</si>
  <si>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</si>
  <si>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</si>
  <si>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</si>
  <si>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</si>
  <si>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</si>
  <si>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</si>
  <si>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</si>
  <si>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</si>
  <si>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</si>
  <si>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</si>
  <si>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</si>
  <si>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</si>
  <si>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</si>
  <si>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</si>
  <si>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</si>
  <si>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</si>
  <si>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</si>
  <si>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</si>
  <si>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</si>
  <si>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</si>
  <si>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</si>
  <si>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</si>
  <si>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</si>
  <si>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</si>
  <si>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</si>
  <si>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</si>
  <si>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</si>
  <si>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</si>
  <si>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</si>
  <si>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</si>
  <si>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</si>
  <si>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</si>
  <si>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</si>
  <si>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</si>
  <si>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</si>
  <si>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</si>
  <si>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</si>
  <si>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</si>
  <si>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</si>
  <si>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</si>
  <si>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</si>
  <si>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</si>
  <si>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</si>
  <si>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</si>
  <si>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</si>
  <si>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</si>
  <si>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</si>
  <si>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</si>
  <si>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</si>
  <si>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</si>
  <si>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</si>
  <si>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</si>
  <si>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</si>
  <si>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</si>
  <si>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</si>
  <si>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</si>
  <si>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</si>
  <si>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</si>
  <si>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</si>
  <si>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</si>
  <si>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</si>
  <si>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</si>
  <si>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</si>
  <si>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</si>
  <si>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</si>
  <si>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</si>
  <si>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</si>
  <si>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</si>
  <si>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</si>
  <si>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</si>
  <si>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</si>
  <si>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</si>
  <si>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</si>
  <si>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</si>
  <si>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</si>
  <si>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</si>
  <si>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</si>
  <si>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</si>
  <si>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</si>
  <si>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</si>
  <si>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Otsego</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</si>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</sst>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Otsego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N=12</c:v>
                </c:pt>
                <c:pt idx="2">
                  <c:v>Delinquent Findings, total N=10</c:v>
                </c:pt>
                <c:pt idx="3">
                  <c:v>Petitions, total N=0</c:v>
                </c:pt>
                <c:pt idx="4">
                  <c:v>Detentions, total N=0</c:v>
                </c:pt>
                <c:pt idx="5">
                  <c:v>Referrals, total N=56</c:v>
                </c:pt>
                <c:pt idx="6">
                  <c:v>Arrests, total N=22</c:v>
                </c:pt>
                <c:pt idx="7">
                  <c:v>Population, total N=2391</c:v>
                </c:pt>
              </c:strCache>
            </c:strRef>
          </c:cat>
          <c:val>
            <c:numRef>
              <c:f>'Stacked 100%'!$B$7:$B$14</c:f>
              <c:numCache>
                <c:formatCode>0%</c:formatCode>
                <c:ptCount val="8"/>
                <c:pt idx="0">
                  <c:v>0</c:v>
                </c:pt>
                <c:pt idx="1">
                  <c:v>0</c:v>
                </c:pt>
                <c:pt idx="2">
                  <c:v>0</c:v>
                </c:pt>
                <c:pt idx="3">
                  <c:v>0</c:v>
                </c:pt>
                <c:pt idx="4">
                  <c:v>0</c:v>
                </c:pt>
                <c:pt idx="5">
                  <c:v>0</c:v>
                </c:pt>
                <c:pt idx="6">
                  <c:v>4.5454545454545456E-2</c:v>
                </c:pt>
                <c:pt idx="7">
                  <c:v>1.9657047260560435E-2</c:v>
                </c:pt>
              </c:numCache>
            </c:numRef>
          </c:val>
          <c:extLst>
            <c:ext xmlns:c16="http://schemas.microsoft.com/office/drawing/2014/chart" uri="{C3380CC4-5D6E-409C-BE32-E72D297353CC}">
              <c16:uniqueId val="{00000000-BC46-429A-AE6A-45DE4E81FD1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N=12</c:v>
                </c:pt>
                <c:pt idx="2">
                  <c:v>Delinquent Findings, total N=10</c:v>
                </c:pt>
                <c:pt idx="3">
                  <c:v>Petitions, total N=0</c:v>
                </c:pt>
                <c:pt idx="4">
                  <c:v>Detentions, total N=0</c:v>
                </c:pt>
                <c:pt idx="5">
                  <c:v>Referrals, total N=56</c:v>
                </c:pt>
                <c:pt idx="6">
                  <c:v>Arrests, total N=22</c:v>
                </c:pt>
                <c:pt idx="7">
                  <c:v>Population, total N=2391</c:v>
                </c:pt>
              </c:strCache>
            </c:strRef>
          </c:cat>
          <c:val>
            <c:numRef>
              <c:f>'Stacked 100%'!$C$7:$C$14</c:f>
              <c:numCache>
                <c:formatCode>0%</c:formatCode>
                <c:ptCount val="8"/>
                <c:pt idx="0">
                  <c:v>0</c:v>
                </c:pt>
                <c:pt idx="1">
                  <c:v>0</c:v>
                </c:pt>
                <c:pt idx="2">
                  <c:v>0</c:v>
                </c:pt>
                <c:pt idx="3">
                  <c:v>0</c:v>
                </c:pt>
                <c:pt idx="4">
                  <c:v>0</c:v>
                </c:pt>
                <c:pt idx="5">
                  <c:v>1.7857142857142856E-2</c:v>
                </c:pt>
                <c:pt idx="6">
                  <c:v>0</c:v>
                </c:pt>
                <c:pt idx="7">
                  <c:v>3.2204098703471351E-2</c:v>
                </c:pt>
              </c:numCache>
            </c:numRef>
          </c:val>
          <c:extLst>
            <c:ext xmlns:c16="http://schemas.microsoft.com/office/drawing/2014/chart" uri="{C3380CC4-5D6E-409C-BE32-E72D297353CC}">
              <c16:uniqueId val="{00000001-BC46-429A-AE6A-45DE4E81FD1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N=12</c:v>
                </c:pt>
                <c:pt idx="2">
                  <c:v>Delinquent Findings, total N=10</c:v>
                </c:pt>
                <c:pt idx="3">
                  <c:v>Petitions, total N=0</c:v>
                </c:pt>
                <c:pt idx="4">
                  <c:v>Detentions, total N=0</c:v>
                </c:pt>
                <c:pt idx="5">
                  <c:v>Referrals, total N=56</c:v>
                </c:pt>
                <c:pt idx="6">
                  <c:v>Arrests, total N=22</c:v>
                </c:pt>
                <c:pt idx="7">
                  <c:v>Population, total N=2391</c:v>
                </c:pt>
              </c:strCache>
            </c:strRef>
          </c:cat>
          <c:val>
            <c:numRef>
              <c:f>'Stacked 100%'!$H$7:$H$14</c:f>
              <c:numCache>
                <c:formatCode>0%</c:formatCode>
                <c:ptCount val="8"/>
                <c:pt idx="0">
                  <c:v>0</c:v>
                </c:pt>
                <c:pt idx="1">
                  <c:v>0</c:v>
                </c:pt>
                <c:pt idx="2">
                  <c:v>0</c:v>
                </c:pt>
                <c:pt idx="3">
                  <c:v>0</c:v>
                </c:pt>
                <c:pt idx="4">
                  <c:v>0</c:v>
                </c:pt>
                <c:pt idx="5">
                  <c:v>0</c:v>
                </c:pt>
                <c:pt idx="6">
                  <c:v>0</c:v>
                </c:pt>
                <c:pt idx="7">
                  <c:v>9.6206305501198991E-6</c:v>
                </c:pt>
              </c:numCache>
            </c:numRef>
          </c:val>
          <c:extLst>
            <c:ext xmlns:c16="http://schemas.microsoft.com/office/drawing/2014/chart" uri="{C3380CC4-5D6E-409C-BE32-E72D297353CC}">
              <c16:uniqueId val="{00000002-BC46-429A-AE6A-45DE4E81FD1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N=12</c:v>
                </c:pt>
                <c:pt idx="2">
                  <c:v>Delinquent Findings, total N=10</c:v>
                </c:pt>
                <c:pt idx="3">
                  <c:v>Petitions, total N=0</c:v>
                </c:pt>
                <c:pt idx="4">
                  <c:v>Detentions, total N=0</c:v>
                </c:pt>
                <c:pt idx="5">
                  <c:v>Referrals, total N=56</c:v>
                </c:pt>
                <c:pt idx="6">
                  <c:v>Arrests, total N=22</c:v>
                </c:pt>
                <c:pt idx="7">
                  <c:v>Population, total N=2391</c:v>
                </c:pt>
              </c:strCache>
            </c:strRef>
          </c:cat>
          <c:val>
            <c:numRef>
              <c:f>'Stacked 100%'!$I$7:$I$14</c:f>
              <c:numCache>
                <c:formatCode>0%</c:formatCode>
                <c:ptCount val="8"/>
                <c:pt idx="0">
                  <c:v>0</c:v>
                </c:pt>
                <c:pt idx="1">
                  <c:v>1</c:v>
                </c:pt>
                <c:pt idx="2">
                  <c:v>1</c:v>
                </c:pt>
                <c:pt idx="3">
                  <c:v>0</c:v>
                </c:pt>
                <c:pt idx="4">
                  <c:v>0</c:v>
                </c:pt>
                <c:pt idx="5">
                  <c:v>0.8214285714285714</c:v>
                </c:pt>
                <c:pt idx="6">
                  <c:v>0.90909090909090906</c:v>
                </c:pt>
                <c:pt idx="7">
                  <c:v>0.92513592639063158</c:v>
                </c:pt>
              </c:numCache>
            </c:numRef>
          </c:val>
          <c:extLst>
            <c:ext xmlns:c16="http://schemas.microsoft.com/office/drawing/2014/chart" uri="{C3380CC4-5D6E-409C-BE32-E72D297353CC}">
              <c16:uniqueId val="{00000003-BC46-429A-AE6A-45DE4E81FD1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N=12</c:v>
                </c:pt>
                <c:pt idx="2">
                  <c:v>Delinquent Findings, total N=10</c:v>
                </c:pt>
                <c:pt idx="3">
                  <c:v>Petitions, total N=0</c:v>
                </c:pt>
                <c:pt idx="4">
                  <c:v>Detentions, total N=0</c:v>
                </c:pt>
                <c:pt idx="5">
                  <c:v>Referrals, total N=56</c:v>
                </c:pt>
                <c:pt idx="6">
                  <c:v>Arrests, total N=22</c:v>
                </c:pt>
                <c:pt idx="7">
                  <c:v>Population, total N=2391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C46-429A-AE6A-45DE4E81FD1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2391</v>
      </c>
      <c r="C6" s="11">
        <v>2212</v>
      </c>
      <c r="D6" s="11">
        <v>47</v>
      </c>
      <c r="E6" s="11">
        <v>77</v>
      </c>
      <c r="F6" s="11">
        <v>18</v>
      </c>
      <c r="G6" s="11"/>
      <c r="H6" s="11">
        <v>37</v>
      </c>
      <c r="I6" s="11"/>
      <c r="J6" s="91">
        <f>SUM(D6:I6)</f>
        <v>179</v>
      </c>
      <c r="K6" s="92"/>
    </row>
    <row r="7" spans="1:11" ht="15.75" customHeight="1" thickBot="1">
      <c r="A7" s="10" t="s">
        <v>8</v>
      </c>
      <c r="B7" s="11">
        <f t="shared" ref="B7:B15" si="0">SUM(C7:I7)+K7</f>
        <v>22</v>
      </c>
      <c r="C7" s="11">
        <v>20</v>
      </c>
      <c r="D7" s="11">
        <v>1</v>
      </c>
      <c r="E7" s="11"/>
      <c r="F7" s="11"/>
      <c r="G7" s="11"/>
      <c r="H7" s="11"/>
      <c r="I7" s="11"/>
      <c r="J7" s="91">
        <f t="shared" ref="J7:J15" si="1">SUM(D7:I7)</f>
        <v>1</v>
      </c>
      <c r="K7" s="92">
        <v>1</v>
      </c>
    </row>
    <row r="8" spans="1:11" ht="15.75" customHeight="1" thickBot="1">
      <c r="A8" s="10" t="s">
        <v>9</v>
      </c>
      <c r="B8" s="11">
        <f t="shared" si="0"/>
        <v>56</v>
      </c>
      <c r="C8" s="11">
        <v>46</v>
      </c>
      <c r="D8" s="11"/>
      <c r="E8" s="11">
        <v>1</v>
      </c>
      <c r="F8" s="11"/>
      <c r="G8" s="11"/>
      <c r="H8" s="11"/>
      <c r="I8" s="11"/>
      <c r="J8" s="91">
        <f t="shared" si="1"/>
        <v>1</v>
      </c>
      <c r="K8" s="92">
        <v>9</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10</v>
      </c>
      <c r="C12" s="11">
        <v>10</v>
      </c>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12</v>
      </c>
      <c r="C14" s="11">
        <v>12</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2212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9.0415913200723317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v>
      </c>
      <c r="Q7" s="42">
        <f>C6-C7</f>
        <v>2192</v>
      </c>
      <c r="R7" s="42">
        <f t="shared" ref="R7:R15" si="5">SUM(N7:Q7)</f>
        <v>2212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46</v>
      </c>
      <c r="D8" s="34">
        <f>IF((AND(C67&gt;0,C8&gt;0)),(C8/C67),0)</f>
        <v>230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46</v>
      </c>
      <c r="Q8" s="42">
        <f>(C$67*L67)-C8</f>
        <v>-26</v>
      </c>
      <c r="R8" s="42">
        <f t="shared" si="5"/>
        <v>20.049999999999997</v>
      </c>
      <c r="S8" s="30">
        <f t="shared" si="6"/>
        <v>106.06450000000001</v>
      </c>
      <c r="T8" s="30">
        <f t="shared" si="7"/>
        <v>-1193.7</v>
      </c>
      <c r="U8" s="31">
        <f t="shared" si="8"/>
        <v>-8.8853564547206165E-2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46</v>
      </c>
      <c r="R9" s="42">
        <f t="shared" si="5"/>
        <v>46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46</v>
      </c>
      <c r="R10" s="42">
        <f t="shared" si="5"/>
        <v>46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46</v>
      </c>
      <c r="R11" s="42">
        <f t="shared" si="5"/>
        <v>46</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12</v>
      </c>
      <c r="D14" s="34">
        <f>IF(((AND(C70&gt;0,C14&gt;0))), ((C14/(C70))),0)</f>
        <v>120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12</v>
      </c>
      <c r="Q14" s="42">
        <f>(C70*L70)-C14</f>
        <v>-2</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46</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2.2120000000000002</v>
      </c>
      <c r="D42" s="56">
        <f>E6/1000</f>
        <v>0</v>
      </c>
      <c r="E42" s="56">
        <f>MAX(C42:D42)</f>
        <v>2.2120000000000002</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0.46</v>
      </c>
      <c r="D44" s="56">
        <f>E8/100</f>
        <v>0</v>
      </c>
      <c r="E44" s="56">
        <f>MAX(C44:D44,0)</f>
        <v>0.46</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2.2120000000000002</v>
      </c>
      <c r="D48" s="56">
        <f>D42</f>
        <v>0</v>
      </c>
      <c r="E48" s="56">
        <f>MAX(C48:D48)</f>
        <v>2.2120000000000002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0.46</v>
      </c>
      <c r="D50" s="49">
        <f t="shared" si="9"/>
        <v>0</v>
      </c>
      <c r="E50" s="49">
        <f>MAX(C50:D50)</f>
        <v>0.46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2.2120000000000002</v>
      </c>
      <c r="D54" s="56">
        <f>D48</f>
        <v>0</v>
      </c>
      <c r="E54" s="56">
        <f>MAX(C54:D54)</f>
        <v>2.2120000000000002</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0.46</v>
      </c>
      <c r="D56" s="49">
        <f t="shared" si="10"/>
        <v>0</v>
      </c>
      <c r="E56" s="49">
        <f>MAX(C56:D56)</f>
        <v>0.46</v>
      </c>
      <c r="G56" s="1" t="str">
        <f>G50</f>
        <v>per 100 referrals</v>
      </c>
      <c r="L56" s="58">
        <f>IF(($E50&gt;0),L50,L49)</f>
        <v>100</v>
      </c>
      <c r="M56" s="58"/>
    </row>
    <row r="57" spans="2:18" ht="15" hidden="1" customHeight="1">
      <c r="B57" s="49" t="str">
        <f>IF(($E51&gt;0),B51,B49)</f>
        <v>per 100 arrests</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2.2120000000000002</v>
      </c>
      <c r="D60" s="56">
        <f>D54</f>
        <v>0</v>
      </c>
      <c r="E60" s="56">
        <f>MAX(C60:D60)</f>
        <v>2.2120000000000002</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0.46</v>
      </c>
      <c r="D62" s="49">
        <f t="shared" si="11"/>
        <v>0</v>
      </c>
      <c r="E62" s="49">
        <f>MAX(C62:D62)</f>
        <v>0.46</v>
      </c>
      <c r="G62" s="1" t="str">
        <f>G56</f>
        <v>per 100 referrals</v>
      </c>
      <c r="L62" s="58">
        <f>IF(($E56&gt;0),L56,L55)</f>
        <v>100</v>
      </c>
      <c r="M62" s="58"/>
    </row>
    <row r="63" spans="2:18" ht="15" hidden="1" customHeight="1">
      <c r="B63" s="49" t="str">
        <f>IF(($E57&gt;0),B57,B55)</f>
        <v>per 100 arrests</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2.2120000000000002</v>
      </c>
      <c r="D66" s="56">
        <f>D60</f>
        <v>0</v>
      </c>
      <c r="E66" s="56">
        <f>MAX(C66:D66)</f>
        <v>2.2120000000000002</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0.46</v>
      </c>
      <c r="D68" s="49">
        <f t="shared" si="12"/>
        <v>0</v>
      </c>
      <c r="E68" s="49">
        <f>MAX(C68:D68)</f>
        <v>0.46</v>
      </c>
      <c r="G68" s="1" t="str">
        <f>G62</f>
        <v>per 100 referrals</v>
      </c>
      <c r="L68" s="58">
        <f>IF(($E62&gt;0),L62,L61)</f>
        <v>100</v>
      </c>
      <c r="M68" s="58">
        <f>IF((B68=G68),1,2)</f>
        <v>1</v>
      </c>
    </row>
    <row r="69" spans="2:13" ht="15" hidden="1" customHeight="1">
      <c r="B69" s="49" t="str">
        <f>IF(($E63&gt;0),B63,B61)</f>
        <v>per 100 arrests</v>
      </c>
      <c r="C69" s="49">
        <f>IF(($E63&gt;0),C63,C62)</f>
        <v>0.46</v>
      </c>
      <c r="D69" s="49">
        <f>IF(($E63&gt;0),D63,D62)</f>
        <v>0</v>
      </c>
      <c r="E69" s="49">
        <f>MAX(C69:D69)</f>
        <v>0.46</v>
      </c>
      <c r="G69" s="1" t="str">
        <f>G63</f>
        <v>per 100 youth petitioned</v>
      </c>
      <c r="L69" s="58">
        <f>IF(($E63&gt;0),L63,L62)</f>
        <v>100</v>
      </c>
      <c r="M69" s="58">
        <f>IF((B69=G69),1,2)</f>
        <v>2</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2212</v>
      </c>
      <c r="D6" s="34"/>
      <c r="E6" s="33">
        <f>'Data Entry'!J6</f>
        <v>179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9.0415913200723317</v>
      </c>
      <c r="E7" s="33">
        <f>'Data Entry'!J7</f>
        <v>1</v>
      </c>
      <c r="F7" s="34">
        <f>IF((AND($E$7&gt;0,$D$66&gt;0)),($E$7/$D$66),0)</f>
        <v>5.5865921787709496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178</v>
      </c>
      <c r="P7" s="42">
        <f t="shared" ref="P7:P15" si="4">C7</f>
        <v>20</v>
      </c>
      <c r="Q7" s="42">
        <f>C6-C7</f>
        <v>2192</v>
      </c>
      <c r="R7" s="42">
        <f t="shared" ref="R7:R15" si="5">SUM(N7:Q7)</f>
        <v>2391</v>
      </c>
      <c r="S7" s="30">
        <f t="shared" ref="S7:S15" si="6">R7*((((N7*Q7)-(O7*P7))^2))</f>
        <v>4474574784</v>
      </c>
      <c r="T7" s="30">
        <f t="shared" ref="T7:T15" si="7">(N7+O7)*(P7+Q7)*(N7+P7)*(O7+Q7)</f>
        <v>19706331960</v>
      </c>
      <c r="U7" s="31">
        <f t="shared" ref="U7:U15" si="8">IF((S7&gt;0),S7/T7,"- -")</f>
        <v>0.22706279347584887</v>
      </c>
    </row>
    <row r="8" spans="2:21" ht="18" customHeight="1">
      <c r="B8" s="32" t="str">
        <f>'Data Entry'!A8</f>
        <v>3. Refer to Juvenile Court</v>
      </c>
      <c r="C8" s="33">
        <f>'Data Entry'!C8</f>
        <v>46</v>
      </c>
      <c r="D8" s="34">
        <f>IF((AND(C67&gt;0,C8&gt;0)),(C8/C67),0)</f>
        <v>230</v>
      </c>
      <c r="E8" s="33">
        <f>'Data Entry'!J8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46</v>
      </c>
      <c r="Q8" s="42">
        <f>(C$67*L67)-C8</f>
        <v>-26</v>
      </c>
      <c r="R8" s="42">
        <f t="shared" si="5"/>
        <v>21.049999999999997</v>
      </c>
      <c r="S8" s="30">
        <f t="shared" si="6"/>
        <v>16858.734499999999</v>
      </c>
      <c r="T8" s="30">
        <f t="shared" si="7"/>
        <v>-25612.649999999998</v>
      </c>
      <c r="U8" s="31">
        <f t="shared" si="8"/>
        <v>-0.65821906362676252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46</v>
      </c>
      <c r="R9" s="42">
        <f t="shared" si="5"/>
        <v>47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46</v>
      </c>
      <c r="R10" s="42">
        <f t="shared" si="5"/>
        <v>47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46</v>
      </c>
      <c r="R11" s="42">
        <f t="shared" si="5"/>
        <v>47</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10</v>
      </c>
      <c r="Q12" s="42">
        <f>(C69*L69)-C12</f>
        <v>36</v>
      </c>
      <c r="R12" s="42">
        <f t="shared" si="5"/>
        <v>47</v>
      </c>
      <c r="S12" s="30">
        <f t="shared" si="6"/>
        <v>4700</v>
      </c>
      <c r="T12" s="30">
        <f t="shared" si="7"/>
        <v>17020</v>
      </c>
      <c r="U12" s="31">
        <f t="shared" si="8"/>
        <v>0.27614571092831963</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12</v>
      </c>
      <c r="D14" s="34">
        <f>IF(((AND(C70&gt;0,C14&gt;0))), ((C14/(C70))),0)</f>
        <v>120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12</v>
      </c>
      <c r="Q14" s="42">
        <f>(C70*L70)-C14</f>
        <v>-2</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46</v>
      </c>
      <c r="R15" s="42">
        <f t="shared" si="5"/>
        <v>47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2.2120000000000002</v>
      </c>
      <c r="D42" s="56">
        <f>E6/1000</f>
        <v>0.17899999999999999</v>
      </c>
      <c r="E42" s="56">
        <f>MAX(C42:D42)</f>
        <v>2.2120000000000002</v>
      </c>
      <c r="G42" s="1" t="str">
        <f>B42</f>
        <v>per 1000 youth</v>
      </c>
      <c r="L42" s="57">
        <v>1000</v>
      </c>
      <c r="M42" s="57"/>
      <c r="R42" s="49"/>
    </row>
    <row r="43" spans="2:18" ht="15" hidden="1" customHeight="1">
      <c r="B43" s="49" t="s">
        <v>87</v>
      </c>
      <c r="C43" s="56">
        <f>C7/100</f>
        <v>0.2</v>
      </c>
      <c r="D43" s="56">
        <f>E7/100</f>
        <v>0.01</v>
      </c>
      <c r="E43" s="56">
        <f>MAX(C43:D43,0)</f>
        <v>0.2</v>
      </c>
      <c r="G43" s="1" t="str">
        <f>B43</f>
        <v>per 100 arrests</v>
      </c>
      <c r="L43" s="57">
        <v>100</v>
      </c>
      <c r="M43" s="57"/>
      <c r="R43" s="49"/>
    </row>
    <row r="44" spans="2:18" ht="15" hidden="1" customHeight="1">
      <c r="B44" s="49" t="s">
        <v>88</v>
      </c>
      <c r="C44" s="56">
        <f>C8/100</f>
        <v>0.46</v>
      </c>
      <c r="D44" s="56">
        <f>E8/100</f>
        <v>0.01</v>
      </c>
      <c r="E44" s="56">
        <f>MAX(C44:D44,0)</f>
        <v>0.46</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2.2120000000000002</v>
      </c>
      <c r="D48" s="56">
        <f>D42</f>
        <v>0.17899999999999999</v>
      </c>
      <c r="E48" s="56">
        <f>MAX(C48:D48)</f>
        <v>2.2120000000000002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0.01</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0.46</v>
      </c>
      <c r="D50" s="49">
        <f t="shared" si="9"/>
        <v>0.01</v>
      </c>
      <c r="E50" s="49">
        <f>MAX(C50:D50)</f>
        <v>0.46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0.46</v>
      </c>
      <c r="D51" s="49">
        <f>IF(($E45&gt;0),D45,D44)</f>
        <v>0.01</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2.2120000000000002</v>
      </c>
      <c r="D54" s="56">
        <f>D48</f>
        <v>0.17899999999999999</v>
      </c>
      <c r="E54" s="56">
        <f>MAX(C54:D54)</f>
        <v>2.2120000000000002</v>
      </c>
      <c r="G54" s="1" t="str">
        <f>G48</f>
        <v>per 1000 youth</v>
      </c>
      <c r="L54" s="58">
        <f>L48</f>
        <v>1000</v>
      </c>
      <c r="M54" s="58"/>
    </row>
    <row r="55" spans="2:18" ht="15" hidden="1" customHeight="1">
      <c r="B55" s="49" t="str">
        <f t="shared" ref="B55:D56" si="10">IF(($E49&gt;0),B49,B48)</f>
        <v>per 100 arrests</v>
      </c>
      <c r="C55" s="49">
        <f t="shared" si="10"/>
        <v>0.2</v>
      </c>
      <c r="D55" s="49">
        <f t="shared" si="10"/>
        <v>0.01</v>
      </c>
      <c r="E55" s="49">
        <f>MAX(C55:D55)</f>
        <v>0.2</v>
      </c>
      <c r="G55" s="1" t="str">
        <f>G49</f>
        <v>per 100 arrests</v>
      </c>
      <c r="L55" s="58">
        <f>IF(($E49&gt;0),L49,L48)</f>
        <v>100</v>
      </c>
      <c r="M55" s="58"/>
    </row>
    <row r="56" spans="2:18" ht="15" hidden="1" customHeight="1">
      <c r="B56" s="49" t="str">
        <f t="shared" si="10"/>
        <v>per 100 referrals</v>
      </c>
      <c r="C56" s="49">
        <f t="shared" si="10"/>
        <v>0.46</v>
      </c>
      <c r="D56" s="49">
        <f t="shared" si="10"/>
        <v>0.01</v>
      </c>
      <c r="E56" s="49">
        <f>MAX(C56:D56)</f>
        <v>0.46</v>
      </c>
      <c r="G56" s="1" t="str">
        <f>G50</f>
        <v>per 100 referrals</v>
      </c>
      <c r="L56" s="58">
        <f>IF(($E50&gt;0),L50,L49)</f>
        <v>100</v>
      </c>
      <c r="M56" s="58"/>
    </row>
    <row r="57" spans="2:18" ht="15" hidden="1" customHeight="1">
      <c r="B57" s="49" t="str">
        <f>IF(($E51&gt;0),B51,B49)</f>
        <v>per 100 arrests</v>
      </c>
      <c r="C57" s="49">
        <f>IF(($E51&gt;0),C51,C50)</f>
        <v>0.46</v>
      </c>
      <c r="D57" s="49">
        <f>IF(($E51&gt;0),D51,D50)</f>
        <v>0.01</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2.2120000000000002</v>
      </c>
      <c r="D60" s="56">
        <f>D54</f>
        <v>0.17899999999999999</v>
      </c>
      <c r="E60" s="56">
        <f>MAX(C60:D60)</f>
        <v>2.2120000000000002</v>
      </c>
      <c r="G60" s="1" t="str">
        <f>G54</f>
        <v>per 1000 youth</v>
      </c>
      <c r="L60" s="58">
        <f>L54</f>
        <v>1000</v>
      </c>
      <c r="M60" s="58"/>
    </row>
    <row r="61" spans="2:18" ht="15" hidden="1" customHeight="1">
      <c r="B61" s="49" t="str">
        <f t="shared" ref="B61:D62" si="11">IF(($E55&gt;0),B55,B54)</f>
        <v>per 100 arrests</v>
      </c>
      <c r="C61" s="49">
        <f t="shared" si="11"/>
        <v>0.2</v>
      </c>
      <c r="D61" s="49">
        <f t="shared" si="11"/>
        <v>0.01</v>
      </c>
      <c r="E61" s="49">
        <f>MAX(C61:D61)</f>
        <v>0.2</v>
      </c>
      <c r="G61" s="1" t="str">
        <f>G55</f>
        <v>per 100 arrests</v>
      </c>
      <c r="L61" s="58">
        <f>IF(($E55&gt;0),L55,L54)</f>
        <v>100</v>
      </c>
      <c r="M61" s="58"/>
    </row>
    <row r="62" spans="2:18" ht="15" hidden="1" customHeight="1">
      <c r="B62" s="49" t="str">
        <f t="shared" si="11"/>
        <v>per 100 referrals</v>
      </c>
      <c r="C62" s="49">
        <f t="shared" si="11"/>
        <v>0.46</v>
      </c>
      <c r="D62" s="49">
        <f t="shared" si="11"/>
        <v>0.01</v>
      </c>
      <c r="E62" s="49">
        <f>MAX(C62:D62)</f>
        <v>0.46</v>
      </c>
      <c r="G62" s="1" t="str">
        <f>G56</f>
        <v>per 100 referrals</v>
      </c>
      <c r="L62" s="58">
        <f>IF(($E56&gt;0),L56,L55)</f>
        <v>100</v>
      </c>
      <c r="M62" s="58"/>
    </row>
    <row r="63" spans="2:18" ht="15" hidden="1" customHeight="1">
      <c r="B63" s="49" t="str">
        <f>IF(($E57&gt;0),B57,B55)</f>
        <v>per 100 arrests</v>
      </c>
      <c r="C63" s="49">
        <f>IF(($E57&gt;0),C57,C56)</f>
        <v>0.46</v>
      </c>
      <c r="D63" s="49">
        <f>IF(($E57&gt;0),D57,D56)</f>
        <v>0.01</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2.2120000000000002</v>
      </c>
      <c r="D66" s="56">
        <f>D60</f>
        <v>0.17899999999999999</v>
      </c>
      <c r="E66" s="56">
        <f>MAX(C66:D66)</f>
        <v>2.2120000000000002</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0.01</v>
      </c>
      <c r="E67" s="49">
        <f>MAX(C67:D67)</f>
        <v>0.2</v>
      </c>
      <c r="G67" s="1" t="str">
        <f>G61</f>
        <v>per 100 arrests</v>
      </c>
      <c r="L67" s="58">
        <f>IF(($E61&gt;0),L61,L60)</f>
        <v>100</v>
      </c>
      <c r="M67" s="58">
        <f>IF((B67=G67),1,2)</f>
        <v>1</v>
      </c>
    </row>
    <row r="68" spans="2:13" ht="15" hidden="1" customHeight="1">
      <c r="B68" s="49" t="str">
        <f t="shared" si="12"/>
        <v>per 100 referrals</v>
      </c>
      <c r="C68" s="49">
        <f t="shared" si="12"/>
        <v>0.46</v>
      </c>
      <c r="D68" s="49">
        <f t="shared" si="12"/>
        <v>0.01</v>
      </c>
      <c r="E68" s="49">
        <f>MAX(C68:D68)</f>
        <v>0.46</v>
      </c>
      <c r="G68" s="1" t="str">
        <f>G62</f>
        <v>per 100 referrals</v>
      </c>
      <c r="L68" s="58">
        <f>IF(($E62&gt;0),L62,L61)</f>
        <v>100</v>
      </c>
      <c r="M68" s="58">
        <f>IF((B68=G68),1,2)</f>
        <v>1</v>
      </c>
    </row>
    <row r="69" spans="2:13" ht="15" hidden="1" customHeight="1">
      <c r="B69" s="49" t="str">
        <f>IF(($E63&gt;0),B63,B61)</f>
        <v>per 100 arrests</v>
      </c>
      <c r="C69" s="49">
        <f>IF(($E63&gt;0),C63,C62)</f>
        <v>0.46</v>
      </c>
      <c r="D69" s="49">
        <f>IF(($E63&gt;0),D63,D62)</f>
        <v>0.01</v>
      </c>
      <c r="E69" s="49">
        <f>MAX(C69:D69)</f>
        <v>0.46</v>
      </c>
      <c r="G69" s="1" t="str">
        <f>G63</f>
        <v>per 100 youth petitioned</v>
      </c>
      <c r="L69" s="58">
        <f>IF(($E63&gt;0),L63,L62)</f>
        <v>100</v>
      </c>
      <c r="M69" s="58">
        <f>IF((B69=G69),1,2)</f>
        <v>2</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Otsego</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f>Hispanic!L12</f>
        <v>40</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2391</v>
      </c>
      <c r="D3" s="57">
        <f>'Data Entry'!C6</f>
        <v>2212</v>
      </c>
      <c r="E3" s="57">
        <f>'Data Entry'!D6</f>
        <v>47</v>
      </c>
      <c r="F3" s="57">
        <f>'Data Entry'!E6</f>
        <v>77</v>
      </c>
      <c r="G3" s="57">
        <f>'Data Entry'!F6</f>
        <v>18</v>
      </c>
      <c r="H3" s="57">
        <f>'Data Entry'!G6</f>
        <v>0</v>
      </c>
      <c r="I3" s="57">
        <f>'Data Entry'!H6</f>
        <v>37</v>
      </c>
      <c r="J3" s="57">
        <f>'Data Entry'!I6</f>
        <v>0</v>
      </c>
      <c r="K3" s="57">
        <f>'Data Entry'!J6</f>
        <v>179</v>
      </c>
    </row>
    <row r="4" spans="2:11" ht="15" customHeight="1">
      <c r="B4" s="16" t="s">
        <v>8</v>
      </c>
      <c r="C4" s="1">
        <f>IF((C$3&gt;0),(1000*('Data Entry'!B7/'Data Entry'!B$6)), 0)</f>
        <v>9.2011710581346726</v>
      </c>
      <c r="D4" s="1">
        <f>IF((D$3&gt;0),(1000*('Data Entry'!C7/'Data Entry'!C$6)), 0)</f>
        <v>9.0415913200723335</v>
      </c>
      <c r="E4" s="1">
        <f>IF((E$3&gt;0),(1000*('Data Entry'!D7/'Data Entry'!D$6)), 0)</f>
        <v>21.276595744680851</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5.5865921787709496</v>
      </c>
    </row>
    <row r="5" spans="2:11" ht="15" customHeight="1">
      <c r="B5" s="16" t="s">
        <v>9</v>
      </c>
      <c r="C5" s="1">
        <f>IF((C$3&gt;0),(1000*('Data Entry'!B8/'Data Entry'!B$6)), 0)</f>
        <v>23.421162693433708</v>
      </c>
      <c r="D5" s="1">
        <f>IF((D$3&gt;0),(1000*('Data Entry'!C8/'Data Entry'!C$6)), 0)</f>
        <v>20.795660036166364</v>
      </c>
      <c r="E5" s="1">
        <f>IF((E$3&gt;0),(1000*('Data Entry'!D8/'Data Entry'!D$6)), 0)</f>
        <v>0</v>
      </c>
      <c r="F5" s="1">
        <f>IF((F$3&gt;0),(1000*('Data Entry'!E8/'Data Entry'!E$6)), 0)</f>
        <v>12.987012987012989</v>
      </c>
      <c r="G5" s="1">
        <f>IF((G$3&gt;0),(1000*('Data Entry'!F8/'Data Entry'!F$6)), 0)</f>
        <v>0</v>
      </c>
      <c r="H5" s="1">
        <f>IF((H$3&gt;0),(1000*('Data Entry'!G8/'Data Entry'!G$6)), 0)</f>
        <v>0</v>
      </c>
      <c r="I5" s="1">
        <f>IF((I$3&gt;0),(1000*('Data Entry'!H8/'Data Entry'!H$6)), 0)</f>
        <v>0</v>
      </c>
      <c r="J5" s="1">
        <f>IF((J$3&gt;0),(1000*('Data Entry'!I8/'Data Entry'!I$6)), 0)</f>
        <v>0</v>
      </c>
      <c r="K5" s="1">
        <f>IF((K$3&gt;0),(1000*('Data Entry'!J8/'Data Entry'!J$6)), 0)</f>
        <v>5.5865921787709496</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4.1823504809703058</v>
      </c>
      <c r="D9" s="1">
        <f>IF((D$3&gt;0),(1000*('Data Entry'!C12/'Data Entry'!C$6)), 0)</f>
        <v>4.5207956600361667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5.0188205771643659</v>
      </c>
      <c r="D11" s="1">
        <f>IF((D$3&gt;0),(1000*('Data Entry'!C14/'Data Entry'!C$6)), 0)</f>
        <v>5.4249547920433994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Otsego</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2.3531914893617021</v>
      </c>
      <c r="E19" s="72" t="str">
        <f t="shared" si="1"/>
        <v>--</v>
      </c>
      <c r="F19" s="72" t="str">
        <f t="shared" si="1"/>
        <v>--</v>
      </c>
      <c r="G19" s="72" t="str">
        <f t="shared" si="1"/>
        <v>--</v>
      </c>
      <c r="H19" s="72" t="str">
        <f t="shared" si="1"/>
        <v>--</v>
      </c>
      <c r="I19" s="72" t="str">
        <f t="shared" si="1"/>
        <v>--</v>
      </c>
      <c r="J19" s="73">
        <f t="shared" si="1"/>
        <v>0.617877094972067</v>
      </c>
    </row>
    <row r="20" spans="2:10" ht="15" customHeight="1">
      <c r="B20" s="71" t="s">
        <v>9</v>
      </c>
      <c r="C20" s="72">
        <f t="shared" ref="C20:J27" si="2">IF(AND(($D5&gt;0),(D5&gt;0)), (D5/$D5),"--")</f>
        <v>1</v>
      </c>
      <c r="D20" s="72" t="str">
        <f t="shared" si="2"/>
        <v>--</v>
      </c>
      <c r="E20" s="72">
        <f t="shared" si="2"/>
        <v>0.62450592885375511</v>
      </c>
      <c r="F20" s="72" t="str">
        <f t="shared" si="2"/>
        <v>--</v>
      </c>
      <c r="G20" s="72" t="str">
        <f t="shared" si="2"/>
        <v>--</v>
      </c>
      <c r="H20" s="72" t="str">
        <f t="shared" si="2"/>
        <v>--</v>
      </c>
      <c r="I20" s="72" t="str">
        <f t="shared" si="2"/>
        <v>--</v>
      </c>
      <c r="J20" s="73">
        <f t="shared" si="2"/>
        <v>0.26864221520524656</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Otsego</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2212</v>
      </c>
      <c r="D7" s="104">
        <f>'Data Entry'!D6</f>
        <v>47</v>
      </c>
      <c r="E7" s="105"/>
      <c r="F7" s="106">
        <f>'Data Entry'!E6</f>
        <v>77</v>
      </c>
      <c r="G7" s="105"/>
      <c r="H7" s="106">
        <f>'Data Entry'!F6</f>
        <v>18</v>
      </c>
      <c r="I7" s="105"/>
      <c r="J7" s="106">
        <f>'Data Entry'!G6</f>
        <v>0</v>
      </c>
      <c r="K7" s="105"/>
      <c r="L7" s="106">
        <f>'Data Entry'!H6</f>
        <v>37</v>
      </c>
      <c r="M7" s="105"/>
      <c r="N7" s="106">
        <f>'Data Entry'!I6</f>
        <v>0</v>
      </c>
      <c r="O7" s="105"/>
      <c r="P7" s="106">
        <f>'Data Entry'!J6</f>
        <v>179</v>
      </c>
      <c r="Q7" s="107"/>
    </row>
    <row r="8" spans="2:26" s="1" customFormat="1" ht="15" customHeight="1">
      <c r="B8" s="142" t="s">
        <v>8</v>
      </c>
      <c r="C8" s="103">
        <f>'Data Entry'!C7</f>
        <v>20</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46</v>
      </c>
      <c r="D9" s="108">
        <f>'Data Entry'!D8</f>
        <v>0</v>
      </c>
      <c r="E9" s="109" t="str">
        <f>'Black or African-American'!$G8</f>
        <v>**</v>
      </c>
      <c r="F9" s="110">
        <f>'Data Entry'!E8</f>
        <v>1</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v>
      </c>
      <c r="Q9" s="111" t="str">
        <f>'All Minorities'!G8</f>
        <v>**</v>
      </c>
      <c r="R9"/>
      <c r="T9" s="1">
        <f>'Black or African-American'!L8</f>
        <v>40</v>
      </c>
      <c r="U9" s="1">
        <f>Hispanic!L8</f>
        <v>20</v>
      </c>
      <c r="V9" s="1">
        <f>Asian!L8</f>
        <v>139</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10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f>Hispanic!L12</f>
        <v>40</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12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Otsego</v>
      </c>
    </row>
    <row r="6" spans="1:12">
      <c r="A6" s="135" t="str">
        <f>CONCATENATE("Percentage of Minorities at Stages of the Juvenile Justice System, ", A5, " 2022")</f>
        <v>Percentage of Minorities at Stages of the Juvenile Justice System, County: Otsego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12.357541899441342</v>
      </c>
    </row>
    <row r="8" spans="1:12" ht="25.5" customHeight="1">
      <c r="A8" s="151" t="str">
        <f>CONCATENATE("Confinement, total N=", 'Data Entry'!B14)</f>
        <v>Confinement, total N=12</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N=12</v>
      </c>
      <c r="L8">
        <f>I14/(SUM(B14:G14))</f>
        <v>12.357541899441342</v>
      </c>
    </row>
    <row r="9" spans="1:12">
      <c r="A9" s="128" t="str">
        <f>CONCATENATE("Delinquent Findings, total N=", 'Data Entry'!B12)</f>
        <v>Delinquent Findings, total N=10</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N=10</v>
      </c>
      <c r="L9">
        <f>I14/(SUM(B14:G14))</f>
        <v>12.357541899441342</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12.357541899441342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12.357541899441342</v>
      </c>
    </row>
    <row r="12" spans="1:12">
      <c r="A12" s="128" t="str">
        <f>CONCATENATE("Referrals, total N=", 'Data Entry'!B8)</f>
        <v>Referrals, total N=56</v>
      </c>
      <c r="B12" s="150">
        <f>'Data Entry'!D8/'Data Entry'!B8</f>
        <v>0</v>
      </c>
      <c r="C12" s="150">
        <f>'Data Entry'!E8/'Data Entry'!B8</f>
        <v>1.7857142857142856E-2</v>
      </c>
      <c r="D12" s="150">
        <f>'Data Entry'!F8/'Data Entry'!B8</f>
        <v>0</v>
      </c>
      <c r="E12" s="150">
        <f>'Data Entry'!G8/'Data Entry'!B8</f>
        <v>0</v>
      </c>
      <c r="F12" s="150">
        <f>'Data Entry'!H8/'Data Entry'!B8</f>
        <v>0</v>
      </c>
      <c r="G12" s="150">
        <f>'Data Entry'!I8/'Data Entry'!B8</f>
        <v>0</v>
      </c>
      <c r="H12" s="150">
        <f>SUM(D12:G12)/'Data Entry'!B8</f>
        <v>0</v>
      </c>
      <c r="I12" s="150">
        <f>'Data Entry'!C8/'Data Entry'!B8</f>
        <v>0.8214285714285714</v>
      </c>
      <c r="K12" s="96" t="str">
        <f t="shared" si="0"/>
        <v>Referrals, total N=56</v>
      </c>
      <c r="L12">
        <f>I14/(SUM(B14:G14))</f>
        <v>12.357541899441342</v>
      </c>
    </row>
    <row r="13" spans="1:12">
      <c r="A13" s="128" t="str">
        <f>CONCATENATE("Arrests, total N=", 'Data Entry'!B7)</f>
        <v>Arrests, total N=22</v>
      </c>
      <c r="B13" s="150">
        <f>'Data Entry'!D7/'Data Entry'!B7</f>
        <v>4.5454545454545456E-2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0.90909090909090906</v>
      </c>
      <c r="K13" s="96" t="str">
        <f t="shared" si="0"/>
        <v>Arrests, total N=22</v>
      </c>
      <c r="L13">
        <f>I14/(SUM(B14:G14))</f>
        <v>12.357541899441342</v>
      </c>
    </row>
    <row r="14" spans="1:12">
      <c r="A14" s="128" t="str">
        <f>CONCATENATE("Population, total N=", 'Data Entry'!B6)</f>
        <v>Population, total N=2391</v>
      </c>
      <c r="B14" s="150">
        <f>'Data Entry'!D6/'Data Entry'!B6</f>
        <v>1.9657047260560435E-2</v>
      </c>
      <c r="C14" s="150">
        <f>'Data Entry'!E6/'Data Entry'!B6</f>
        <v>3.2204098703471351E-2</v>
      </c>
      <c r="D14" s="150">
        <f>'Data Entry'!F6/'Data Entry'!B6</f>
        <v>7.5282308657465494E-3</v>
      </c>
      <c r="E14" s="150">
        <f>'Data Entry'!G6/'Data Entry'!B6</f>
        <v>0</v>
      </c>
      <c r="F14" s="150">
        <f>'Data Entry'!H6/'Data Entry'!B6</f>
        <v>1.547469677959013E-2</v>
      </c>
      <c r="G14" s="150">
        <f>'Data Entry'!I6/'Data Entry'!B6</f>
        <v>0</v>
      </c>
      <c r="H14" s="150">
        <f>SUM(D14:G14)/'Data Entry'!B6</f>
        <v>9.6206305501198991E-6</v>
      </c>
      <c r="I14" s="150">
        <f>'Data Entry'!C6/'Data Entry'!B6</f>
        <v>0.92513592639063158</v>
      </c>
      <c r="K14" s="96" t="str">
        <f t="shared" si="0"/>
        <v>Population, total N=2391</v>
      </c>
      <c r="L14">
        <f>I14/(SUM(B14:G14))</f>
        <v>12.357541899441342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Otsego</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2212</v>
      </c>
      <c r="D7" s="104">
        <f>'Data Entry'!D6</f>
        <v>47</v>
      </c>
      <c r="E7" s="105"/>
      <c r="F7" s="106">
        <f>'Data Entry'!E6</f>
        <v>77</v>
      </c>
      <c r="G7" s="105"/>
      <c r="H7" s="106">
        <f>'Data Entry'!F6</f>
        <v>18</v>
      </c>
      <c r="I7" s="105"/>
      <c r="J7" s="106">
        <f>'Data Entry'!J6</f>
        <v>179</v>
      </c>
      <c r="K7" s="107"/>
    </row>
    <row r="8" spans="2:30" s="1" customFormat="1" ht="15" customHeight="1">
      <c r="B8" s="121" t="s">
        <v>8</v>
      </c>
      <c r="C8" s="103">
        <f>'Data Entry'!C7</f>
        <v>20</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46</v>
      </c>
      <c r="D9" s="108">
        <f>'Data Entry'!D8</f>
        <v>0</v>
      </c>
      <c r="E9" s="109" t="str">
        <f>'Black or African-American'!$G8</f>
        <v>**</v>
      </c>
      <c r="F9" s="110">
        <f>'Data Entry'!E8</f>
        <v>1</v>
      </c>
      <c r="G9" s="109" t="str">
        <f>Hispanic!G8</f>
        <v>**</v>
      </c>
      <c r="H9" s="110">
        <f>'Data Entry'!F8</f>
        <v>0</v>
      </c>
      <c r="I9" s="109" t="str">
        <f>Asian!G8</f>
        <v>*</v>
      </c>
      <c r="J9" s="110">
        <f>'Data Entry'!J8</f>
        <v>1</v>
      </c>
      <c r="K9" s="111" t="str">
        <f>'All Minorities'!G8</f>
        <v>**</v>
      </c>
      <c r="L9"/>
      <c r="N9" s="1">
        <f>'Black or African-American'!L8</f>
        <v>40</v>
      </c>
      <c r="O9" s="1">
        <f>Hispanic!L8</f>
        <v>20</v>
      </c>
      <c r="P9" s="1">
        <f>Asian!L8</f>
        <v>139</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10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f>Hispanic!L12</f>
        <v>40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12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2212</v>
      </c>
      <c r="D6" s="34"/>
      <c r="E6" s="33">
        <f>'Data Entry'!D6</f>
        <v>47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9.0415913200723317</v>
      </c>
      <c r="E7" s="33">
        <f>'Data Entry'!D7</f>
        <v>1</v>
      </c>
      <c r="F7" s="34">
        <f>IF((AND($E$7&gt;0,$D$66&gt;0)),($E$7/$D$66),0)</f>
        <v>21.276595744680851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46</v>
      </c>
      <c r="P7" s="42">
        <f t="shared" ref="P7:P15" si="2">C7</f>
        <v>20</v>
      </c>
      <c r="Q7" s="42">
        <f>C6-C7</f>
        <v>2192</v>
      </c>
      <c r="R7" s="42">
        <f t="shared" ref="R7:R15" si="3">SUM(N7:Q7)</f>
        <v>2259</v>
      </c>
      <c r="S7" s="30">
        <f t="shared" ref="S7:S15" si="4">R7*((((N7*Q7)-(O7*P7))^2))</f>
        <v>3655025856</v>
      </c>
      <c r="T7" s="30">
        <f t="shared" ref="T7:T15" si="5">(N7+O7)*(P7+Q7)*(N7+P7)*(O7+Q7)</f>
        <v>4886100072</v>
      </c>
      <c r="U7" s="31">
        <f t="shared" ref="U7:U15" si="6">IF((S7&gt;0),S7/T7,"- -")</f>
        <v>0.74804564010984509</v>
      </c>
    </row>
    <row r="8" spans="2:21" ht="18" customHeight="1">
      <c r="B8" s="32" t="str">
        <f>'Data Entry'!A8</f>
        <v>3. Refer to Juvenile Court</v>
      </c>
      <c r="C8" s="33">
        <f>'Data Entry'!C8</f>
        <v>46</v>
      </c>
      <c r="D8" s="34">
        <f>IF((AND(C67&gt;0,C8&gt;0)),(C8/C67),0)</f>
        <v>230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1.05</v>
      </c>
      <c r="P8" s="42">
        <f t="shared" si="2"/>
        <v>46</v>
      </c>
      <c r="Q8" s="42">
        <f>(C$67*L67)-C8</f>
        <v>-26</v>
      </c>
      <c r="R8" s="42">
        <f t="shared" si="3"/>
        <v>21.049999999999997</v>
      </c>
      <c r="S8" s="30">
        <f t="shared" si="4"/>
        <v>49107.334499999997</v>
      </c>
      <c r="T8" s="30">
        <f t="shared" si="5"/>
        <v>-24101.7</v>
      </c>
      <c r="U8" s="31">
        <f t="shared" si="6"/>
        <v>-2.0375050100200398</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46</v>
      </c>
      <c r="R9" s="42">
        <f t="shared" si="3"/>
        <v>46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46</v>
      </c>
      <c r="R10" s="42">
        <f t="shared" si="3"/>
        <v>46</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46</v>
      </c>
      <c r="R11" s="42">
        <f t="shared" si="3"/>
        <v>46</v>
      </c>
      <c r="S11" s="30">
        <f t="shared" si="4"/>
        <v>0</v>
      </c>
      <c r="T11" s="30">
        <f t="shared" si="5"/>
        <v>0</v>
      </c>
      <c r="U11" s="31" t="str">
        <f t="shared" si="6"/>
        <v>- -</v>
      </c>
    </row>
    <row r="12" spans="2:21" ht="18" customHeight="1">
      <c r="B12" s="32" t="str">
        <f>'Data Entry'!A12</f>
        <v>7. Cases Resulting in Delinquent Findings</v>
      </c>
      <c r="C12" s="33">
        <f>'Data Entry'!C12</f>
        <v>10</v>
      </c>
      <c r="D12" s="34">
        <f>IF(((AND(C69&gt;0,C12&gt;0))),(C12/(C69)),0)</f>
        <v>21.739130434782609</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10</v>
      </c>
      <c r="Q12" s="42">
        <f>(C69*L69)-C12</f>
        <v>36</v>
      </c>
      <c r="R12" s="42">
        <f t="shared" si="3"/>
        <v>46</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10</v>
      </c>
      <c r="R13" s="42">
        <f t="shared" si="3"/>
        <v>10</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12</v>
      </c>
      <c r="D14" s="34">
        <f>IF(((AND(C70&gt;0,C14&gt;0))), ((C14/(C70))),0)</f>
        <v>120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12</v>
      </c>
      <c r="Q14" s="42">
        <f>(C70*L70)-C14</f>
        <v>-2</v>
      </c>
      <c r="R14" s="42">
        <f t="shared" si="3"/>
        <v>10</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46</v>
      </c>
      <c r="R15" s="42">
        <f t="shared" si="3"/>
        <v>46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2.2120000000000002</v>
      </c>
      <c r="D42" s="56">
        <f>E6/1000</f>
        <v>4.7E-2</v>
      </c>
      <c r="E42" s="56">
        <f>MAX(C42:D42)</f>
        <v>2.2120000000000002</v>
      </c>
      <c r="G42" s="1" t="str">
        <f>B42</f>
        <v>per 1000 youth</v>
      </c>
      <c r="L42" s="57">
        <v>1000</v>
      </c>
      <c r="M42" s="57"/>
      <c r="R42" s="49"/>
    </row>
    <row r="43" spans="2:18" ht="15" hidden="1" customHeight="1">
      <c r="B43" s="49" t="s">
        <v>87</v>
      </c>
      <c r="C43" s="56">
        <f>C7/100</f>
        <v>0.2</v>
      </c>
      <c r="D43" s="56">
        <f>E7/100</f>
        <v>0.01</v>
      </c>
      <c r="E43" s="56">
        <f>MAX(C43:D43,0)</f>
        <v>0.2</v>
      </c>
      <c r="G43" s="1" t="str">
        <f>B43</f>
        <v>per 100 arrests</v>
      </c>
      <c r="L43" s="57">
        <v>100</v>
      </c>
      <c r="M43" s="57"/>
      <c r="R43" s="49"/>
    </row>
    <row r="44" spans="2:18" ht="15" hidden="1" customHeight="1">
      <c r="B44" s="49" t="s">
        <v>88</v>
      </c>
      <c r="C44" s="56">
        <f>C8/100</f>
        <v>0.46</v>
      </c>
      <c r="D44" s="56">
        <f>E8/100</f>
        <v>0</v>
      </c>
      <c r="E44" s="56">
        <f>MAX(C44:D44,0)</f>
        <v>0.46</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2.2120000000000002</v>
      </c>
      <c r="D48" s="56">
        <f>D42</f>
        <v>4.7E-2</v>
      </c>
      <c r="E48" s="56">
        <f>MAX(C48:D48)</f>
        <v>2.2120000000000002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v>
      </c>
      <c r="D49" s="49">
        <f t="shared" si="9"/>
        <v>0.01</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0.46</v>
      </c>
      <c r="D50" s="49">
        <f t="shared" si="9"/>
        <v>0</v>
      </c>
      <c r="E50" s="49">
        <f>MAX(C50:D50)</f>
        <v>0.46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2.2120000000000002</v>
      </c>
      <c r="D54" s="56">
        <f>D48</f>
        <v>4.7E-2</v>
      </c>
      <c r="E54" s="56">
        <f>MAX(C54:D54)</f>
        <v>2.2120000000000002</v>
      </c>
      <c r="G54" s="1" t="str">
        <f>G48</f>
        <v>per 1000 youth</v>
      </c>
      <c r="L54" s="58">
        <f>L48</f>
        <v>1000</v>
      </c>
      <c r="M54" s="58"/>
    </row>
    <row r="55" spans="2:18" ht="15" hidden="1" customHeight="1">
      <c r="B55" s="49" t="str">
        <f t="shared" ref="B55:D56" si="10">IF(($E49&gt;0),B49,B48)</f>
        <v>per 100 arrests</v>
      </c>
      <c r="C55" s="49">
        <f t="shared" si="10"/>
        <v>0.2</v>
      </c>
      <c r="D55" s="49">
        <f t="shared" si="10"/>
        <v>0.01</v>
      </c>
      <c r="E55" s="49">
        <f>MAX(C55:D55)</f>
        <v>0.2</v>
      </c>
      <c r="G55" s="1" t="str">
        <f>G49</f>
        <v>per 100 arrests</v>
      </c>
      <c r="L55" s="58">
        <f>IF(($E49&gt;0),L49,L48)</f>
        <v>100</v>
      </c>
      <c r="M55" s="58"/>
    </row>
    <row r="56" spans="2:18" ht="15" hidden="1" customHeight="1">
      <c r="B56" s="49" t="str">
        <f t="shared" si="10"/>
        <v>per 100 referrals</v>
      </c>
      <c r="C56" s="49">
        <f t="shared" si="10"/>
        <v>0.46</v>
      </c>
      <c r="D56" s="49">
        <f t="shared" si="10"/>
        <v>0</v>
      </c>
      <c r="E56" s="49">
        <f>MAX(C56:D56)</f>
        <v>0.46</v>
      </c>
      <c r="G56" s="1" t="str">
        <f>G50</f>
        <v>per 100 referrals</v>
      </c>
      <c r="L56" s="58">
        <f>IF(($E50&gt;0),L50,L49)</f>
        <v>100</v>
      </c>
      <c r="M56" s="58"/>
    </row>
    <row r="57" spans="2:18" ht="15" hidden="1" customHeight="1">
      <c r="B57" s="49" t="str">
        <f>IF(($E51&gt;0),B51,B49)</f>
        <v>per 100 arrests</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2.2120000000000002</v>
      </c>
      <c r="D60" s="56">
        <f>D54</f>
        <v>4.7E-2</v>
      </c>
      <c r="E60" s="56">
        <f>MAX(C60:D60)</f>
        <v>2.2120000000000002</v>
      </c>
      <c r="G60" s="1" t="str">
        <f>G54</f>
        <v>per 1000 youth</v>
      </c>
      <c r="L60" s="58">
        <f>L54</f>
        <v>1000</v>
      </c>
      <c r="M60" s="58"/>
    </row>
    <row r="61" spans="2:18" ht="15" hidden="1" customHeight="1">
      <c r="B61" s="49" t="str">
        <f t="shared" ref="B61:D62" si="11">IF(($E55&gt;0),B55,B54)</f>
        <v>per 100 arrests</v>
      </c>
      <c r="C61" s="49">
        <f t="shared" si="11"/>
        <v>0.2</v>
      </c>
      <c r="D61" s="49">
        <f t="shared" si="11"/>
        <v>0.01</v>
      </c>
      <c r="E61" s="49">
        <f>MAX(C61:D61)</f>
        <v>0.2</v>
      </c>
      <c r="G61" s="1" t="str">
        <f>G55</f>
        <v>per 100 arrests</v>
      </c>
      <c r="L61" s="58">
        <f>IF(($E55&gt;0),L55,L54)</f>
        <v>100</v>
      </c>
      <c r="M61" s="58"/>
    </row>
    <row r="62" spans="2:18" ht="15" hidden="1" customHeight="1">
      <c r="B62" s="49" t="str">
        <f t="shared" si="11"/>
        <v>per 100 referrals</v>
      </c>
      <c r="C62" s="49">
        <f t="shared" si="11"/>
        <v>0.46</v>
      </c>
      <c r="D62" s="49">
        <f t="shared" si="11"/>
        <v>0</v>
      </c>
      <c r="E62" s="49">
        <f>MAX(C62:D62)</f>
        <v>0.46</v>
      </c>
      <c r="G62" s="1" t="str">
        <f>G56</f>
        <v>per 100 referrals</v>
      </c>
      <c r="L62" s="58">
        <f>IF(($E56&gt;0),L56,L55)</f>
        <v>100</v>
      </c>
      <c r="M62" s="58"/>
    </row>
    <row r="63" spans="2:18" ht="15" hidden="1" customHeight="1">
      <c r="B63" s="49" t="str">
        <f>IF(($E57&gt;0),B57,B55)</f>
        <v>per 100 arrests</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2.2120000000000002</v>
      </c>
      <c r="D66" s="56">
        <f>D60</f>
        <v>4.7E-2</v>
      </c>
      <c r="E66" s="56">
        <f>MAX(C66:D66)</f>
        <v>2.2120000000000002</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0.01</v>
      </c>
      <c r="E67" s="49">
        <f>MAX(C67:D67)</f>
        <v>0.2</v>
      </c>
      <c r="G67" s="1" t="str">
        <f>G61</f>
        <v>per 100 arrests</v>
      </c>
      <c r="L67" s="58">
        <f>IF(($E61&gt;0),L61,L60)</f>
        <v>100</v>
      </c>
      <c r="M67" s="58">
        <f>IF((B67=G67),1,2)</f>
        <v>1</v>
      </c>
    </row>
    <row r="68" spans="2:13" ht="15" hidden="1" customHeight="1">
      <c r="B68" s="49" t="str">
        <f t="shared" si="12"/>
        <v>per 100 referrals</v>
      </c>
      <c r="C68" s="49">
        <f t="shared" si="12"/>
        <v>0.46</v>
      </c>
      <c r="D68" s="49">
        <f t="shared" si="12"/>
        <v>0</v>
      </c>
      <c r="E68" s="49">
        <f>MAX(C68:D68)</f>
        <v>0.46</v>
      </c>
      <c r="G68" s="1" t="str">
        <f>G62</f>
        <v>per 100 referrals</v>
      </c>
      <c r="L68" s="58">
        <f>IF(($E62&gt;0),L62,L61)</f>
        <v>100</v>
      </c>
      <c r="M68" s="58">
        <f>IF((B68=G68),1,2)</f>
        <v>1</v>
      </c>
    </row>
    <row r="69" spans="2:13" ht="15" hidden="1" customHeight="1">
      <c r="B69" s="49" t="str">
        <f>IF(($E63&gt;0),B63,B61)</f>
        <v>per 100 arrests</v>
      </c>
      <c r="C69" s="49">
        <f>IF(($E63&gt;0),C63,C62)</f>
        <v>0.46</v>
      </c>
      <c r="D69" s="49">
        <f>IF(($E63&gt;0),D63,D62)</f>
        <v>0</v>
      </c>
      <c r="E69" s="49">
        <f>MAX(C69:D69)</f>
        <v>0.46</v>
      </c>
      <c r="G69" s="1" t="str">
        <f>G63</f>
        <v>per 100 youth petitioned</v>
      </c>
      <c r="L69" s="58">
        <f>IF(($E63&gt;0),L63,L62)</f>
        <v>100</v>
      </c>
      <c r="M69" s="58">
        <f>IF((B69=G69),1,2)</f>
        <v>2</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2212</v>
      </c>
      <c r="D6" s="34"/>
      <c r="E6" s="33">
        <f>'Data Entry'!F6</f>
        <v>18</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9.0415913200723317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18</v>
      </c>
      <c r="P7" s="42">
        <f t="shared" ref="P7:P15" si="4">C7</f>
        <v>20</v>
      </c>
      <c r="Q7" s="42">
        <f>C6-C7</f>
        <v>2192</v>
      </c>
      <c r="R7" s="42">
        <f t="shared" ref="R7:R15" si="5">SUM(N7:Q7)</f>
        <v>2230</v>
      </c>
      <c r="S7" s="30">
        <f t="shared" ref="S7:S15" si="6">R7*((((N7*Q7)-(O7*P7))^2))</f>
        <v>289008000</v>
      </c>
      <c r="T7" s="30">
        <f t="shared" ref="T7:T15" si="7">(N7+O7)*(P7+Q7)*(N7+P7)*(O7+Q7)</f>
        <v>1759867200</v>
      </c>
      <c r="U7" s="31">
        <f t="shared" ref="U7:U15" si="8">IF((S7&gt;0),S7/T7,"- -")</f>
        <v>0.16422148216638163</v>
      </c>
    </row>
    <row r="8" spans="2:21" ht="18" customHeight="1">
      <c r="B8" s="32" t="str">
        <f>'Data Entry'!A8</f>
        <v>3. Refer to Juvenile Court</v>
      </c>
      <c r="C8" s="33">
        <f>'Data Entry'!C8</f>
        <v>46</v>
      </c>
      <c r="D8" s="34">
        <f>IF((AND(C67&gt;0,C8&gt;0)),(C8/C67),0)</f>
        <v>230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46</v>
      </c>
      <c r="Q8" s="42">
        <f>(C$67*L67)-C8</f>
        <v>-26</v>
      </c>
      <c r="R8" s="42">
        <f t="shared" si="5"/>
        <v>20.049999999999997</v>
      </c>
      <c r="S8" s="30">
        <f t="shared" si="6"/>
        <v>106.06450000000001</v>
      </c>
      <c r="T8" s="30">
        <f t="shared" si="7"/>
        <v>-1193.7</v>
      </c>
      <c r="U8" s="31">
        <f t="shared" si="8"/>
        <v>-8.8853564547206165E-2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46</v>
      </c>
      <c r="R9" s="42">
        <f t="shared" si="5"/>
        <v>46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46</v>
      </c>
      <c r="R10" s="42">
        <f t="shared" si="5"/>
        <v>46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46</v>
      </c>
      <c r="R11" s="42">
        <f t="shared" si="5"/>
        <v>46</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12</v>
      </c>
      <c r="D14" s="34">
        <f>IF(((AND(C70&gt;0,C14&gt;0))), ((C14/(C70))),0)</f>
        <v>120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12</v>
      </c>
      <c r="Q14" s="42">
        <f>(C70*L70)-C14</f>
        <v>-2</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46</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2.2120000000000002</v>
      </c>
      <c r="D42" s="56">
        <f>E6/1000</f>
        <v>1.7999999999999999E-2</v>
      </c>
      <c r="E42" s="56">
        <f>MAX(C42:D42)</f>
        <v>2.2120000000000002</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0.46</v>
      </c>
      <c r="D44" s="56">
        <f>E8/100</f>
        <v>0</v>
      </c>
      <c r="E44" s="56">
        <f>MAX(C44:D44,0)</f>
        <v>0.46</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2.2120000000000002</v>
      </c>
      <c r="D48" s="56">
        <f>D42</f>
        <v>1.7999999999999999E-2</v>
      </c>
      <c r="E48" s="56">
        <f>MAX(C48:D48)</f>
        <v>2.2120000000000002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0.46</v>
      </c>
      <c r="D50" s="49">
        <f t="shared" si="9"/>
        <v>0</v>
      </c>
      <c r="E50" s="49">
        <f>MAX(C50:D50)</f>
        <v>0.46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2.2120000000000002</v>
      </c>
      <c r="D54" s="56">
        <f>D48</f>
        <v>1.7999999999999999E-2</v>
      </c>
      <c r="E54" s="56">
        <f>MAX(C54:D54)</f>
        <v>2.2120000000000002</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0.46</v>
      </c>
      <c r="D56" s="49">
        <f t="shared" si="10"/>
        <v>0</v>
      </c>
      <c r="E56" s="49">
        <f>MAX(C56:D56)</f>
        <v>0.46</v>
      </c>
      <c r="G56" s="1" t="str">
        <f>G50</f>
        <v>per 100 referrals</v>
      </c>
      <c r="L56" s="58">
        <f>IF(($E50&gt;0),L50,L49)</f>
        <v>100</v>
      </c>
      <c r="M56" s="58"/>
    </row>
    <row r="57" spans="2:18" ht="15" hidden="1" customHeight="1">
      <c r="B57" s="49" t="str">
        <f>IF(($E51&gt;0),B51,B49)</f>
        <v>per 100 arrests</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2.2120000000000002</v>
      </c>
      <c r="D60" s="56">
        <f>D54</f>
        <v>1.7999999999999999E-2</v>
      </c>
      <c r="E60" s="56">
        <f>MAX(C60:D60)</f>
        <v>2.2120000000000002</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0.46</v>
      </c>
      <c r="D62" s="49">
        <f t="shared" si="11"/>
        <v>0</v>
      </c>
      <c r="E62" s="49">
        <f>MAX(C62:D62)</f>
        <v>0.46</v>
      </c>
      <c r="G62" s="1" t="str">
        <f>G56</f>
        <v>per 100 referrals</v>
      </c>
      <c r="L62" s="58">
        <f>IF(($E56&gt;0),L56,L55)</f>
        <v>100</v>
      </c>
      <c r="M62" s="58"/>
    </row>
    <row r="63" spans="2:18" ht="15" hidden="1" customHeight="1">
      <c r="B63" s="49" t="str">
        <f>IF(($E57&gt;0),B57,B55)</f>
        <v>per 100 arrests</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2.2120000000000002</v>
      </c>
      <c r="D66" s="56">
        <f>D60</f>
        <v>1.7999999999999999E-2</v>
      </c>
      <c r="E66" s="56">
        <f>MAX(C66:D66)</f>
        <v>2.2120000000000002</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0.46</v>
      </c>
      <c r="D68" s="49">
        <f t="shared" si="12"/>
        <v>0</v>
      </c>
      <c r="E68" s="49">
        <f>MAX(C68:D68)</f>
        <v>0.46</v>
      </c>
      <c r="G68" s="1" t="str">
        <f>G62</f>
        <v>per 100 referrals</v>
      </c>
      <c r="L68" s="58">
        <f>IF(($E62&gt;0),L62,L61)</f>
        <v>100</v>
      </c>
      <c r="M68" s="58">
        <f>IF((B68=G68),1,2)</f>
        <v>1</v>
      </c>
    </row>
    <row r="69" spans="2:13" ht="15" hidden="1" customHeight="1">
      <c r="B69" s="49" t="str">
        <f>IF(($E63&gt;0),B63,B61)</f>
        <v>per 100 arrests</v>
      </c>
      <c r="C69" s="49">
        <f>IF(($E63&gt;0),C63,C62)</f>
        <v>0.46</v>
      </c>
      <c r="D69" s="49">
        <f>IF(($E63&gt;0),D63,D62)</f>
        <v>0</v>
      </c>
      <c r="E69" s="49">
        <f>MAX(C69:D69)</f>
        <v>0.46</v>
      </c>
      <c r="G69" s="1" t="str">
        <f>G63</f>
        <v>per 100 youth petitioned</v>
      </c>
      <c r="L69" s="58">
        <f>IF(($E63&gt;0),L63,L62)</f>
        <v>100</v>
      </c>
      <c r="M69" s="58">
        <f>IF((B69=G69),1,2)</f>
        <v>2</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2212</v>
      </c>
      <c r="D6" s="34"/>
      <c r="E6" s="33">
        <f>'Data Entry'!E6</f>
        <v>77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9.0415913200723317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77</v>
      </c>
      <c r="P7" s="42">
        <f t="shared" ref="P7:P15" si="4">C7</f>
        <v>20</v>
      </c>
      <c r="Q7" s="42">
        <f>C6-C7</f>
        <v>2192</v>
      </c>
      <c r="R7" s="42">
        <f t="shared" ref="R7:R15" si="5">SUM(N7:Q7)</f>
        <v>2289</v>
      </c>
      <c r="S7" s="30">
        <f t="shared" ref="S7:S15" si="6">R7*((((N7*Q7)-(O7*P7))^2))</f>
        <v>5428592400</v>
      </c>
      <c r="T7" s="30">
        <f t="shared" ref="T7:T15" si="7">(N7+O7)*(P7+Q7)*(N7+P7)*(O7+Q7)</f>
        <v>7729303120</v>
      </c>
      <c r="U7" s="31">
        <f t="shared" ref="U7:U15" si="8">IF((S7&gt;0),S7/T7,"- -")</f>
        <v>0.70233917802411139</v>
      </c>
    </row>
    <row r="8" spans="2:21" ht="18" customHeight="1">
      <c r="B8" s="32" t="str">
        <f>'Data Entry'!A8</f>
        <v>3. Refer to Juvenile Court</v>
      </c>
      <c r="C8" s="33">
        <f>'Data Entry'!C8</f>
        <v>46</v>
      </c>
      <c r="D8" s="34">
        <f>IF((AND(C67&gt;0,C8&gt;0)),(C8/C67),0)</f>
        <v>230</v>
      </c>
      <c r="E8" s="33">
        <f>'Data Entry'!E8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46</v>
      </c>
      <c r="Q8" s="42">
        <f>(C$67*L67)-C8</f>
        <v>-26</v>
      </c>
      <c r="R8" s="42">
        <f t="shared" si="5"/>
        <v>20.049999999999997</v>
      </c>
      <c r="S8" s="30">
        <f t="shared" si="6"/>
        <v>6281.4644999999964</v>
      </c>
      <c r="T8" s="30">
        <f t="shared" si="7"/>
        <v>-1266.6500000000012</v>
      </c>
      <c r="U8" s="31">
        <f t="shared" si="8"/>
        <v>-4.9591161725812105</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46</v>
      </c>
      <c r="R9" s="42">
        <f t="shared" si="5"/>
        <v>47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46</v>
      </c>
      <c r="R10" s="42">
        <f t="shared" si="5"/>
        <v>47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46</v>
      </c>
      <c r="R11" s="42">
        <f t="shared" si="5"/>
        <v>47</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Entry'!E12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10</v>
      </c>
      <c r="Q12" s="42">
        <f>(C69*L69)-C12</f>
        <v>36</v>
      </c>
      <c r="R12" s="42">
        <f t="shared" si="5"/>
        <v>47</v>
      </c>
      <c r="S12" s="30">
        <f t="shared" si="6"/>
        <v>4700</v>
      </c>
      <c r="T12" s="30">
        <f t="shared" si="7"/>
        <v>17020</v>
      </c>
      <c r="U12" s="31">
        <f t="shared" si="8"/>
        <v>0.27614571092831963</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12</v>
      </c>
      <c r="D14" s="34">
        <f>IF(((AND(C70&gt;0,C14&gt;0))), ((C14/(C70))),0)</f>
        <v>120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12</v>
      </c>
      <c r="Q14" s="42">
        <f>(C70*L70)-C14</f>
        <v>-2</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46</v>
      </c>
      <c r="R15" s="42">
        <f t="shared" si="5"/>
        <v>47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2.2120000000000002</v>
      </c>
      <c r="D42" s="56">
        <f>E6/1000</f>
        <v>7.6999999999999999E-2</v>
      </c>
      <c r="E42" s="56">
        <f>MAX(C42:D42)</f>
        <v>2.2120000000000002</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0.46</v>
      </c>
      <c r="D44" s="56">
        <f>E8/100</f>
        <v>0.01</v>
      </c>
      <c r="E44" s="56">
        <f>MAX(C44:D44,0)</f>
        <v>0.46</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2.2120000000000002</v>
      </c>
      <c r="D48" s="56">
        <f>D42</f>
        <v>7.6999999999999999E-2</v>
      </c>
      <c r="E48" s="56">
        <f>MAX(C48:D48)</f>
        <v>2.2120000000000002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0.46</v>
      </c>
      <c r="D50" s="49">
        <f t="shared" si="9"/>
        <v>0.01</v>
      </c>
      <c r="E50" s="49">
        <f>MAX(C50:D50)</f>
        <v>0.46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0.46</v>
      </c>
      <c r="D51" s="49">
        <f>IF(($E45&gt;0),D45,D44)</f>
        <v>0.01</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2.2120000000000002</v>
      </c>
      <c r="D54" s="56">
        <f>D48</f>
        <v>7.6999999999999999E-2</v>
      </c>
      <c r="E54" s="56">
        <f>MAX(C54:D54)</f>
        <v>2.2120000000000002</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0.46</v>
      </c>
      <c r="D56" s="49">
        <f t="shared" si="10"/>
        <v>0.01</v>
      </c>
      <c r="E56" s="49">
        <f>MAX(C56:D56)</f>
        <v>0.46</v>
      </c>
      <c r="G56" s="1" t="str">
        <f>G50</f>
        <v>per 100 referrals</v>
      </c>
      <c r="L56" s="58">
        <f>IF(($E50&gt;0),L50,L49)</f>
        <v>100</v>
      </c>
      <c r="M56" s="58"/>
    </row>
    <row r="57" spans="2:18" ht="15" hidden="1" customHeight="1">
      <c r="B57" s="49" t="str">
        <f>IF(($E51&gt;0),B51,B49)</f>
        <v>per 100 arrests</v>
      </c>
      <c r="C57" s="49">
        <f>IF(($E51&gt;0),C51,C50)</f>
        <v>0.46</v>
      </c>
      <c r="D57" s="49">
        <f>IF(($E51&gt;0),D51,D50)</f>
        <v>0.01</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2.2120000000000002</v>
      </c>
      <c r="D60" s="56">
        <f>D54</f>
        <v>7.6999999999999999E-2</v>
      </c>
      <c r="E60" s="56">
        <f>MAX(C60:D60)</f>
        <v>2.2120000000000002</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0.46</v>
      </c>
      <c r="D62" s="49">
        <f t="shared" si="11"/>
        <v>0.01</v>
      </c>
      <c r="E62" s="49">
        <f>MAX(C62:D62)</f>
        <v>0.46</v>
      </c>
      <c r="G62" s="1" t="str">
        <f>G56</f>
        <v>per 100 referrals</v>
      </c>
      <c r="L62" s="58">
        <f>IF(($E56&gt;0),L56,L55)</f>
        <v>100</v>
      </c>
      <c r="M62" s="58"/>
    </row>
    <row r="63" spans="2:18" ht="15" hidden="1" customHeight="1">
      <c r="B63" s="49" t="str">
        <f>IF(($E57&gt;0),B57,B55)</f>
        <v>per 100 arrests</v>
      </c>
      <c r="C63" s="49">
        <f>IF(($E57&gt;0),C57,C56)</f>
        <v>0.46</v>
      </c>
      <c r="D63" s="49">
        <f>IF(($E57&gt;0),D57,D56)</f>
        <v>0.01</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2.2120000000000002</v>
      </c>
      <c r="D66" s="56">
        <f>D60</f>
        <v>7.6999999999999999E-2</v>
      </c>
      <c r="E66" s="56">
        <f>MAX(C66:D66)</f>
        <v>2.2120000000000002</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0.46</v>
      </c>
      <c r="D68" s="49">
        <f t="shared" si="12"/>
        <v>0.01</v>
      </c>
      <c r="E68" s="49">
        <f>MAX(C68:D68)</f>
        <v>0.46</v>
      </c>
      <c r="G68" s="1" t="str">
        <f>G62</f>
        <v>per 100 referrals</v>
      </c>
      <c r="L68" s="58">
        <f>IF(($E62&gt;0),L62,L61)</f>
        <v>100</v>
      </c>
      <c r="M68" s="58">
        <f>IF((B68=G68),1,2)</f>
        <v>1</v>
      </c>
    </row>
    <row r="69" spans="2:13" ht="15" hidden="1" customHeight="1">
      <c r="B69" s="49" t="str">
        <f>IF(($E63&gt;0),B63,B61)</f>
        <v>per 100 arrests</v>
      </c>
      <c r="C69" s="49">
        <f>IF(($E63&gt;0),C63,C62)</f>
        <v>0.46</v>
      </c>
      <c r="D69" s="49">
        <f>IF(($E63&gt;0),D63,D62)</f>
        <v>0.01</v>
      </c>
      <c r="E69" s="49">
        <f>MAX(C69:D69)</f>
        <v>0.46</v>
      </c>
      <c r="G69" s="1" t="str">
        <f>G63</f>
        <v>per 100 youth petitioned</v>
      </c>
      <c r="L69" s="58">
        <f>IF(($E63&gt;0),L63,L62)</f>
        <v>100</v>
      </c>
      <c r="M69" s="58">
        <f>IF((B69=G69),1,2)</f>
        <v>2</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2212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9.0415913200723317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v>
      </c>
      <c r="Q7" s="42">
        <f>C6-C7</f>
        <v>2192</v>
      </c>
      <c r="R7" s="42">
        <f t="shared" ref="R7:R15" si="5">SUM(N7:Q7)</f>
        <v>2212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46</v>
      </c>
      <c r="D8" s="34">
        <f>IF((AND(C67&gt;0,C8&gt;0)),(C8/C67),0)</f>
        <v>230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46</v>
      </c>
      <c r="Q8" s="42">
        <f>(C$67*L67)-C8</f>
        <v>-26</v>
      </c>
      <c r="R8" s="42">
        <f t="shared" si="5"/>
        <v>20.049999999999997</v>
      </c>
      <c r="S8" s="30">
        <f t="shared" si="6"/>
        <v>106.06450000000001</v>
      </c>
      <c r="T8" s="30">
        <f t="shared" si="7"/>
        <v>-1193.7</v>
      </c>
      <c r="U8" s="31">
        <f t="shared" si="8"/>
        <v>-8.8853564547206165E-2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46</v>
      </c>
      <c r="R9" s="42">
        <f t="shared" si="5"/>
        <v>46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46</v>
      </c>
      <c r="R10" s="42">
        <f t="shared" si="5"/>
        <v>46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46</v>
      </c>
      <c r="R11" s="42">
        <f t="shared" si="5"/>
        <v>46</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12</v>
      </c>
      <c r="D14" s="34">
        <f>IF(((AND(C70&gt;0,C14&gt;0))), ((C14/(C70))),0)</f>
        <v>120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12</v>
      </c>
      <c r="Q14" s="42">
        <f>(C70*L70)-C14</f>
        <v>-2</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46</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2.2120000000000002</v>
      </c>
      <c r="D42" s="56">
        <f>E6/1000</f>
        <v>0</v>
      </c>
      <c r="E42" s="56">
        <f>MAX(C42:D42)</f>
        <v>2.2120000000000002</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0.46</v>
      </c>
      <c r="D44" s="56">
        <f>E8/100</f>
        <v>0</v>
      </c>
      <c r="E44" s="56">
        <f>MAX(C44:D44,0)</f>
        <v>0.46</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2.2120000000000002</v>
      </c>
      <c r="D48" s="56">
        <f>D42</f>
        <v>0</v>
      </c>
      <c r="E48" s="56">
        <f>MAX(C48:D48)</f>
        <v>2.2120000000000002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0.46</v>
      </c>
      <c r="D50" s="49">
        <f t="shared" si="9"/>
        <v>0</v>
      </c>
      <c r="E50" s="49">
        <f>MAX(C50:D50)</f>
        <v>0.46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2.2120000000000002</v>
      </c>
      <c r="D54" s="56">
        <f>D48</f>
        <v>0</v>
      </c>
      <c r="E54" s="56">
        <f>MAX(C54:D54)</f>
        <v>2.2120000000000002</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0.46</v>
      </c>
      <c r="D56" s="49">
        <f t="shared" si="10"/>
        <v>0</v>
      </c>
      <c r="E56" s="49">
        <f>MAX(C56:D56)</f>
        <v>0.46</v>
      </c>
      <c r="G56" s="1" t="str">
        <f>G50</f>
        <v>per 100 referrals</v>
      </c>
      <c r="L56" s="58">
        <f>IF(($E50&gt;0),L50,L49)</f>
        <v>100</v>
      </c>
      <c r="M56" s="58"/>
    </row>
    <row r="57" spans="2:18" ht="15" hidden="1" customHeight="1">
      <c r="B57" s="49" t="str">
        <f>IF(($E51&gt;0),B51,B49)</f>
        <v>per 100 arrests</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2.2120000000000002</v>
      </c>
      <c r="D60" s="56">
        <f>D54</f>
        <v>0</v>
      </c>
      <c r="E60" s="56">
        <f>MAX(C60:D60)</f>
        <v>2.2120000000000002</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0.46</v>
      </c>
      <c r="D62" s="49">
        <f t="shared" si="11"/>
        <v>0</v>
      </c>
      <c r="E62" s="49">
        <f>MAX(C62:D62)</f>
        <v>0.46</v>
      </c>
      <c r="G62" s="1" t="str">
        <f>G56</f>
        <v>per 100 referrals</v>
      </c>
      <c r="L62" s="58">
        <f>IF(($E56&gt;0),L56,L55)</f>
        <v>100</v>
      </c>
      <c r="M62" s="58"/>
    </row>
    <row r="63" spans="2:18" ht="15" hidden="1" customHeight="1">
      <c r="B63" s="49" t="str">
        <f>IF(($E57&gt;0),B57,B55)</f>
        <v>per 100 arrests</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2.2120000000000002</v>
      </c>
      <c r="D66" s="56">
        <f>D60</f>
        <v>0</v>
      </c>
      <c r="E66" s="56">
        <f>MAX(C66:D66)</f>
        <v>2.2120000000000002</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0.46</v>
      </c>
      <c r="D68" s="49">
        <f t="shared" si="12"/>
        <v>0</v>
      </c>
      <c r="E68" s="49">
        <f>MAX(C68:D68)</f>
        <v>0.46</v>
      </c>
      <c r="G68" s="1" t="str">
        <f>G62</f>
        <v>per 100 referrals</v>
      </c>
      <c r="L68" s="58">
        <f>IF(($E62&gt;0),L62,L61)</f>
        <v>100</v>
      </c>
      <c r="M68" s="58">
        <f>IF((B68=G68),1,2)</f>
        <v>1</v>
      </c>
    </row>
    <row r="69" spans="2:13" ht="15" hidden="1" customHeight="1">
      <c r="B69" s="49" t="str">
        <f>IF(($E63&gt;0),B63,B61)</f>
        <v>per 100 arrests</v>
      </c>
      <c r="C69" s="49">
        <f>IF(($E63&gt;0),C63,C62)</f>
        <v>0.46</v>
      </c>
      <c r="D69" s="49">
        <f>IF(($E63&gt;0),D63,D62)</f>
        <v>0</v>
      </c>
      <c r="E69" s="49">
        <f>MAX(C69:D69)</f>
        <v>0.46</v>
      </c>
      <c r="G69" s="1" t="str">
        <f>G63</f>
        <v>per 100 youth petitioned</v>
      </c>
      <c r="L69" s="58">
        <f>IF(($E63&gt;0),L63,L62)</f>
        <v>100</v>
      </c>
      <c r="M69" s="58">
        <f>IF((B69=G69),1,2)</f>
        <v>2</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2212</v>
      </c>
      <c r="D6" s="34"/>
      <c r="E6" s="33">
        <f>'Data Entry'!H6</f>
        <v>37</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9.0415913200723317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37</v>
      </c>
      <c r="P7" s="42">
        <f t="shared" ref="P7:P15" si="4">C7</f>
        <v>20</v>
      </c>
      <c r="Q7" s="42">
        <f>C6-C7</f>
        <v>2192</v>
      </c>
      <c r="R7" s="42">
        <f t="shared" ref="R7:R15" si="5">SUM(N7:Q7)</f>
        <v>2249</v>
      </c>
      <c r="S7" s="30">
        <f t="shared" ref="S7:S15" si="6">R7*((((N7*Q7)-(O7*P7))^2))</f>
        <v>1231552400</v>
      </c>
      <c r="T7" s="30">
        <f t="shared" ref="T7:T15" si="7">(N7+O7)*(P7+Q7)*(N7+P7)*(O7+Q7)</f>
        <v>3648605520</v>
      </c>
      <c r="U7" s="31">
        <f t="shared" ref="U7:U15" si="8">IF((S7&gt;0),S7/T7,"- -")</f>
        <v>0.33754057358330147</v>
      </c>
    </row>
    <row r="8" spans="2:21" ht="18" customHeight="1">
      <c r="B8" s="32" t="str">
        <f>'Data Entry'!A8</f>
        <v>3. Refer to Juvenile Court</v>
      </c>
      <c r="C8" s="33">
        <f>'Data Entry'!C8</f>
        <v>46</v>
      </c>
      <c r="D8" s="34">
        <f>IF((AND(C67&gt;0,C8&gt;0)),(C8/C67),0)</f>
        <v>230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46</v>
      </c>
      <c r="Q8" s="42">
        <f>(C$67*L67)-C8</f>
        <v>-26</v>
      </c>
      <c r="R8" s="42">
        <f t="shared" si="5"/>
        <v>20.049999999999997</v>
      </c>
      <c r="S8" s="30">
        <f t="shared" si="6"/>
        <v>106.06450000000001</v>
      </c>
      <c r="T8" s="30">
        <f t="shared" si="7"/>
        <v>-1193.7</v>
      </c>
      <c r="U8" s="31">
        <f t="shared" si="8"/>
        <v>-8.8853564547206165E-2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46</v>
      </c>
      <c r="R9" s="42">
        <f t="shared" si="5"/>
        <v>46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46</v>
      </c>
      <c r="R10" s="42">
        <f t="shared" si="5"/>
        <v>46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46</v>
      </c>
      <c r="R11" s="42">
        <f t="shared" si="5"/>
        <v>46</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12</v>
      </c>
      <c r="D14" s="34">
        <f>IF(((AND(C70&gt;0,C14&gt;0))), ((C14/(C70))),0)</f>
        <v>120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12</v>
      </c>
      <c r="Q14" s="42">
        <f>(C70*L70)-C14</f>
        <v>-2</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46</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2.2120000000000002</v>
      </c>
      <c r="D42" s="56">
        <f>E6/1000</f>
        <v>3.6999999999999998E-2</v>
      </c>
      <c r="E42" s="56">
        <f>MAX(C42:D42)</f>
        <v>2.2120000000000002</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0.46</v>
      </c>
      <c r="D44" s="56">
        <f>E8/100</f>
        <v>0</v>
      </c>
      <c r="E44" s="56">
        <f>MAX(C44:D44,0)</f>
        <v>0.46</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2.2120000000000002</v>
      </c>
      <c r="D48" s="56">
        <f>D42</f>
        <v>3.6999999999999998E-2</v>
      </c>
      <c r="E48" s="56">
        <f>MAX(C48:D48)</f>
        <v>2.2120000000000002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0.46</v>
      </c>
      <c r="D50" s="49">
        <f t="shared" si="9"/>
        <v>0</v>
      </c>
      <c r="E50" s="49">
        <f>MAX(C50:D50)</f>
        <v>0.46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2.2120000000000002</v>
      </c>
      <c r="D54" s="56">
        <f>D48</f>
        <v>3.6999999999999998E-2</v>
      </c>
      <c r="E54" s="56">
        <f>MAX(C54:D54)</f>
        <v>2.2120000000000002</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0.46</v>
      </c>
      <c r="D56" s="49">
        <f t="shared" si="10"/>
        <v>0</v>
      </c>
      <c r="E56" s="49">
        <f>MAX(C56:D56)</f>
        <v>0.46</v>
      </c>
      <c r="G56" s="1" t="str">
        <f>G50</f>
        <v>per 100 referrals</v>
      </c>
      <c r="L56" s="58">
        <f>IF(($E50&gt;0),L50,L49)</f>
        <v>100</v>
      </c>
      <c r="M56" s="58"/>
    </row>
    <row r="57" spans="2:18" ht="15" hidden="1" customHeight="1">
      <c r="B57" s="49" t="str">
        <f>IF(($E51&gt;0),B51,B49)</f>
        <v>per 100 arrests</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2.2120000000000002</v>
      </c>
      <c r="D60" s="56">
        <f>D54</f>
        <v>3.6999999999999998E-2</v>
      </c>
      <c r="E60" s="56">
        <f>MAX(C60:D60)</f>
        <v>2.2120000000000002</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0.46</v>
      </c>
      <c r="D62" s="49">
        <f t="shared" si="11"/>
        <v>0</v>
      </c>
      <c r="E62" s="49">
        <f>MAX(C62:D62)</f>
        <v>0.46</v>
      </c>
      <c r="G62" s="1" t="str">
        <f>G56</f>
        <v>per 100 referrals</v>
      </c>
      <c r="L62" s="58">
        <f>IF(($E56&gt;0),L56,L55)</f>
        <v>100</v>
      </c>
      <c r="M62" s="58"/>
    </row>
    <row r="63" spans="2:18" ht="15" hidden="1" customHeight="1">
      <c r="B63" s="49" t="str">
        <f>IF(($E57&gt;0),B57,B55)</f>
        <v>per 100 arrests</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2.2120000000000002</v>
      </c>
      <c r="D66" s="56">
        <f>D60</f>
        <v>3.6999999999999998E-2</v>
      </c>
      <c r="E66" s="56">
        <f>MAX(C66:D66)</f>
        <v>2.2120000000000002</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0.46</v>
      </c>
      <c r="D68" s="49">
        <f t="shared" si="12"/>
        <v>0</v>
      </c>
      <c r="E68" s="49">
        <f>MAX(C68:D68)</f>
        <v>0.46</v>
      </c>
      <c r="G68" s="1" t="str">
        <f>G62</f>
        <v>per 100 referrals</v>
      </c>
      <c r="L68" s="58">
        <f>IF(($E62&gt;0),L62,L61)</f>
        <v>100</v>
      </c>
      <c r="M68" s="58">
        <f>IF((B68=G68),1,2)</f>
        <v>1</v>
      </c>
    </row>
    <row r="69" spans="2:13" ht="15" hidden="1" customHeight="1">
      <c r="B69" s="49" t="str">
        <f>IF(($E63&gt;0),B63,B61)</f>
        <v>per 100 arrests</v>
      </c>
      <c r="C69" s="49">
        <f>IF(($E63&gt;0),C63,C62)</f>
        <v>0.46</v>
      </c>
      <c r="D69" s="49">
        <f>IF(($E63&gt;0),D63,D62)</f>
        <v>0</v>
      </c>
      <c r="E69" s="49">
        <f>MAX(C69:D69)</f>
        <v>0.46</v>
      </c>
      <c r="G69" s="1" t="str">
        <f>G63</f>
        <v>per 100 youth petitioned</v>
      </c>
      <c r="L69" s="58">
        <f>IF(($E63&gt;0),L63,L62)</f>
        <v>100</v>
      </c>
      <c r="M69" s="58">
        <f>IF((B69=G69),1,2)</f>
        <v>2</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U47JMPN4QEAR-1806752177-30497</_dlc_DocId>
    <_dlc_DocIdUrl xmlns="ac3811b5-0f3e-49e2-ba69-f2ffa0c782af">
      <Url>https://michiganphi.sharepoint.com/sites/CMDMC/_layouts/15/DocIdRedir.aspx?ID=U47JMPN4QEAR-1806752177-30497</Url>
      <Description>U47JMPN4QEAR-1806752177-30497</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508CBD-7738-4A59-BCB5-8F397E0CB485}">
  <ds:schemaRefs>
    <ds:schemaRef ds:uri="http://schemas.microsoft.com/sharepoint/v3/contenttype/forms"/>
  </ds:schemaRefs>
</ds:datastoreItem>
</file>

<file path=customXml/itemProps2.xml><?xml version="1.0" encoding="utf-8"?>
<ds:datastoreItem xmlns:ds="http://schemas.openxmlformats.org/officeDocument/2006/customXml" ds:itemID="{6DF0B887-7A63-4FB1-BBF5-BB3A1F3664B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2BEE2B08-F226-4BE8-98F4-59F4E373A0FE}"/>
</file>

<file path=customXml/itemProps4.xml><?xml version="1.0" encoding="utf-8"?>
<ds:datastoreItem xmlns:ds="http://schemas.openxmlformats.org/officeDocument/2006/customXml" ds:itemID="{C1880749-0BCE-4190-B828-7F2B3C2CC1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3a9e0549-2cf3-469d-b905-ae43a120bdb0</vt:lpwstr>
  </property>
</Properties>
</file>