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26BA1202-C5FF-4D7F-9D12-2F606A4F62E1}" xr6:coauthVersionLast="47" xr6:coauthVersionMax="47" xr10:uidLastSave="{81CC0FCF-C5E9-4366-9D37-5A81910E45A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8"/>
  <c r="M66" i="8"/>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C49" i="7" s="1"/>
  <c r="E44" i="6"/>
  <c r="D50" i="6" s="1"/>
  <c r="E46" i="3"/>
  <c r="L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L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D52" i="3"/>
  <c r="C50" i="6"/>
  <c r="B52" i="3"/>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E49" i="5"/>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B56" i="8"/>
  <c r="L56" i="8"/>
  <c r="C64" i="5"/>
  <c r="D64" i="5"/>
  <c r="C57" i="8"/>
  <c r="C64" i="8" s="1"/>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E57" i="8"/>
  <c r="L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F8" i="5"/>
  <c r="B70" i="3" l="1"/>
  <c r="M70" i="3" s="1"/>
  <c r="L70" i="5"/>
  <c r="L70" i="6"/>
  <c r="E63" i="3"/>
  <c r="C69" i="3" s="1"/>
  <c r="D15" i="3" s="1"/>
  <c r="C70" i="3"/>
  <c r="D14" i="3" s="1"/>
  <c r="D63" i="8"/>
  <c r="D70" i="8" s="1"/>
  <c r="F13" i="8" s="1"/>
  <c r="B63" i="8"/>
  <c r="B70" i="8" s="1"/>
  <c r="M70" i="8" s="1"/>
  <c r="L70" i="3"/>
  <c r="C70" i="6"/>
  <c r="D70" i="6"/>
  <c r="C63" i="8"/>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D13" i="3"/>
  <c r="Q9" i="3"/>
  <c r="O10" i="3"/>
  <c r="E68" i="3"/>
  <c r="O9" i="3"/>
  <c r="F31" i="3"/>
  <c r="F29" i="3"/>
  <c r="D14" i="4"/>
  <c r="L70" i="7"/>
  <c r="O14" i="7" s="1"/>
  <c r="M69" i="7"/>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O14" i="6" l="1"/>
  <c r="Q14" i="6"/>
  <c r="B69" i="3"/>
  <c r="M69" i="3" s="1"/>
  <c r="L69" i="3"/>
  <c r="Q12" i="3" s="1"/>
  <c r="D69" i="3"/>
  <c r="E69" i="3" s="1"/>
  <c r="D13" i="6"/>
  <c r="E63" i="8"/>
  <c r="D69" i="8" s="1"/>
  <c r="F15" i="8" s="1"/>
  <c r="Q14" i="3"/>
  <c r="Q13" i="3"/>
  <c r="C70" i="8"/>
  <c r="Q13" i="8" s="1"/>
  <c r="D14" i="6"/>
  <c r="Q13" i="6"/>
  <c r="F13" i="6"/>
  <c r="B69" i="6"/>
  <c r="M69" i="6" s="1"/>
  <c r="D15" i="7"/>
  <c r="Q15" i="7"/>
  <c r="O13" i="6"/>
  <c r="F14" i="6"/>
  <c r="E70" i="6"/>
  <c r="F14" i="3"/>
  <c r="Q12" i="7"/>
  <c r="E69" i="7"/>
  <c r="E70" i="3"/>
  <c r="O13" i="3"/>
  <c r="C69" i="6"/>
  <c r="D12" i="6" s="1"/>
  <c r="F12" i="7"/>
  <c r="O12" i="7"/>
  <c r="O15"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F33" i="8"/>
  <c r="C70" i="2"/>
  <c r="D14" i="2" s="1"/>
  <c r="T14" i="5"/>
  <c r="K14" i="5"/>
  <c r="D70" i="2"/>
  <c r="O14" i="2" s="1"/>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6" l="1"/>
  <c r="S14" i="6" s="1"/>
  <c r="T14" i="6"/>
  <c r="K14" i="6"/>
  <c r="T15" i="7"/>
  <c r="Q15" i="3"/>
  <c r="F32" i="3"/>
  <c r="F35" i="3"/>
  <c r="O12" i="3"/>
  <c r="R12" i="3" s="1"/>
  <c r="S12" i="3" s="1"/>
  <c r="U12" i="3" s="1"/>
  <c r="J12" i="3" s="1"/>
  <c r="L69" i="8"/>
  <c r="O15" i="8" s="1"/>
  <c r="D13" i="8"/>
  <c r="C69" i="8"/>
  <c r="D12" i="8" s="1"/>
  <c r="B69" i="8"/>
  <c r="M69" i="8" s="1"/>
  <c r="F12" i="8"/>
  <c r="F12" i="3"/>
  <c r="R14" i="3"/>
  <c r="S14" i="3" s="1"/>
  <c r="U14" i="3" s="1"/>
  <c r="J14" i="3" s="1"/>
  <c r="M14" i="3" s="1"/>
  <c r="G14" i="3" s="1"/>
  <c r="I15" i="16" s="1"/>
  <c r="O15" i="3"/>
  <c r="F15" i="3"/>
  <c r="D14" i="8"/>
  <c r="R13" i="8"/>
  <c r="S13" i="8" s="1"/>
  <c r="U13" i="8" s="1"/>
  <c r="J13" i="8" s="1"/>
  <c r="M13" i="8" s="1"/>
  <c r="G13" i="8" s="1"/>
  <c r="K14" i="16" s="1"/>
  <c r="Q14" i="8"/>
  <c r="K14" i="8" s="1"/>
  <c r="R13" i="3"/>
  <c r="S13" i="3" s="1"/>
  <c r="U13" i="3" s="1"/>
  <c r="J13" i="3" s="1"/>
  <c r="M13" i="3" s="1"/>
  <c r="G13" i="3" s="1"/>
  <c r="T13" i="6"/>
  <c r="F32" i="6"/>
  <c r="F35" i="6"/>
  <c r="K13" i="3"/>
  <c r="K13" i="6"/>
  <c r="R13" i="6"/>
  <c r="S13" i="6" s="1"/>
  <c r="U13" i="6" s="1"/>
  <c r="J13" i="6" s="1"/>
  <c r="M13" i="6" s="1"/>
  <c r="G13" i="6" s="1"/>
  <c r="G13" i="9" s="1"/>
  <c r="D15" i="6"/>
  <c r="K15" i="7"/>
  <c r="T13" i="3"/>
  <c r="R15" i="7"/>
  <c r="S15" i="7" s="1"/>
  <c r="U15" i="7" s="1"/>
  <c r="J15" i="7" s="1"/>
  <c r="T12" i="7"/>
  <c r="T13" i="8"/>
  <c r="R12" i="7"/>
  <c r="S12" i="7" s="1"/>
  <c r="K12" i="7"/>
  <c r="O12" i="6"/>
  <c r="E69" i="6"/>
  <c r="K14" i="3"/>
  <c r="T14" i="3"/>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N30" i="3"/>
  <c r="Q12" i="8"/>
  <c r="K15" i="3"/>
  <c r="O12" i="8"/>
  <c r="D15" i="8"/>
  <c r="E69" i="8"/>
  <c r="F35" i="8"/>
  <c r="I15" i="13"/>
  <c r="E14" i="9"/>
  <c r="Q15" i="8"/>
  <c r="R15" i="8" s="1"/>
  <c r="S15" i="8" s="1"/>
  <c r="U15" i="8" s="1"/>
  <c r="J15" i="8" s="1"/>
  <c r="F32" i="8"/>
  <c r="L14" i="3"/>
  <c r="P15" i="16" s="1"/>
  <c r="R15" i="3"/>
  <c r="S15" i="3" s="1"/>
  <c r="U15" i="3" s="1"/>
  <c r="J15" i="3" s="1"/>
  <c r="M15" i="3" s="1"/>
  <c r="G15" i="3" s="1"/>
  <c r="I16" i="16" s="1"/>
  <c r="L13" i="3"/>
  <c r="P14" i="16" s="1"/>
  <c r="T14" i="8"/>
  <c r="R14" i="8"/>
  <c r="S14" i="8" s="1"/>
  <c r="U14" i="8" s="1"/>
  <c r="J14" i="8" s="1"/>
  <c r="N30" i="8" s="1"/>
  <c r="T15" i="3"/>
  <c r="I13" i="9"/>
  <c r="Q14" i="13"/>
  <c r="L13" i="8"/>
  <c r="T14" i="16" s="1"/>
  <c r="L15" i="7"/>
  <c r="S16" i="16" s="1"/>
  <c r="M14" i="13"/>
  <c r="L13" i="6"/>
  <c r="R14" i="16" s="1"/>
  <c r="M15" i="7"/>
  <c r="K12" i="6"/>
  <c r="T15" i="6"/>
  <c r="U12" i="7"/>
  <c r="J12" i="7" s="1"/>
  <c r="M12" i="7" s="1"/>
  <c r="K15" i="6"/>
  <c r="T12" i="6"/>
  <c r="R12" i="6"/>
  <c r="S12" i="6" s="1"/>
  <c r="U12" i="6" s="1"/>
  <c r="J12" i="6" s="1"/>
  <c r="M12" i="6" s="1"/>
  <c r="G12" i="6" s="1"/>
  <c r="R15" i="6"/>
  <c r="S15" i="6" s="1"/>
  <c r="U15" i="6" s="1"/>
  <c r="J15" i="6" s="1"/>
  <c r="M15" i="6" s="1"/>
  <c r="G15" i="6" s="1"/>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Q15" i="9" l="1"/>
  <c r="I16" i="13"/>
  <c r="T12" i="8"/>
  <c r="K12" i="8"/>
  <c r="L15" i="3"/>
  <c r="P16" i="16" s="1"/>
  <c r="R12" i="8"/>
  <c r="S12" i="8" s="1"/>
  <c r="U12" i="8" s="1"/>
  <c r="J12" i="8" s="1"/>
  <c r="M12" i="8" s="1"/>
  <c r="G12" i="8" s="1"/>
  <c r="K13" i="16" s="1"/>
  <c r="T15" i="8"/>
  <c r="K15" i="8"/>
  <c r="L15" i="8" s="1"/>
  <c r="T16" i="16" s="1"/>
  <c r="V15" i="13"/>
  <c r="N14" i="9"/>
  <c r="R13" i="9"/>
  <c r="E15" i="9"/>
  <c r="N13" i="9"/>
  <c r="V14" i="13"/>
  <c r="Z14" i="13"/>
  <c r="Y16" i="13"/>
  <c r="X14" i="13"/>
  <c r="P13" i="9"/>
  <c r="L15" i="6"/>
  <c r="R16" i="16" s="1"/>
  <c r="L14" i="8"/>
  <c r="T15" i="16" s="1"/>
  <c r="L12" i="7"/>
  <c r="M14" i="8"/>
  <c r="G14" i="8" s="1"/>
  <c r="K15" i="16" s="1"/>
  <c r="U10" i="7"/>
  <c r="J10" i="7" s="1"/>
  <c r="M10" i="7" s="1"/>
  <c r="L12" i="6"/>
  <c r="R13" i="16" s="1"/>
  <c r="L8" i="6"/>
  <c r="R9" i="16" s="1"/>
  <c r="L15" i="5"/>
  <c r="Q16" i="16" s="1"/>
  <c r="T9" i="13"/>
  <c r="L8" i="9"/>
  <c r="X15" i="13"/>
  <c r="P14" i="9"/>
  <c r="G8" i="9"/>
  <c r="Q14" i="9"/>
  <c r="Y15" i="13"/>
  <c r="Y14" i="13"/>
  <c r="E9" i="13"/>
  <c r="Q13" i="9"/>
  <c r="L10" i="2"/>
  <c r="N11" i="16" s="1"/>
  <c r="L11" i="6"/>
  <c r="R12" i="16" s="1"/>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V16" i="13" l="1"/>
  <c r="L12" i="8"/>
  <c r="T13" i="16" s="1"/>
  <c r="R14" i="9"/>
  <c r="L10" i="7"/>
  <c r="S11" i="16" s="1"/>
  <c r="P15" i="9"/>
  <c r="X16" i="13"/>
  <c r="Q15" i="13"/>
  <c r="Z15" i="13"/>
  <c r="S13" i="16"/>
  <c r="Q12" i="9"/>
  <c r="Y13" i="13"/>
  <c r="I14" i="9"/>
  <c r="X13" i="13"/>
  <c r="P12" i="9"/>
  <c r="P8" i="9"/>
  <c r="X9"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0" i="9" l="1"/>
  <c r="Y11"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<sst xmlns="http://schemas.openxmlformats.org/spreadsheetml/2006/main" count="654" uniqueCount="141">
  <si>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</si>
  <si>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</si>
  <si>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</si>
  <si>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</si>
  <si>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</si>
  <si>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</si>
  <si>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</si>
  <si>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</si>
  <si>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</si>
  <si>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</si>
  <si>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</si>
  <si>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</si>
  <si>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</si>
  <si>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</si>
  <si>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</si>
  <si>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</si>
  <si>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</si>
  <si>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</si>
  <si>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</si>
  <si>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</si>
  <si>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</si>
  <si>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</si>
  <si>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</si>
  <si>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</si>
  <si>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</si>
  <si>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</si>
  <si>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</si>
  <si>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</si>
  <si>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</si>
  <si>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</si>
  <si>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</si>
  <si>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</si>
  <si>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</si>
  <si>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</si>
  <si>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</si>
  <si>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</si>
  <si>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</si>
  <si>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</si>
  <si>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</si>
  <si>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</si>
  <si>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</si>
  <si>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</si>
  <si>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</si>
  <si>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</si>
  <si>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</si>
  <si>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</si>
  <si>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</si>
  <si>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</si>
  <si>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</si>
  <si>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</si>
  <si>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</si>
  <si>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</si>
  <si>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</si>
  <si>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</si>
  <si>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</si>
  <si>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</si>
  <si>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</si>
  <si>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</si>
  <si>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</si>
  <si>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</si>
  <si>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</si>
  <si>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</si>
  <si>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</si>
  <si>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</si>
  <si>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</si>
  <si>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</si>
  <si>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</si>
  <si>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</si>
  <si>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</si>
  <si>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</si>
  <si>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</si>
  <si>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</si>
  <si>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</si>
  <si>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</si>
  <si>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</si>
  <si>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</si>
  <si>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</si>
  <si>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</si>
  <si>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</si>
  <si>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</si>
  <si>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</si>
  <si>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</si>
  <si>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</si>
  <si>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</si>
  <si>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</si>
  <si>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</si>
  <si>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</si>
  <si>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</si>
  <si>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</si>
  <si>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</si>
  <si>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</si>
  <si>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</si>
  <si>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</si>
  <si>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</si>
  <si>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</si>
  <si>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</si>
  <si>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</si>
  <si>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</si>
  <si>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</si>
  <si>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</si>
  <si>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</si>
  <si>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</si>
  <si>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</si>
  <si>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</si>
  <si>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</si>
  <si>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</si>
  <si>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</si>
  <si>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</si>
  <si>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</si>
  <si>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</si>
  <si>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</si>
  <si>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</si>
  <si>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</si>
  <si>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</si>
  <si>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</si>
  <si>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</si>
  <si>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</si>
  <si>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</si>
  <si>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</si>
  <si>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</si>
  <si>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</si>
  <si>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</si>
  <si>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</si>
  <si>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</si>
  <si>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</si>
  <si>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</si>
  <si>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</si>
  <si>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</si>
  <si>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</si>
  <si>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</si>
  <si>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</si>
  <si>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</si>
  <si>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</si>
  <si>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</si>
  <si>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</si>
  <si>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</si>
  <si>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Oscoda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</si>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</sst>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Oscoda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N=11</c:v>
                </c:pt>
                <c:pt idx="3">
                  <c:v>Petitions, total N=12</c:v>
                </c:pt>
                <c:pt idx="4">
                  <c:v>Detentions, total N=0</c:v>
                </c:pt>
                <c:pt idx="5">
                  <c:v>Referrals, total N=17</c:v>
                </c:pt>
                <c:pt idx="6">
                  <c:v>Arrests, total N=9</c:v>
                </c:pt>
                <c:pt idx="7">
                  <c:v>Population, total N=755</c:v>
                </c:pt>
              </c:strCache>
            </c:strRef>
          </c:cat>
          <c:val>
            <c:numRef>
              <c:f>'Stacked 100%'!$B$7:$B$14</c:f>
              <c:numCache>
                <c:formatCode>0%</c:formatCode>
                <c:ptCount val="8"/>
                <c:pt idx="0">
                  <c:v>0</c:v>
                </c:pt>
                <c:pt idx="1">
                  <c:v>0</c:v>
                </c:pt>
                <c:pt idx="2">
                  <c:v>0</c:v>
                </c:pt>
                <c:pt idx="3">
                  <c:v>0</c:v>
                </c:pt>
                <c:pt idx="4">
                  <c:v>0</c:v>
                </c:pt>
                <c:pt idx="5">
                  <c:v>5.8823529411764705E-2</c:v>
                </c:pt>
                <c:pt idx="6">
                  <c:v>0</c:v>
                </c:pt>
                <c:pt idx="7">
                  <c:v>1.5894039735099338E-2</c:v>
                </c:pt>
              </c:numCache>
            </c:numRef>
          </c:val>
          <c:extLst>
            <c:ext xmlns:c16="http://schemas.microsoft.com/office/drawing/2014/chart" uri="{C3380CC4-5D6E-409C-BE32-E72D297353CC}">
              <c16:uniqueId val="{00000000-0C52-46D7-8260-86DF23DAE57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N=11</c:v>
                </c:pt>
                <c:pt idx="3">
                  <c:v>Petitions, total N=12</c:v>
                </c:pt>
                <c:pt idx="4">
                  <c:v>Detentions, total N=0</c:v>
                </c:pt>
                <c:pt idx="5">
                  <c:v>Referrals, total N=17</c:v>
                </c:pt>
                <c:pt idx="6">
                  <c:v>Arrests, total N=9</c:v>
                </c:pt>
                <c:pt idx="7">
                  <c:v>Population, total N=755</c:v>
                </c:pt>
              </c:strCache>
            </c:strRef>
          </c:cat>
          <c:val>
            <c:numRef>
              <c:f>'Stacked 100%'!$C$7:$C$14</c:f>
              <c:numCache>
                <c:formatCode>0%</c:formatCode>
                <c:ptCount val="8"/>
                <c:pt idx="0">
                  <c:v>0</c:v>
                </c:pt>
                <c:pt idx="1">
                  <c:v>0</c:v>
                </c:pt>
                <c:pt idx="2">
                  <c:v>0</c:v>
                </c:pt>
                <c:pt idx="3">
                  <c:v>0</c:v>
                </c:pt>
                <c:pt idx="4">
                  <c:v>0</c:v>
                </c:pt>
                <c:pt idx="5">
                  <c:v>0</c:v>
                </c:pt>
                <c:pt idx="6">
                  <c:v>0</c:v>
                </c:pt>
                <c:pt idx="7">
                  <c:v>4.7682119205298017E-2</c:v>
                </c:pt>
              </c:numCache>
            </c:numRef>
          </c:val>
          <c:extLst>
            <c:ext xmlns:c16="http://schemas.microsoft.com/office/drawing/2014/chart" uri="{C3380CC4-5D6E-409C-BE32-E72D297353CC}">
              <c16:uniqueId val="{00000001-0C52-46D7-8260-86DF23DAE57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N=11</c:v>
                </c:pt>
                <c:pt idx="3">
                  <c:v>Petitions, total N=12</c:v>
                </c:pt>
                <c:pt idx="4">
                  <c:v>Detentions, total N=0</c:v>
                </c:pt>
                <c:pt idx="5">
                  <c:v>Referrals, total N=17</c:v>
                </c:pt>
                <c:pt idx="6">
                  <c:v>Arrests, total N=9</c:v>
                </c:pt>
                <c:pt idx="7">
                  <c:v>Population, total N=755</c:v>
                </c:pt>
              </c:strCache>
            </c:strRef>
          </c:cat>
          <c:val>
            <c:numRef>
              <c:f>'Stacked 100%'!$H$7:$H$14</c:f>
              <c:numCache>
                <c:formatCode>0%</c:formatCode>
                <c:ptCount val="8"/>
                <c:pt idx="0">
                  <c:v>0</c:v>
                </c:pt>
                <c:pt idx="1">
                  <c:v>0</c:v>
                </c:pt>
                <c:pt idx="2">
                  <c:v>0</c:v>
                </c:pt>
                <c:pt idx="3">
                  <c:v>0</c:v>
                </c:pt>
                <c:pt idx="4">
                  <c:v>0</c:v>
                </c:pt>
                <c:pt idx="5">
                  <c:v>0</c:v>
                </c:pt>
                <c:pt idx="6">
                  <c:v>0</c:v>
                </c:pt>
                <c:pt idx="7">
                  <c:v>8.7715451076707155E-6</c:v>
                </c:pt>
              </c:numCache>
            </c:numRef>
          </c:val>
          <c:extLst>
            <c:ext xmlns:c16="http://schemas.microsoft.com/office/drawing/2014/chart" uri="{C3380CC4-5D6E-409C-BE32-E72D297353CC}">
              <c16:uniqueId val="{00000002-0C52-46D7-8260-86DF23DAE57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N=11</c:v>
                </c:pt>
                <c:pt idx="3">
                  <c:v>Petitions, total N=12</c:v>
                </c:pt>
                <c:pt idx="4">
                  <c:v>Detentions, total N=0</c:v>
                </c:pt>
                <c:pt idx="5">
                  <c:v>Referrals, total N=17</c:v>
                </c:pt>
                <c:pt idx="6">
                  <c:v>Arrests, total N=9</c:v>
                </c:pt>
                <c:pt idx="7">
                  <c:v>Population, total N=755</c:v>
                </c:pt>
              </c:strCache>
            </c:strRef>
          </c:cat>
          <c:val>
            <c:numRef>
              <c:f>'Stacked 100%'!$I$7:$I$14</c:f>
              <c:numCache>
                <c:formatCode>0%</c:formatCode>
                <c:ptCount val="8"/>
                <c:pt idx="0">
                  <c:v>0</c:v>
                </c:pt>
                <c:pt idx="1">
                  <c:v>1</c:v>
                </c:pt>
                <c:pt idx="2">
                  <c:v>1</c:v>
                </c:pt>
                <c:pt idx="3">
                  <c:v>1</c:v>
                </c:pt>
                <c:pt idx="4">
                  <c:v>0</c:v>
                </c:pt>
                <c:pt idx="5">
                  <c:v>0.94117647058823528</c:v>
                </c:pt>
                <c:pt idx="6">
                  <c:v>0.88888888888888884</c:v>
                </c:pt>
                <c:pt idx="7">
                  <c:v>0.92980132450331121</c:v>
                </c:pt>
              </c:numCache>
            </c:numRef>
          </c:val>
          <c:extLst>
            <c:ext xmlns:c16="http://schemas.microsoft.com/office/drawing/2014/chart" uri="{C3380CC4-5D6E-409C-BE32-E72D297353CC}">
              <c16:uniqueId val="{00000003-0C52-46D7-8260-86DF23DAE579}"/>
            </c:ext>
          </c:extLst>
        </c:ser>
        <c:dLbls>
          <c:showLegendKey val="0"/>
          <c:showVal val="0"/>
          <c:showCatName val="0"/>
          <c:showSerName val="0"/>
          <c:showPercent val="0"/>
          <c:showBubbleSize val="0"/>
        </c:dLbls>
        <c:gapWidth val="150"/>
        <c:overlap val="100"/>
        <c:axId val="73032448"/>
        <c:axId val="125053952"/>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N=11</c:v>
                </c:pt>
                <c:pt idx="3">
                  <c:v>Petitions, total N=12</c:v>
                </c:pt>
                <c:pt idx="4">
                  <c:v>Detentions, total N=0</c:v>
                </c:pt>
                <c:pt idx="5">
                  <c:v>Referrals, total N=17</c:v>
                </c:pt>
                <c:pt idx="6">
                  <c:v>Arrests, total N=9</c:v>
                </c:pt>
                <c:pt idx="7">
                  <c:v>Population, total N=755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C52-46D7-8260-86DF23DAE579}"/>
            </c:ext>
          </c:extLst>
        </c:ser>
        <c:dLbls>
          <c:showLegendKey val="0"/>
          <c:showVal val="0"/>
          <c:showCatName val="0"/>
          <c:showSerName val="0"/>
          <c:showPercent val="0"/>
          <c:showBubbleSize val="0"/>
        </c:dLbls>
        <c:gapWidth val="150"/>
        <c:overlap val="100"/>
        <c:axId val="65730432"/>
        <c:axId val="65728896"/>
      </c:barChart>
      <c:catAx>
        <c:axId val="7303244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25053952"/>
        <c:crosses val="autoZero"/>
        <c:auto val="1"/>
        <c:lblAlgn val="ctr"/>
        <c:lblOffset val="100"/>
        <c:noMultiLvlLbl val="0"/>
      </c:catAx>
      <c:valAx>
        <c:axId val="125053952"/>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3032448"/>
        <c:crosses val="autoZero"/>
        <c:crossBetween val="between"/>
      </c:valAx>
      <c:valAx>
        <c:axId val="65728896"/>
        <c:scaling>
          <c:orientation val="minMax"/>
        </c:scaling>
        <c:delete val="1"/>
        <c:axPos val="t"/>
        <c:numFmt formatCode="0%" sourceLinked="1"/>
        <c:majorTickMark val="out"/>
        <c:minorTickMark val="none"/>
        <c:tickLblPos val="nextTo"/>
        <c:crossAx val="65730432"/>
        <c:crosses val="max"/>
        <c:crossBetween val="between"/>
      </c:valAx>
      <c:catAx>
        <c:axId val="65730432"/>
        <c:scaling>
          <c:orientation val="minMax"/>
        </c:scaling>
        <c:delete val="1"/>
        <c:axPos val="l"/>
        <c:numFmt formatCode="General" sourceLinked="1"/>
        <c:majorTickMark val="out"/>
        <c:minorTickMark val="none"/>
        <c:tickLblPos val="nextTo"/>
        <c:crossAx val="6572889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C12" sqref="C12"/>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755</v>
      </c>
      <c r="C6" s="11">
        <v>702</v>
      </c>
      <c r="D6" s="11">
        <v>12</v>
      </c>
      <c r="E6" s="11">
        <v>36</v>
      </c>
      <c r="F6" s="11">
        <v>1</v>
      </c>
      <c r="G6" s="11"/>
      <c r="H6" s="11">
        <v>4</v>
      </c>
      <c r="I6" s="11"/>
      <c r="J6" s="91">
        <f>SUM(D6:I6)</f>
        <v>53</v>
      </c>
      <c r="K6" s="92"/>
    </row>
    <row r="7" spans="1:11" ht="15.75" customHeight="1" thickBot="1">
      <c r="A7" s="10" t="s">
        <v>8</v>
      </c>
      <c r="B7" s="11">
        <f t="shared" ref="B7:B15" si="0">SUM(C7:I7)+K7</f>
        <v>9</v>
      </c>
      <c r="C7" s="11">
        <v>8</v>
      </c>
      <c r="D7" s="11">
        <v>0</v>
      </c>
      <c r="E7" s="11">
        <v>0</v>
      </c>
      <c r="F7" s="11">
        <v>0</v>
      </c>
      <c r="G7" s="11">
        <v>0</v>
      </c>
      <c r="H7" s="11">
        <v>0</v>
      </c>
      <c r="I7" s="11"/>
      <c r="J7" s="91">
        <f t="shared" ref="J7:J15" si="1">SUM(D7:I7)</f>
        <v>0</v>
      </c>
      <c r="K7" s="92">
        <v>1</v>
      </c>
    </row>
    <row r="8" spans="1:11" ht="15.75" customHeight="1" thickBot="1">
      <c r="A8" s="10" t="s">
        <v>9</v>
      </c>
      <c r="B8" s="11">
        <f t="shared" si="0"/>
        <v>17</v>
      </c>
      <c r="C8" s="11">
        <v>16</v>
      </c>
      <c r="D8" s="11">
        <v>1</v>
      </c>
      <c r="E8" s="11"/>
      <c r="F8" s="11"/>
      <c r="G8" s="11"/>
      <c r="H8" s="11"/>
      <c r="I8" s="11"/>
      <c r="J8" s="91">
        <f t="shared" si="1"/>
        <v>1</v>
      </c>
      <c r="K8" s="92"/>
    </row>
    <row r="9" spans="1:11" ht="15.75" customHeight="1" thickBot="1">
      <c r="A9" s="10" t="s">
        <v>10</v>
      </c>
      <c r="B9" s="11">
        <f t="shared" si="0"/>
        <v>1</v>
      </c>
      <c r="C9" s="11">
        <v>1</v>
      </c>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12</v>
      </c>
      <c r="C11" s="11">
        <v>12</v>
      </c>
      <c r="D11" s="11"/>
      <c r="E11" s="11"/>
      <c r="F11" s="11"/>
      <c r="G11" s="11"/>
      <c r="H11" s="11"/>
      <c r="I11" s="11"/>
      <c r="J11" s="91">
        <f t="shared" si="1"/>
        <v>0</v>
      </c>
      <c r="K11" s="92"/>
    </row>
    <row r="12" spans="1:11" ht="15.75" customHeight="1" thickBot="1">
      <c r="A12" s="10" t="s">
        <v>13</v>
      </c>
      <c r="B12" s="11">
        <f t="shared" si="0"/>
        <v>11</v>
      </c>
      <c r="C12" s="11">
        <v>11</v>
      </c>
      <c r="D12" s="11"/>
      <c r="E12" s="11"/>
      <c r="F12" s="11"/>
      <c r="G12" s="11"/>
      <c r="H12" s="11"/>
      <c r="I12" s="11"/>
      <c r="J12" s="91">
        <f t="shared" si="1"/>
        <v>0</v>
      </c>
      <c r="K12" s="92"/>
    </row>
    <row r="13" spans="1:11" ht="15.75" customHeight="1" thickBot="1">
      <c r="A13" s="10" t="s">
        <v>133</v>
      </c>
      <c r="B13" s="11">
        <f t="shared" si="0"/>
        <v>11</v>
      </c>
      <c r="C13" s="11">
        <v>11</v>
      </c>
      <c r="D13" s="11"/>
      <c r="E13" s="11"/>
      <c r="F13" s="11"/>
      <c r="G13" s="11"/>
      <c r="H13" s="11"/>
      <c r="I13" s="11"/>
      <c r="J13" s="91">
        <f t="shared" si="1"/>
        <v>0</v>
      </c>
      <c r="K13" s="92"/>
    </row>
    <row r="14" spans="1:11" ht="26.25" customHeight="1" thickBot="1">
      <c r="A14" s="10" t="s">
        <v>123</v>
      </c>
      <c r="B14" s="11">
        <f t="shared" si="0"/>
        <v>2</v>
      </c>
      <c r="C14" s="11">
        <v>2</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11.396011396011398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694</v>
      </c>
      <c r="R7" s="42">
        <f t="shared" ref="R7:R15" si="5">SUM(N7:Q7)</f>
        <v>702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v>
      </c>
      <c r="D8" s="34">
        <f>IF((AND(C67&gt;0,C8&gt;0)),(C8/C67),0)</f>
        <v>200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-8</v>
      </c>
      <c r="R8" s="42">
        <f t="shared" si="5"/>
        <v>8.0500000000000007</v>
      </c>
      <c r="S8" s="30">
        <f t="shared" si="6"/>
        <v>5.152000000000001</v>
      </c>
      <c r="T8" s="30">
        <f t="shared" si="7"/>
        <v>-50.88</v>
      </c>
      <c r="U8" s="31">
        <f t="shared" si="8"/>
        <v>-0.10125786163522014</v>
      </c>
    </row>
    <row r="9" spans="2:21" ht="18" customHeight="1">
      <c r="B9" s="32" t="str">
        <f>'Data Entry'!A9</f>
        <v xml:space="preserve">4. Cases Diverted </v>
      </c>
      <c r="C9" s="33">
        <f>'Data Entry'!C9</f>
        <v>1</v>
      </c>
      <c r="D9" s="34">
        <f>IF((AND(C68&gt;0,C9&gt;0)),((C9/C68)),0)</f>
        <v>6.25</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15</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75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4</v>
      </c>
      <c r="R11" s="42">
        <f t="shared" si="5"/>
        <v>16</v>
      </c>
      <c r="S11" s="30">
        <f t="shared" si="6"/>
        <v>0</v>
      </c>
      <c r="T11" s="30">
        <f t="shared" si="7"/>
        <v>0</v>
      </c>
      <c r="U11" s="31" t="str">
        <f t="shared" si="8"/>
        <v>- -</v>
      </c>
    </row>
    <row r="12" spans="2:21" ht="18" customHeight="1">
      <c r="B12" s="32" t="str">
        <f>'Data Entry'!A12</f>
        <v>7. Cases Resulting in Delinquent Findings</v>
      </c>
      <c r="C12" s="33">
        <f>'Data Entry'!C12</f>
        <v>11</v>
      </c>
      <c r="D12" s="34">
        <f>IF(((AND(C69&gt;0,C12&gt;0))),(C12/(C69)),0)</f>
        <v>91.666666666666671</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1</v>
      </c>
      <c r="R12" s="42">
        <f t="shared" si="5"/>
        <v>12</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0</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18.181818181818183</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9</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0</v>
      </c>
      <c r="E42" s="56">
        <f>MAX(C42:D42)</f>
        <v>0.70199999999999996</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0</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0</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0</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0</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Entry'!J6</f>
        <v>53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11.396011396011398</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53</v>
      </c>
      <c r="P7" s="42">
        <f t="shared" ref="P7:P15" si="4">C7</f>
        <v>8</v>
      </c>
      <c r="Q7" s="42">
        <f>C6-C7</f>
        <v>694</v>
      </c>
      <c r="R7" s="42">
        <f t="shared" ref="R7:R15" si="5">SUM(N7:Q7)</f>
        <v>755</v>
      </c>
      <c r="S7" s="30">
        <f t="shared" ref="S7:S15" si="6">R7*((((N7*Q7)-(O7*P7))^2))</f>
        <v>135730880</v>
      </c>
      <c r="T7" s="30">
        <f t="shared" ref="T7:T15" si="7">(N7+O7)*(P7+Q7)*(N7+P7)*(O7+Q7)</f>
        <v>222343056</v>
      </c>
      <c r="U7" s="31">
        <f t="shared" ref="U7:U15" si="8">IF((S7&gt;0),S7/T7,"- -")</f>
        <v>0.61045702277295311</v>
      </c>
    </row>
    <row r="8" spans="2:21" ht="18" customHeight="1">
      <c r="B8" s="32" t="str">
        <f>'Data Entry'!A8</f>
        <v>3. Refer to Juvenile Court</v>
      </c>
      <c r="C8" s="33">
        <f>'Data Entry'!C8</f>
        <v>16</v>
      </c>
      <c r="D8" s="34">
        <f>IF((AND(C67&gt;0,C8&gt;0)),(C8/C67),0)</f>
        <v>200</v>
      </c>
      <c r="E8" s="33">
        <f>'Data Entry'!J8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16</v>
      </c>
      <c r="Q8" s="42">
        <f>(C$67*L67)-C8</f>
        <v>-8</v>
      </c>
      <c r="R8" s="42">
        <f t="shared" si="5"/>
        <v>8.0500000000000007</v>
      </c>
      <c r="S8" s="30">
        <f t="shared" si="6"/>
        <v>417.31199999999995</v>
      </c>
      <c r="T8" s="30">
        <f t="shared" si="7"/>
        <v>-60.860000000000049</v>
      </c>
      <c r="U8" s="31">
        <f t="shared" si="8"/>
        <v>-6.8569175156095898</v>
      </c>
    </row>
    <row r="9" spans="2:21" ht="18" customHeight="1">
      <c r="B9" s="32" t="str">
        <f>'Data Entry'!A9</f>
        <v xml:space="preserve">4. Cases Diverted </v>
      </c>
      <c r="C9" s="33">
        <f>'Data Entry'!C9</f>
        <v>1</v>
      </c>
      <c r="D9" s="34">
        <f>IF((AND(C68&gt;0,C9&gt;0)),((C9/C68)),0)</f>
        <v>6.25</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1</v>
      </c>
      <c r="Q9" s="42">
        <f>(C$68*L68)-C9</f>
        <v>15</v>
      </c>
      <c r="R9" s="42">
        <f t="shared" si="5"/>
        <v>17</v>
      </c>
      <c r="S9" s="30">
        <f t="shared" si="6"/>
        <v>17</v>
      </c>
      <c r="T9" s="30">
        <f t="shared" si="7"/>
        <v>256</v>
      </c>
      <c r="U9" s="31">
        <f t="shared" si="8"/>
        <v>6.640625E-2</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16</v>
      </c>
      <c r="R10" s="42">
        <f t="shared" si="5"/>
        <v>17</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75</v>
      </c>
      <c r="E11" s="33">
        <f>'Data Entry'!J11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12</v>
      </c>
      <c r="Q11" s="42">
        <f>(C$68*L68)-C11</f>
        <v>4</v>
      </c>
      <c r="R11" s="42">
        <f t="shared" si="5"/>
        <v>17</v>
      </c>
      <c r="S11" s="30">
        <f t="shared" si="6"/>
        <v>2448</v>
      </c>
      <c r="T11" s="30">
        <f t="shared" si="7"/>
        <v>960</v>
      </c>
      <c r="U11" s="31">
        <f t="shared" si="8"/>
        <v>2.5499999999999998</v>
      </c>
    </row>
    <row r="12" spans="2:21" ht="18" customHeight="1">
      <c r="B12" s="32" t="str">
        <f>'Data Entry'!A12</f>
        <v>7. Cases Resulting in Delinquent Findings</v>
      </c>
      <c r="C12" s="33">
        <f>'Data Entry'!C12</f>
        <v>11</v>
      </c>
      <c r="D12" s="34">
        <f>IF(((AND(C69&gt;0,C12&gt;0))),(C12/(C69)),0)</f>
        <v>91.666666666666671</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1</v>
      </c>
      <c r="R12" s="42">
        <f t="shared" si="5"/>
        <v>12</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100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0</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18.181818181818183</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9</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5.2999999999999999E-2</v>
      </c>
      <c r="E42" s="56">
        <f>MAX(C42:D42)</f>
        <v>0.70199999999999996</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0.16</v>
      </c>
      <c r="D44" s="56">
        <f>E8/100</f>
        <v>0.01</v>
      </c>
      <c r="E44" s="56">
        <f>MAX(C44:D44,0)</f>
        <v>0.16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5.2999999999999999E-2</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0.01</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5.2999999999999999E-2</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0.16</v>
      </c>
      <c r="D56" s="49">
        <f t="shared" si="10"/>
        <v>0.01</v>
      </c>
      <c r="E56" s="49">
        <f>MAX(C56:D56)</f>
        <v>0.16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5.2999999999999999E-2</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0.16</v>
      </c>
      <c r="D62" s="49">
        <f t="shared" si="11"/>
        <v>0.01</v>
      </c>
      <c r="E62" s="49">
        <f>MAX(C62:D62)</f>
        <v>0.16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5.2999999999999999E-2</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0.16</v>
      </c>
      <c r="D68" s="49">
        <f t="shared" si="12"/>
        <v>0.01</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Oscoda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755</v>
      </c>
      <c r="D3" s="57">
        <f>'Data Entry'!C6</f>
        <v>702</v>
      </c>
      <c r="E3" s="57">
        <f>'Data Entry'!D6</f>
        <v>12</v>
      </c>
      <c r="F3" s="57">
        <f>'Data Entry'!E6</f>
        <v>36</v>
      </c>
      <c r="G3" s="57">
        <f>'Data Entry'!F6</f>
        <v>1</v>
      </c>
      <c r="H3" s="57">
        <f>'Data Entry'!G6</f>
        <v>0</v>
      </c>
      <c r="I3" s="57">
        <f>'Data Entry'!H6</f>
        <v>4</v>
      </c>
      <c r="J3" s="57">
        <f>'Data Entry'!I6</f>
        <v>0</v>
      </c>
      <c r="K3" s="57">
        <f>'Data Entry'!J6</f>
        <v>53</v>
      </c>
    </row>
    <row r="4" spans="2:11" ht="15" customHeight="1">
      <c r="B4" s="16" t="s">
        <v>8</v>
      </c>
      <c r="C4" s="1">
        <f>IF((C$3&gt;0),(1000*('Data Entry'!B7/'Data Entry'!B$6)), 0)</f>
        <v>11.920529801324504</v>
      </c>
      <c r="D4" s="1">
        <f>IF((D$3&gt;0),(1000*('Data Entry'!C7/'Data Entry'!C$6)), 0)</f>
        <v>11.396011396011396</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22.516556291390728</v>
      </c>
      <c r="D5" s="1">
        <f>IF((D$3&gt;0),(1000*('Data Entry'!C8/'Data Entry'!C$6)), 0)</f>
        <v>22.792022792022792</v>
      </c>
      <c r="E5" s="1">
        <f>IF((E$3&gt;0),(1000*('Data Entry'!D8/'Data Entry'!D$6)), 0)</f>
        <v>83.333333333333329</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18.867924528301884</v>
      </c>
    </row>
    <row r="6" spans="2:11" ht="15" customHeight="1">
      <c r="B6" s="16" t="s">
        <v>10</v>
      </c>
      <c r="C6" s="1">
        <f>IF((C$3&gt;0),(1000*('Data Entry'!B9/'Data Entry'!B$6)), 0)</f>
        <v>1.3245033112582782</v>
      </c>
      <c r="D6" s="1">
        <f>IF((D$3&gt;0),(1000*('Data Entry'!C9/'Data Entry'!C$6)), 0)</f>
        <v>1.4245014245014245</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15.894039735099337</v>
      </c>
      <c r="D8" s="1">
        <f>IF((D$3&gt;0),(1000*('Data Entry'!C11/'Data Entry'!C$6)), 0)</f>
        <v>17.094017094017097</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14.569536423841061</v>
      </c>
      <c r="D9" s="1">
        <f>IF((D$3&gt;0),(1000*('Data Entry'!C12/'Data Entry'!C$6)), 0)</f>
        <v>15.66951566951567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14.569536423841061</v>
      </c>
      <c r="D10" s="1">
        <f>IF((D$3&gt;0),(1000*('Data Entry'!C13/'Data Entry'!C$6)), 0)</f>
        <v>15.66951566951567</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2.6490066225165565</v>
      </c>
      <c r="D11" s="1">
        <f>IF((D$3&gt;0),(1000*('Data Entry'!C14/'Data Entry'!C$6)), 0)</f>
        <v>2.8490028490028489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Oscoda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3.65625</v>
      </c>
      <c r="E20" s="72" t="str">
        <f t="shared" si="2"/>
        <v>--</v>
      </c>
      <c r="F20" s="72" t="str">
        <f t="shared" si="2"/>
        <v>--</v>
      </c>
      <c r="G20" s="72" t="str">
        <f t="shared" si="2"/>
        <v>--</v>
      </c>
      <c r="H20" s="72" t="str">
        <f t="shared" si="2"/>
        <v>--</v>
      </c>
      <c r="I20" s="72" t="str">
        <f t="shared" si="2"/>
        <v>--</v>
      </c>
      <c r="J20" s="73">
        <f t="shared" si="2"/>
        <v>0.82783018867924518</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Oscoda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702</v>
      </c>
      <c r="D7" s="104">
        <f>'Data Entry'!D6</f>
        <v>12</v>
      </c>
      <c r="E7" s="105"/>
      <c r="F7" s="106">
        <f>'Data Entry'!E6</f>
        <v>36</v>
      </c>
      <c r="G7" s="105"/>
      <c r="H7" s="106">
        <f>'Data Entry'!F6</f>
        <v>1</v>
      </c>
      <c r="I7" s="105"/>
      <c r="J7" s="106">
        <f>'Data Entry'!G6</f>
        <v>0</v>
      </c>
      <c r="K7" s="105"/>
      <c r="L7" s="106">
        <f>'Data Entry'!H6</f>
        <v>4</v>
      </c>
      <c r="M7" s="105"/>
      <c r="N7" s="106">
        <f>'Data Entry'!I6</f>
        <v>0</v>
      </c>
      <c r="O7" s="105"/>
      <c r="P7" s="106">
        <f>'Data Entry'!J6</f>
        <v>53</v>
      </c>
      <c r="Q7" s="107"/>
    </row>
    <row r="8" spans="2:26" s="1" customFormat="1" ht="15" customHeight="1">
      <c r="B8" s="142" t="s">
        <v>8</v>
      </c>
      <c r="C8" s="103">
        <f>'Data Entry'!C7</f>
        <v>8</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16</v>
      </c>
      <c r="D9" s="108">
        <f>'Data Entry'!D8</f>
        <v>1</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v>
      </c>
      <c r="Q9" s="111" t="str">
        <f>'All Minorities'!G8</f>
        <v>**</v>
      </c>
      <c r="R9"/>
      <c r="T9" s="1">
        <f>'Black or African-American'!L8</f>
        <v>20</v>
      </c>
      <c r="U9" s="1">
        <f>Hispanic!L8</f>
        <v>40</v>
      </c>
      <c r="V9" s="1">
        <f>Asian!L8</f>
        <v>139</v>
      </c>
      <c r="W9" s="1">
        <f>Hawaiian!L8</f>
        <v>139</v>
      </c>
      <c r="X9" s="1">
        <f>'Am Indian'!L8</f>
        <v>139</v>
      </c>
      <c r="Y9" s="1">
        <f>'Other - Mixed'!L8</f>
        <v>139</v>
      </c>
      <c r="Z9" s="1">
        <f>'All Minorities'!L8</f>
        <v>20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12</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11</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11</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Oscoda</v>
      </c>
    </row>
    <row r="6" spans="1:12">
      <c r="A6" s="135" t="str">
        <f>CONCATENATE("Percentage of Minorities at Stages of the Juvenile Justice System, ", A5, " 2024")</f>
        <v>Percentage of Minorities at Stages of the Juvenile Justice System, County: Oscoda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13.245283018867925</v>
      </c>
    </row>
    <row r="8" spans="1:12" ht="25.5" customHeight="1">
      <c r="A8" s="151" t="str">
        <f>CONCATENATE("Confinement, total N=", 'Data Entry'!B14)</f>
        <v>Confinement, total N=2</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N=2</v>
      </c>
      <c r="L8">
        <f>I14/(SUM(B14:G14))</f>
        <v>13.245283018867925</v>
      </c>
    </row>
    <row r="9" spans="1:12">
      <c r="A9" s="128" t="str">
        <f>CONCATENATE("Delinquent Findings, total N=", 'Data Entry'!B12)</f>
        <v>Delinquent Findings, total N=11</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N=11</v>
      </c>
      <c r="L9">
        <f>I14/(SUM(B14:G14))</f>
        <v>13.245283018867925</v>
      </c>
    </row>
    <row r="10" spans="1:12">
      <c r="A10" s="128" t="str">
        <f>CONCATENATE("Petitions, total N=", 'Data Entry'!B11)</f>
        <v>Petitions, total N=12</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N=12</v>
      </c>
      <c r="L10">
        <f>I14/(SUM(B14:G14))</f>
        <v>13.245283018867925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13.245283018867925</v>
      </c>
    </row>
    <row r="12" spans="1:12">
      <c r="A12" s="128" t="str">
        <f>CONCATENATE("Referrals, total N=", 'Data Entry'!B8)</f>
        <v>Referrals, total N=17</v>
      </c>
      <c r="B12" s="150">
        <f>'Data Entry'!D8/'Data Entry'!B8</f>
        <v>5.8823529411764705E-2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0.94117647058823528</v>
      </c>
      <c r="K12" s="96" t="str">
        <f t="shared" si="0"/>
        <v>Referrals, total N=17</v>
      </c>
      <c r="L12">
        <f>I14/(SUM(B14:G14))</f>
        <v>13.245283018867925</v>
      </c>
    </row>
    <row r="13" spans="1:12">
      <c r="A13" s="128" t="str">
        <f>CONCATENATE("Arrests, total N=", 'Data Entry'!B7)</f>
        <v>Arrests, total N=9</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0.88888888888888884</v>
      </c>
      <c r="K13" s="96" t="str">
        <f t="shared" si="0"/>
        <v>Arrests, total N=9</v>
      </c>
      <c r="L13">
        <f>I14/(SUM(B14:G14))</f>
        <v>13.245283018867925</v>
      </c>
    </row>
    <row r="14" spans="1:12">
      <c r="A14" s="128" t="str">
        <f>CONCATENATE("Population, total N=", 'Data Entry'!B6)</f>
        <v>Population, total N=755</v>
      </c>
      <c r="B14" s="150">
        <f>'Data Entry'!D6/'Data Entry'!B6</f>
        <v>1.5894039735099338E-2</v>
      </c>
      <c r="C14" s="150">
        <f>'Data Entry'!E6/'Data Entry'!B6</f>
        <v>4.7682119205298017E-2</v>
      </c>
      <c r="D14" s="150">
        <f>'Data Entry'!F6/'Data Entry'!B6</f>
        <v>1.3245033112582781E-3</v>
      </c>
      <c r="E14" s="150">
        <f>'Data Entry'!G6/'Data Entry'!B6</f>
        <v>0</v>
      </c>
      <c r="F14" s="150">
        <f>'Data Entry'!H6/'Data Entry'!B6</f>
        <v>5.2980132450331126E-3</v>
      </c>
      <c r="G14" s="150">
        <f>'Data Entry'!I6/'Data Entry'!B6</f>
        <v>0</v>
      </c>
      <c r="H14" s="150">
        <f>SUM(D14:G14)/'Data Entry'!B6</f>
        <v>8.7715451076707155E-6</v>
      </c>
      <c r="I14" s="150">
        <f>'Data Entry'!C6/'Data Entry'!B6</f>
        <v>0.92980132450331121</v>
      </c>
      <c r="K14" s="96" t="str">
        <f t="shared" si="0"/>
        <v>Population, total N=755</v>
      </c>
      <c r="L14">
        <f>I14/(SUM(B14:G14))</f>
        <v>13.245283018867925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Oscoda</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702</v>
      </c>
      <c r="D7" s="104">
        <f>'Data Entry'!D6</f>
        <v>12</v>
      </c>
      <c r="E7" s="105"/>
      <c r="F7" s="106">
        <f>'Data Entry'!E6</f>
        <v>36</v>
      </c>
      <c r="G7" s="105"/>
      <c r="H7" s="106">
        <f>'Data Entry'!F6</f>
        <v>1</v>
      </c>
      <c r="I7" s="105"/>
      <c r="J7" s="106">
        <f>'Data Entry'!J6</f>
        <v>53</v>
      </c>
      <c r="K7" s="107"/>
    </row>
    <row r="8" spans="2:30" s="1" customFormat="1" ht="15" customHeight="1">
      <c r="B8" s="121" t="s">
        <v>8</v>
      </c>
      <c r="C8" s="103">
        <f>'Data Entry'!C7</f>
        <v>8</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16</v>
      </c>
      <c r="D9" s="108">
        <f>'Data Entry'!D8</f>
        <v>1</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20</v>
      </c>
      <c r="O9" s="1">
        <f>Hispanic!L8</f>
        <v>40</v>
      </c>
      <c r="P9" s="1">
        <f>Asian!L8</f>
        <v>139</v>
      </c>
      <c r="Q9" s="1">
        <f>Hawaiian!L8</f>
        <v>139</v>
      </c>
      <c r="R9" s="1">
        <f>'Am Indian'!L8</f>
        <v>139</v>
      </c>
      <c r="S9" s="1">
        <f>'Other - Mixed'!L8</f>
        <v>139</v>
      </c>
      <c r="T9" s="1">
        <f>'All Minorities'!L8</f>
        <v>20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12</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11</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11</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Entry'!D6</f>
        <v>12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11.396011396011398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12</v>
      </c>
      <c r="P7" s="42">
        <f t="shared" ref="P7:P15" si="2">C7</f>
        <v>8</v>
      </c>
      <c r="Q7" s="42">
        <f>C6-C7</f>
        <v>694</v>
      </c>
      <c r="R7" s="42">
        <f t="shared" ref="R7:R15" si="3">SUM(N7:Q7)</f>
        <v>714</v>
      </c>
      <c r="S7" s="30">
        <f t="shared" ref="S7:S15" si="4">R7*((((N7*Q7)-(O7*P7))^2))</f>
        <v>6580224</v>
      </c>
      <c r="T7" s="30">
        <f t="shared" ref="T7:T15" si="5">(N7+O7)*(P7+Q7)*(N7+P7)*(O7+Q7)</f>
        <v>47578752</v>
      </c>
      <c r="U7" s="31">
        <f t="shared" ref="U7:U15" si="6">IF((S7&gt;0),S7/T7,"- -")</f>
        <v>0.13830173603544707</v>
      </c>
    </row>
    <row r="8" spans="2:21" ht="18" customHeight="1">
      <c r="B8" s="32" t="str">
        <f>'Data Entry'!A8</f>
        <v>3. Refer to Juvenile Court</v>
      </c>
      <c r="C8" s="33">
        <f>'Data Entry'!C8</f>
        <v>16</v>
      </c>
      <c r="D8" s="34">
        <f>IF((AND(C67&gt;0,C8&gt;0)),(C8/C67),0)</f>
        <v>200</v>
      </c>
      <c r="E8" s="33">
        <f>'Data Entry'!D8</f>
        <v>1</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v>
      </c>
      <c r="O8" s="42">
        <f>((D67*L67)-E8)+0.05</f>
        <v>-0.95</v>
      </c>
      <c r="P8" s="42">
        <f t="shared" si="2"/>
        <v>16</v>
      </c>
      <c r="Q8" s="42">
        <f>(C$67*L67)-C8</f>
        <v>-8</v>
      </c>
      <c r="R8" s="42">
        <f t="shared" si="3"/>
        <v>8.0500000000000007</v>
      </c>
      <c r="S8" s="30">
        <f t="shared" si="4"/>
        <v>417.31199999999995</v>
      </c>
      <c r="T8" s="30">
        <f t="shared" si="5"/>
        <v>-60.860000000000049</v>
      </c>
      <c r="U8" s="31">
        <f t="shared" si="6"/>
        <v>-6.8569175156095898</v>
      </c>
    </row>
    <row r="9" spans="2:21" ht="18" customHeight="1">
      <c r="B9" s="32" t="str">
        <f>'Data Entry'!A9</f>
        <v xml:space="preserve">4. Cases Diverted </v>
      </c>
      <c r="C9" s="33">
        <f>'Data Entry'!C9</f>
        <v>1</v>
      </c>
      <c r="D9" s="34">
        <f>IF((AND(C68&gt;0,C9&gt;0)),((C9/C68)),0)</f>
        <v>6.25</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v>
      </c>
      <c r="P9" s="42">
        <f t="shared" si="2"/>
        <v>1</v>
      </c>
      <c r="Q9" s="42">
        <f>(C$68*L68)-C9</f>
        <v>15</v>
      </c>
      <c r="R9" s="42">
        <f t="shared" si="3"/>
        <v>17</v>
      </c>
      <c r="S9" s="30">
        <f t="shared" si="4"/>
        <v>17</v>
      </c>
      <c r="T9" s="30">
        <f t="shared" si="5"/>
        <v>256</v>
      </c>
      <c r="U9" s="31">
        <f t="shared" si="6"/>
        <v>6.640625E-2</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16</v>
      </c>
      <c r="R10" s="42">
        <f t="shared" si="3"/>
        <v>17</v>
      </c>
      <c r="S10" s="30">
        <f t="shared" si="4"/>
        <v>0</v>
      </c>
      <c r="T10" s="30">
        <f t="shared" si="5"/>
        <v>0</v>
      </c>
      <c r="U10" s="31" t="str">
        <f t="shared" si="6"/>
        <v>- -</v>
      </c>
    </row>
    <row r="11" spans="2:21" ht="18" customHeight="1">
      <c r="B11" s="32" t="str">
        <f>'Data Entry'!A11</f>
        <v>6. Cases Petitioned (Charge Filed)</v>
      </c>
      <c r="C11" s="33">
        <f>'Data Entry'!C11</f>
        <v>12</v>
      </c>
      <c r="D11" s="34">
        <f>IF(((AND(C68&gt;0,C11&gt;0))),(C11/(C68)),0)</f>
        <v>75</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v>
      </c>
      <c r="P11" s="42">
        <f t="shared" si="2"/>
        <v>12</v>
      </c>
      <c r="Q11" s="42">
        <f>(C$68*L68)-C11</f>
        <v>4</v>
      </c>
      <c r="R11" s="42">
        <f t="shared" si="3"/>
        <v>17</v>
      </c>
      <c r="S11" s="30">
        <f t="shared" si="4"/>
        <v>2448</v>
      </c>
      <c r="T11" s="30">
        <f t="shared" si="5"/>
        <v>960</v>
      </c>
      <c r="U11" s="31">
        <f t="shared" si="6"/>
        <v>2.5499999999999998</v>
      </c>
    </row>
    <row r="12" spans="2:21" ht="18" customHeight="1">
      <c r="B12" s="32" t="str">
        <f>'Data Entry'!A12</f>
        <v>7. Cases Resulting in Delinquent Findings</v>
      </c>
      <c r="C12" s="33">
        <f>'Data Entry'!C12</f>
        <v>11</v>
      </c>
      <c r="D12" s="34">
        <f>IF(((AND(C69&gt;0,C12&gt;0))),(C12/(C69)),0)</f>
        <v>91.666666666666671</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11</v>
      </c>
      <c r="Q12" s="42">
        <f>(C69*L69)-C12</f>
        <v>1</v>
      </c>
      <c r="R12" s="42">
        <f t="shared" si="3"/>
        <v>12</v>
      </c>
      <c r="S12" s="30">
        <f t="shared" si="4"/>
        <v>0</v>
      </c>
      <c r="T12" s="30">
        <f t="shared" si="5"/>
        <v>0</v>
      </c>
      <c r="U12" s="31" t="str">
        <f t="shared" si="6"/>
        <v>- -</v>
      </c>
    </row>
    <row r="13" spans="2:21" ht="18" customHeight="1">
      <c r="B13" s="32" t="str">
        <f>'Data Entry'!A13</f>
        <v>8. Cases Resulting in Probation Placement</v>
      </c>
      <c r="C13" s="33">
        <f>'Data Entry'!C13</f>
        <v>11</v>
      </c>
      <c r="D13" s="34">
        <f>IF(((AND(C70&gt;0,C13&gt;0))),(C13/(C70)),0)</f>
        <v>100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11</v>
      </c>
      <c r="Q13" s="42">
        <f>(C70*L70)-C13</f>
        <v>0</v>
      </c>
      <c r="R13" s="42">
        <f t="shared" si="3"/>
        <v>11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18.181818181818183</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9</v>
      </c>
      <c r="R14" s="42">
        <f t="shared" si="3"/>
        <v>11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12</v>
      </c>
      <c r="R15" s="42">
        <f t="shared" si="3"/>
        <v>12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1.2E-2</v>
      </c>
      <c r="E42" s="56">
        <f>MAX(C42:D42)</f>
        <v>0.70199999999999996</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0.16</v>
      </c>
      <c r="D44" s="56">
        <f>E8/100</f>
        <v>0.01</v>
      </c>
      <c r="E44" s="56">
        <f>MAX(C44:D44,0)</f>
        <v>0.16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1.2E-2</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0.01</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1.2E-2</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0.16</v>
      </c>
      <c r="D56" s="49">
        <f t="shared" si="10"/>
        <v>0.01</v>
      </c>
      <c r="E56" s="49">
        <f>MAX(C56:D56)</f>
        <v>0.16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1.2E-2</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0.16</v>
      </c>
      <c r="D62" s="49">
        <f t="shared" si="11"/>
        <v>0.01</v>
      </c>
      <c r="E62" s="49">
        <f>MAX(C62:D62)</f>
        <v>0.16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1.2E-2</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0.16</v>
      </c>
      <c r="D68" s="49">
        <f t="shared" si="12"/>
        <v>0.01</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Entry'!F6</f>
        <v>1</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11.396011396011398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v>
      </c>
      <c r="P7" s="42">
        <f t="shared" ref="P7:P15" si="4">C7</f>
        <v>8</v>
      </c>
      <c r="Q7" s="42">
        <f>C6-C7</f>
        <v>694</v>
      </c>
      <c r="R7" s="42">
        <f t="shared" ref="R7:R15" si="5">SUM(N7:Q7)</f>
        <v>703</v>
      </c>
      <c r="S7" s="30">
        <f t="shared" ref="S7:S15" si="6">R7*((((N7*Q7)-(O7*P7))^2))</f>
        <v>44992</v>
      </c>
      <c r="T7" s="30">
        <f t="shared" ref="T7:T15" si="7">(N7+O7)*(P7+Q7)*(N7+P7)*(O7+Q7)</f>
        <v>3903120</v>
      </c>
      <c r="U7" s="31">
        <f t="shared" ref="U7:U15" si="8">IF((S7&gt;0),S7/T7,"- -")</f>
        <v>1.1527188505605772E-2</v>
      </c>
    </row>
    <row r="8" spans="2:21" ht="18" customHeight="1">
      <c r="B8" s="32" t="str">
        <f>'Data Entry'!A8</f>
        <v>3. Refer to Juvenile Court</v>
      </c>
      <c r="C8" s="33">
        <f>'Data Entry'!C8</f>
        <v>16</v>
      </c>
      <c r="D8" s="34">
        <f>IF((AND(C67&gt;0,C8&gt;0)),(C8/C67),0)</f>
        <v>200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-8</v>
      </c>
      <c r="R8" s="42">
        <f t="shared" si="5"/>
        <v>8.0500000000000007</v>
      </c>
      <c r="S8" s="30">
        <f t="shared" si="6"/>
        <v>5.152000000000001</v>
      </c>
      <c r="T8" s="30">
        <f t="shared" si="7"/>
        <v>-50.88</v>
      </c>
      <c r="U8" s="31">
        <f t="shared" si="8"/>
        <v>-0.10125786163522014</v>
      </c>
    </row>
    <row r="9" spans="2:21" ht="18" customHeight="1">
      <c r="B9" s="32" t="str">
        <f>'Data Entry'!A9</f>
        <v xml:space="preserve">4. Cases Diverted </v>
      </c>
      <c r="C9" s="33">
        <f>'Data Entry'!C9</f>
        <v>1</v>
      </c>
      <c r="D9" s="34">
        <f>IF((AND(C68&gt;0,C9&gt;0)),((C9/C68)),0)</f>
        <v>6.25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15</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4</v>
      </c>
      <c r="R11" s="42">
        <f t="shared" si="5"/>
        <v>16</v>
      </c>
      <c r="S11" s="30">
        <f t="shared" si="6"/>
        <v>0</v>
      </c>
      <c r="T11" s="30">
        <f t="shared" si="7"/>
        <v>0</v>
      </c>
      <c r="U11" s="31" t="str">
        <f t="shared" si="8"/>
        <v>- -</v>
      </c>
    </row>
    <row r="12" spans="2:21" ht="18" customHeight="1">
      <c r="B12" s="32" t="str">
        <f>'Data Entry'!A12</f>
        <v>7. Cases Resulting in Delinquent Findings</v>
      </c>
      <c r="C12" s="33">
        <f>'Data Entry'!C12</f>
        <v>11</v>
      </c>
      <c r="D12" s="34">
        <f>IF(((AND(C69&gt;0,C12&gt;0))),(C12/(C69)),0)</f>
        <v>91.666666666666671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1</v>
      </c>
      <c r="R12" s="42">
        <f t="shared" si="5"/>
        <v>12</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0</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18.181818181818183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9</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1E-3</v>
      </c>
      <c r="E42" s="56">
        <f>MAX(C42:D42)</f>
        <v>0.70199999999999996</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1E-3</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1E-3</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1E-3</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1E-3</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Entry'!E6</f>
        <v>36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11.396011396011398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36</v>
      </c>
      <c r="P7" s="42">
        <f t="shared" ref="P7:P15" si="4">C7</f>
        <v>8</v>
      </c>
      <c r="Q7" s="42">
        <f>C6-C7</f>
        <v>694</v>
      </c>
      <c r="R7" s="42">
        <f t="shared" ref="R7:R15" si="5">SUM(N7:Q7)</f>
        <v>738</v>
      </c>
      <c r="S7" s="30">
        <f t="shared" ref="S7:S15" si="6">R7*((((N7*Q7)-(O7*P7))^2))</f>
        <v>61212672</v>
      </c>
      <c r="T7" s="30">
        <f t="shared" ref="T7:T15" si="7">(N7+O7)*(P7+Q7)*(N7+P7)*(O7+Q7)</f>
        <v>147588480</v>
      </c>
      <c r="U7" s="31">
        <f t="shared" ref="U7:U15" si="8">IF((S7&gt;0),S7/T7,"- -")</f>
        <v>0.41475237091675449</v>
      </c>
    </row>
    <row r="8" spans="2:21" ht="18" customHeight="1">
      <c r="B8" s="32" t="str">
        <f>'Data Entry'!A8</f>
        <v>3. Refer to Juvenile Court</v>
      </c>
      <c r="C8" s="33">
        <f>'Data Entry'!C8</f>
        <v>16</v>
      </c>
      <c r="D8" s="34">
        <f>IF((AND(C67&gt;0,C8&gt;0)),(C8/C67),0)</f>
        <v>200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16</v>
      </c>
      <c r="Q8" s="42">
        <f>(C$67*L67)-C8</f>
        <v>-8</v>
      </c>
      <c r="R8" s="42">
        <f t="shared" si="5"/>
        <v>8.0500000000000007</v>
      </c>
      <c r="S8" s="30">
        <f t="shared" si="6"/>
        <v>5.152000000000001</v>
      </c>
      <c r="T8" s="30">
        <f t="shared" si="7"/>
        <v>-50.88</v>
      </c>
      <c r="U8" s="31">
        <f t="shared" si="8"/>
        <v>-0.10125786163522014</v>
      </c>
    </row>
    <row r="9" spans="2:21" ht="18" customHeight="1">
      <c r="B9" s="32" t="str">
        <f>'Data Entry'!A9</f>
        <v xml:space="preserve">4. Cases Diverted </v>
      </c>
      <c r="C9" s="33">
        <f>'Data Entry'!C9</f>
        <v>1</v>
      </c>
      <c r="D9" s="34">
        <f>IF((AND(C68&gt;0,C9&gt;0)),((C9/C68)),0)</f>
        <v>6.25</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15</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4</v>
      </c>
      <c r="R11" s="42">
        <f t="shared" si="5"/>
        <v>16</v>
      </c>
      <c r="S11" s="30">
        <f t="shared" si="6"/>
        <v>0</v>
      </c>
      <c r="T11" s="30">
        <f t="shared" si="7"/>
        <v>0</v>
      </c>
      <c r="U11" s="31" t="str">
        <f t="shared" si="8"/>
        <v>- -</v>
      </c>
    </row>
    <row r="12" spans="2:21" ht="18" customHeight="1">
      <c r="B12" s="32" t="str">
        <f>'Data Entry'!A12</f>
        <v>7. Cases Resulting in Delinquent Findings</v>
      </c>
      <c r="C12" s="33">
        <f>'Data Entry'!C12</f>
        <v>11</v>
      </c>
      <c r="D12" s="34">
        <f>IF(((AND(C69&gt;0,C12&gt;0))),(C12/(C69)),0)</f>
        <v>91.666666666666671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1</v>
      </c>
      <c r="R12" s="42">
        <f t="shared" si="5"/>
        <v>12</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0</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18.181818181818183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9</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3.5999999999999997E-2</v>
      </c>
      <c r="E42" s="56">
        <f>MAX(C42:D42)</f>
        <v>0.70199999999999996</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3.5999999999999997E-2</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3.5999999999999997E-2</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3.5999999999999997E-2</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3.5999999999999997E-2</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11.396011396011398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694</v>
      </c>
      <c r="R7" s="42">
        <f t="shared" ref="R7:R15" si="5">SUM(N7:Q7)</f>
        <v>702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v>
      </c>
      <c r="D8" s="34">
        <f>IF((AND(C67&gt;0,C8&gt;0)),(C8/C67),0)</f>
        <v>200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-8</v>
      </c>
      <c r="R8" s="42">
        <f t="shared" si="5"/>
        <v>8.0500000000000007</v>
      </c>
      <c r="S8" s="30">
        <f t="shared" si="6"/>
        <v>5.152000000000001</v>
      </c>
      <c r="T8" s="30">
        <f t="shared" si="7"/>
        <v>-50.88</v>
      </c>
      <c r="U8" s="31">
        <f t="shared" si="8"/>
        <v>-0.10125786163522014</v>
      </c>
    </row>
    <row r="9" spans="2:21" ht="18" customHeight="1">
      <c r="B9" s="32" t="str">
        <f>'Data Entry'!A9</f>
        <v xml:space="preserve">4. Cases Diverted </v>
      </c>
      <c r="C9" s="33">
        <f>'Data Entry'!C9</f>
        <v>1</v>
      </c>
      <c r="D9" s="34">
        <f>IF((AND(C68&gt;0,C9&gt;0)),((C9/C68)),0)</f>
        <v>6.25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15</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4</v>
      </c>
      <c r="R11" s="42">
        <f t="shared" si="5"/>
        <v>16</v>
      </c>
      <c r="S11" s="30">
        <f t="shared" si="6"/>
        <v>0</v>
      </c>
      <c r="T11" s="30">
        <f t="shared" si="7"/>
        <v>0</v>
      </c>
      <c r="U11" s="31" t="str">
        <f t="shared" si="8"/>
        <v>- -</v>
      </c>
    </row>
    <row r="12" spans="2:21" ht="18" customHeight="1">
      <c r="B12" s="32" t="str">
        <f>'Data Entry'!A12</f>
        <v>7. Cases Resulting in Delinquent Findings</v>
      </c>
      <c r="C12" s="33">
        <f>'Data Entry'!C12</f>
        <v>11</v>
      </c>
      <c r="D12" s="34">
        <f>IF(((AND(C69&gt;0,C12&gt;0))),(C12/(C69)),0)</f>
        <v>91.666666666666671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1</v>
      </c>
      <c r="R12" s="42">
        <f t="shared" si="5"/>
        <v>12</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0</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18.181818181818183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9</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0</v>
      </c>
      <c r="E42" s="56">
        <f>MAX(C42:D42)</f>
        <v>0.70199999999999996</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0</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0</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0</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0</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Oscoda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702</v>
      </c>
      <c r="D6" s="34"/>
      <c r="E6" s="33">
        <f>'Data Entry'!H6</f>
        <v>4</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11.396011396011398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v>
      </c>
      <c r="P7" s="42">
        <f t="shared" ref="P7:P15" si="4">C7</f>
        <v>8</v>
      </c>
      <c r="Q7" s="42">
        <f>C6-C7</f>
        <v>694</v>
      </c>
      <c r="R7" s="42">
        <f t="shared" ref="R7:R15" si="5">SUM(N7:Q7)</f>
        <v>706</v>
      </c>
      <c r="S7" s="30">
        <f t="shared" ref="S7:S15" si="6">R7*((((N7*Q7)-(O7*P7))^2))</f>
        <v>722944</v>
      </c>
      <c r="T7" s="30">
        <f t="shared" ref="T7:T15" si="7">(N7+O7)*(P7+Q7)*(N7+P7)*(O7+Q7)</f>
        <v>15679872</v>
      </c>
      <c r="U7" s="31">
        <f t="shared" ref="U7:U15" si="8">IF((S7&gt;0),S7/T7,"- -")</f>
        <v>4.6106498828561868E-2</v>
      </c>
    </row>
    <row r="8" spans="2:21" ht="18" customHeight="1">
      <c r="B8" s="32" t="str">
        <f>'Data Entry'!A8</f>
        <v>3. Refer to Juvenile Court</v>
      </c>
      <c r="C8" s="33">
        <f>'Data Entry'!C8</f>
        <v>16</v>
      </c>
      <c r="D8" s="34">
        <f>IF((AND(C67&gt;0,C8&gt;0)),(C8/C67),0)</f>
        <v>200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-8</v>
      </c>
      <c r="R8" s="42">
        <f t="shared" si="5"/>
        <v>8.0500000000000007</v>
      </c>
      <c r="S8" s="30">
        <f t="shared" si="6"/>
        <v>5.152000000000001</v>
      </c>
      <c r="T8" s="30">
        <f t="shared" si="7"/>
        <v>-50.88</v>
      </c>
      <c r="U8" s="31">
        <f t="shared" si="8"/>
        <v>-0.10125786163522014</v>
      </c>
    </row>
    <row r="9" spans="2:21" ht="18" customHeight="1">
      <c r="B9" s="32" t="str">
        <f>'Data Entry'!A9</f>
        <v xml:space="preserve">4. Cases Diverted </v>
      </c>
      <c r="C9" s="33">
        <f>'Data Entry'!C9</f>
        <v>1</v>
      </c>
      <c r="D9" s="34">
        <f>IF((AND(C68&gt;0,C9&gt;0)),((C9/C68)),0)</f>
        <v>6.25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15</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75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4</v>
      </c>
      <c r="R11" s="42">
        <f t="shared" si="5"/>
        <v>16</v>
      </c>
      <c r="S11" s="30">
        <f t="shared" si="6"/>
        <v>0</v>
      </c>
      <c r="T11" s="30">
        <f t="shared" si="7"/>
        <v>0</v>
      </c>
      <c r="U11" s="31" t="str">
        <f t="shared" si="8"/>
        <v>- -</v>
      </c>
    </row>
    <row r="12" spans="2:21" ht="18" customHeight="1">
      <c r="B12" s="32" t="str">
        <f>'Data Entry'!A12</f>
        <v>7. Cases Resulting in Delinquent Findings</v>
      </c>
      <c r="C12" s="33">
        <f>'Data Entry'!C12</f>
        <v>11</v>
      </c>
      <c r="D12" s="34">
        <f>IF(((AND(C69&gt;0,C12&gt;0))),(C12/(C69)),0)</f>
        <v>91.666666666666671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1</v>
      </c>
      <c r="R12" s="42">
        <f t="shared" si="5"/>
        <v>12</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0</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18.181818181818183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9</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0.70199999999999996</v>
      </c>
      <c r="D42" s="56">
        <f>E6/1000</f>
        <v>4.0000000000000001E-3</v>
      </c>
      <c r="E42" s="56">
        <f>MAX(C42:D42)</f>
        <v>0.70199999999999996</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0.70199999999999996</v>
      </c>
      <c r="D48" s="56">
        <f>D42</f>
        <v>4.0000000000000001E-3</v>
      </c>
      <c r="E48" s="56">
        <f>MAX(C48:D48)</f>
        <v>0.70199999999999996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0.70199999999999996</v>
      </c>
      <c r="D54" s="56">
        <f>D48</f>
        <v>4.0000000000000001E-3</v>
      </c>
      <c r="E54" s="56">
        <f>MAX(C54:D54)</f>
        <v>0.70199999999999996</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0.70199999999999996</v>
      </c>
      <c r="D60" s="56">
        <f>D54</f>
        <v>4.0000000000000001E-3</v>
      </c>
      <c r="E60" s="56">
        <f>MAX(C60:D60)</f>
        <v>0.70199999999999996</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0.70199999999999996</v>
      </c>
      <c r="D66" s="56">
        <f>D60</f>
        <v>4.0000000000000001E-3</v>
      </c>
      <c r="E66" s="56">
        <f>MAX(C66:D66)</f>
        <v>0.70199999999999996</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U47JMPN4QEAR-1806752177-35388</_dlc_DocId>
    <_dlc_DocIdUrl xmlns="ac3811b5-0f3e-49e2-ba69-f2ffa0c782af">
      <Url>https://michiganphi.sharepoint.com/sites/CMDMC/_layouts/15/DocIdRedir.aspx?ID=U47JMPN4QEAR-1806752177-35388</Url>
      <Description>U47JMPN4QEAR-1806752177-35388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B89195-B7F0-4C14-B867-FADBE3135426}">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976AE90C-1D93-4168-B3D6-A72161AF3092}">
  <ds:schemaRefs>
    <ds:schemaRef ds:uri="http://schemas.microsoft.com/sharepoint/v3/contenttype/forms"/>
  </ds:schemaRefs>
</ds:datastoreItem>
</file>

<file path=customXml/itemProps3.xml><?xml version="1.0" encoding="utf-8"?>
<ds:datastoreItem xmlns:ds="http://schemas.openxmlformats.org/officeDocument/2006/customXml" ds:itemID="{C0478D42-9A4B-435E-AB60-C00C34606C60}"/>
</file>

<file path=customXml/itemProps4.xml><?xml version="1.0" encoding="utf-8"?>
<ds:datastoreItem xmlns:ds="http://schemas.openxmlformats.org/officeDocument/2006/customXml" ds:itemID="{47D30997-2E60-4629-8B26-7B4D21762B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54a3bcde-fee7-4dc3-ac0a-505eba0e95e5</vt:lpwstr>
  </property>
</Properties>
</file>