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56670AE-A452-428F-93E0-7E45185599C9}"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4" i="6"/>
  <c r="D50" i="6" s="1"/>
  <c r="E46" i="3"/>
  <c r="L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L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C50" i="6"/>
  <c r="B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B56" i="8"/>
  <c r="L56" i="8"/>
  <c r="C64" i="5"/>
  <c r="D64" i="5"/>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L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L70" i="5" l="1"/>
  <c r="L70" i="6"/>
  <c r="E63" i="3"/>
  <c r="C69" i="3" s="1"/>
  <c r="D15" i="3" s="1"/>
  <c r="C70" i="3"/>
  <c r="D14" i="3" s="1"/>
  <c r="D63" i="8"/>
  <c r="B63" i="8"/>
  <c r="B70" i="8" s="1"/>
  <c r="M70" i="8" s="1"/>
  <c r="L70" i="3"/>
  <c r="C70" i="6"/>
  <c r="Q14" i="6" s="1"/>
  <c r="D70" i="6"/>
  <c r="O14" i="6" s="1"/>
  <c r="C63" i="8"/>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D13"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B69" i="3" l="1"/>
  <c r="M69" i="3" s="1"/>
  <c r="L69" i="3"/>
  <c r="Q12" i="3" s="1"/>
  <c r="D69" i="3"/>
  <c r="E69" i="3" s="1"/>
  <c r="D13" i="6"/>
  <c r="E63" i="8"/>
  <c r="D69" i="8" s="1"/>
  <c r="F15" i="8" s="1"/>
  <c r="Q14" i="3"/>
  <c r="Q13" i="3"/>
  <c r="C70" i="8"/>
  <c r="Q13" i="8" s="1"/>
  <c r="D14" i="6"/>
  <c r="Q13" i="6"/>
  <c r="F13" i="6"/>
  <c r="B69" i="6"/>
  <c r="M69" i="6" s="1"/>
  <c r="D15" i="7"/>
  <c r="Q15" i="7"/>
  <c r="O13" i="6"/>
  <c r="F14" i="6"/>
  <c r="E70" i="6"/>
  <c r="F14" i="3"/>
  <c r="Q12" i="7"/>
  <c r="E69" i="7"/>
  <c r="E70" i="3"/>
  <c r="O13" i="3"/>
  <c r="C69" i="6"/>
  <c r="D12" i="6" s="1"/>
  <c r="F12" i="7"/>
  <c r="O12" i="7"/>
  <c r="O15" i="7"/>
  <c r="T15" i="7"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R14" i="6"/>
  <c r="S14" i="6"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K14" i="6"/>
  <c r="T14" i="6"/>
  <c r="F34" i="8"/>
  <c r="R14" i="5"/>
  <c r="S14" i="5" s="1"/>
  <c r="U14" i="5" s="1"/>
  <c r="J14" i="5" s="1"/>
  <c r="M14" i="5" s="1"/>
  <c r="F33" i="8"/>
  <c r="C70" i="2"/>
  <c r="D14" i="2" s="1"/>
  <c r="T14" i="5"/>
  <c r="K14" i="5"/>
  <c r="Q15" i="3"/>
  <c r="D70" i="2"/>
  <c r="O14" i="2" s="1"/>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3" l="1"/>
  <c r="R12" i="3" s="1"/>
  <c r="S12" i="3" s="1"/>
  <c r="L69" i="8"/>
  <c r="O15" i="8" s="1"/>
  <c r="D13" i="8"/>
  <c r="C69" i="8"/>
  <c r="B69" i="8"/>
  <c r="M69" i="8" s="1"/>
  <c r="F12" i="8"/>
  <c r="F12" i="3"/>
  <c r="R14" i="3"/>
  <c r="S14" i="3" s="1"/>
  <c r="U14" i="3" s="1"/>
  <c r="J14" i="3" s="1"/>
  <c r="M14" i="3" s="1"/>
  <c r="G14" i="3" s="1"/>
  <c r="I15" i="16" s="1"/>
  <c r="O15" i="3"/>
  <c r="K15" i="3" s="1"/>
  <c r="F15" i="3"/>
  <c r="D14" i="8"/>
  <c r="R13" i="8"/>
  <c r="S13" i="8" s="1"/>
  <c r="U13" i="8" s="1"/>
  <c r="J13" i="8" s="1"/>
  <c r="M13" i="8" s="1"/>
  <c r="G13" i="8" s="1"/>
  <c r="K14" i="16" s="1"/>
  <c r="Q14" i="8"/>
  <c r="K14" i="8" s="1"/>
  <c r="R13" i="3"/>
  <c r="S13" i="3" s="1"/>
  <c r="U13" i="3" s="1"/>
  <c r="J13" i="3" s="1"/>
  <c r="M13" i="3" s="1"/>
  <c r="G13" i="3" s="1"/>
  <c r="T13" i="6"/>
  <c r="F32" i="6"/>
  <c r="F35" i="6"/>
  <c r="K13" i="3"/>
  <c r="K13" i="6"/>
  <c r="R13" i="6"/>
  <c r="S13" i="6" s="1"/>
  <c r="U13" i="6" s="1"/>
  <c r="J13" i="6" s="1"/>
  <c r="M13" i="6" s="1"/>
  <c r="G13" i="6" s="1"/>
  <c r="G13" i="9" s="1"/>
  <c r="D15" i="6"/>
  <c r="K15" i="7"/>
  <c r="T13" i="3"/>
  <c r="R15" i="7"/>
  <c r="S15" i="7" s="1"/>
  <c r="U15" i="7" s="1"/>
  <c r="J15" i="7" s="1"/>
  <c r="T12" i="7"/>
  <c r="T13" i="8"/>
  <c r="R12" i="7"/>
  <c r="S12" i="7" s="1"/>
  <c r="K12" i="7"/>
  <c r="O12" i="6"/>
  <c r="E69" i="6"/>
  <c r="K14" i="3"/>
  <c r="T14" i="3"/>
  <c r="O15" i="6"/>
  <c r="Q12" i="6"/>
  <c r="Q15" i="6"/>
  <c r="F15" i="6"/>
  <c r="L13" i="4"/>
  <c r="O14" i="16" s="1"/>
  <c r="L11" i="4"/>
  <c r="O12" i="16" s="1"/>
  <c r="K8" i="7"/>
  <c r="O13" i="2"/>
  <c r="O12" i="8"/>
  <c r="F35" i="8"/>
  <c r="T8" i="7"/>
  <c r="U8" i="7" s="1"/>
  <c r="J8" i="7" s="1"/>
  <c r="M8" i="7" s="1"/>
  <c r="T13" i="7"/>
  <c r="Q12" i="8"/>
  <c r="Q10" i="7"/>
  <c r="F13" i="2"/>
  <c r="Q11" i="7"/>
  <c r="R8" i="6"/>
  <c r="S8" i="6" s="1"/>
  <c r="F14" i="2"/>
  <c r="E69" i="8"/>
  <c r="F10" i="7"/>
  <c r="L10" i="3"/>
  <c r="P11" i="16" s="1"/>
  <c r="F30" i="7"/>
  <c r="D12" i="8"/>
  <c r="M68" i="7"/>
  <c r="F29" i="7"/>
  <c r="F15" i="5"/>
  <c r="D15" i="8"/>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N30" i="3"/>
  <c r="D10" i="9"/>
  <c r="G11" i="13"/>
  <c r="E10" i="9"/>
  <c r="I11" i="13"/>
  <c r="D9" i="9"/>
  <c r="G10" i="13"/>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E14" i="9" l="1"/>
  <c r="Q15" i="8"/>
  <c r="R15" i="8" s="1"/>
  <c r="S15" i="8" s="1"/>
  <c r="U15" i="8" s="1"/>
  <c r="J15" i="8" s="1"/>
  <c r="F32" i="8"/>
  <c r="L14" i="3"/>
  <c r="P15" i="16" s="1"/>
  <c r="R15" i="3"/>
  <c r="S15" i="3" s="1"/>
  <c r="U15" i="3" s="1"/>
  <c r="J15" i="3" s="1"/>
  <c r="M15" i="3" s="1"/>
  <c r="G15" i="3" s="1"/>
  <c r="I16" i="16" s="1"/>
  <c r="L13" i="3"/>
  <c r="P14" i="16" s="1"/>
  <c r="T14" i="8"/>
  <c r="R14" i="8"/>
  <c r="S14" i="8" s="1"/>
  <c r="T15" i="3"/>
  <c r="I13" i="9"/>
  <c r="Q14" i="13"/>
  <c r="L13" i="8"/>
  <c r="T14" i="16" s="1"/>
  <c r="L15" i="7"/>
  <c r="S16" i="16" s="1"/>
  <c r="M14" i="13"/>
  <c r="L13" i="6"/>
  <c r="R14" i="16" s="1"/>
  <c r="M15" i="7"/>
  <c r="K12" i="6"/>
  <c r="T15" i="6"/>
  <c r="U12" i="7"/>
  <c r="J12" i="7" s="1"/>
  <c r="M12" i="7" s="1"/>
  <c r="K15" i="6"/>
  <c r="U14" i="8"/>
  <c r="J14" i="8" s="1"/>
  <c r="N30" i="8" s="1"/>
  <c r="T12" i="6"/>
  <c r="R12" i="6"/>
  <c r="S12" i="6" s="1"/>
  <c r="U12" i="6" s="1"/>
  <c r="J12" i="6" s="1"/>
  <c r="M12" i="6" s="1"/>
  <c r="G12" i="6"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Q15" i="9"/>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3" i="9" l="1"/>
  <c r="E15" i="9"/>
  <c r="N13" i="9"/>
  <c r="V14" i="13"/>
  <c r="Z14" i="13"/>
  <c r="Y16" i="13"/>
  <c r="X14" i="13"/>
  <c r="P13" i="9"/>
  <c r="L15" i="6"/>
  <c r="R16" i="16" s="1"/>
  <c r="L14" i="8"/>
  <c r="T15" i="16" s="1"/>
  <c r="L12" i="7"/>
  <c r="M14" i="8"/>
  <c r="G14" i="8" s="1"/>
  <c r="K15" i="16" s="1"/>
  <c r="U10" i="7"/>
  <c r="J10" i="7" s="1"/>
  <c r="M10" i="7" s="1"/>
  <c r="L12" i="6"/>
  <c r="R13"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L10" i="7"/>
  <c r="S11" i="16" s="1"/>
  <c r="P15" i="9"/>
  <c r="X16" i="13"/>
  <c r="Q15" i="13"/>
  <c r="Z15" i="13"/>
  <c r="S13" i="16"/>
  <c r="Q12" i="9"/>
  <c r="Y13" i="13"/>
  <c r="I14" i="9"/>
  <c r="X13" i="13"/>
  <c r="P12" i="9"/>
  <c r="P8" i="9"/>
  <c r="X9" i="13"/>
  <c r="Q10" i="9"/>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Y11" i="13"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<sst xmlns="http://schemas.openxmlformats.org/spreadsheetml/2006/main" count="654" uniqueCount="141">
  <si>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</si>
  <si>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</si>
  <si>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</si>
  <si>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</si>
  <si>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</si>
  <si>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</si>
  <si>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</si>
  <si>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</si>
  <si>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</si>
  <si>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</si>
  <si>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</si>
  <si>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</si>
  <si>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</si>
  <si>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</si>
  <si>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</si>
  <si>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</si>
  <si>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</si>
  <si>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</si>
  <si>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</si>
  <si>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</si>
  <si>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</si>
  <si>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</si>
  <si>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</si>
  <si>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</si>
  <si>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</si>
  <si>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</si>
  <si>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</si>
  <si>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</si>
  <si>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</si>
  <si>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</si>
  <si>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</si>
  <si>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</si>
  <si>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</si>
  <si>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</si>
  <si>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</si>
  <si>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</si>
  <si>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</si>
  <si>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</si>
  <si>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</si>
  <si>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</si>
  <si>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</si>
  <si>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</si>
  <si>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</si>
  <si>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</si>
  <si>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</si>
  <si>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</si>
  <si>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</si>
  <si>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</si>
  <si>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</si>
  <si>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</si>
  <si>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</si>
  <si>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</si>
  <si>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</si>
  <si>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</si>
  <si>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</si>
  <si>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</si>
  <si>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</si>
  <si>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</si>
  <si>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</si>
  <si>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</si>
  <si>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</si>
  <si>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</si>
  <si>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</si>
  <si>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</si>
  <si>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</si>
  <si>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</si>
  <si>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</si>
  <si>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</si>
  <si>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</si>
  <si>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</si>
  <si>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</si>
  <si>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</si>
  <si>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</si>
  <si>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</si>
  <si>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</si>
  <si>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</si>
  <si>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</si>
  <si>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</si>
  <si>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</si>
  <si>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</si>
  <si>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</si>
  <si>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</si>
  <si>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</si>
  <si>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</si>
  <si>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</si>
  <si>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</si>
  <si>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</si>
  <si>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</si>
  <si>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</si>
  <si>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</si>
  <si>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</si>
  <si>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</si>
  <si>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</si>
  <si>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</si>
  <si>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</si>
  <si>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</si>
  <si>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</si>
  <si>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</si>
  <si>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</si>
  <si>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</si>
  <si>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</si>
  <si>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</si>
  <si>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</si>
  <si>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</si>
  <si>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</si>
  <si>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</si>
  <si>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</si>
  <si>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</si>
  <si>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</si>
  <si>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</si>
  <si>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</si>
  <si>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</si>
  <si>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</si>
  <si>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</si>
  <si>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</si>
  <si>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</si>
  <si>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</si>
  <si>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</si>
  <si>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</si>
  <si>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</si>
  <si>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</si>
  <si>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</si>
  <si>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</si>
  <si>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</si>
  <si>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</si>
  <si>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</si>
  <si>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</si>
  <si>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</si>
  <si>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</si>
  <si>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</si>
  <si>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</si>
  <si>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</si>
  <si>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</si>
  <si>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</si>
  <si>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</si>
  <si>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</si>
  <si>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</si>
  <si>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Oscoda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</si>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</sst>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Oscoda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N=639</c:v>
                </c:pt>
              </c:strCache>
            </c:strRef>
          </c:cat>
          <c:val>
            <c:numRef>
              <c:f>'Stacked 100%'!$B$7:$B$14</c:f>
              <c:numCache>
                <c:formatCode>0%</c:formatCode>
                <c:ptCount val="8"/>
                <c:pt idx="0">
                  <c:v>0</c:v>
                </c:pt>
                <c:pt idx="1">
                  <c:v>0</c:v>
                </c:pt>
                <c:pt idx="2">
                  <c:v>0</c:v>
                </c:pt>
                <c:pt idx="3">
                  <c:v>0</c:v>
                </c:pt>
                <c:pt idx="4">
                  <c:v>0</c:v>
                </c:pt>
                <c:pt idx="5">
                  <c:v>0</c:v>
                </c:pt>
                <c:pt idx="6">
                  <c:v>0</c:v>
                </c:pt>
                <c:pt idx="7">
                  <c:v>1.0954616588419406E-2</c:v>
                </c:pt>
              </c:numCache>
            </c:numRef>
          </c:val>
          <c:extLst>
            <c:ext xmlns:c16="http://schemas.microsoft.com/office/drawing/2014/chart" uri="{C3380CC4-5D6E-409C-BE32-E72D297353CC}">
              <c16:uniqueId val="{00000000-0C52-46D7-8260-86DF23DAE57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N=639</c:v>
                </c:pt>
              </c:strCache>
            </c:strRef>
          </c:cat>
          <c:val>
            <c:numRef>
              <c:f>'Stacked 100%'!$C$7:$C$14</c:f>
              <c:numCache>
                <c:formatCode>0%</c:formatCode>
                <c:ptCount val="8"/>
                <c:pt idx="0">
                  <c:v>0</c:v>
                </c:pt>
                <c:pt idx="1">
                  <c:v>0</c:v>
                </c:pt>
                <c:pt idx="2">
                  <c:v>0</c:v>
                </c:pt>
                <c:pt idx="3">
                  <c:v>0</c:v>
                </c:pt>
                <c:pt idx="4">
                  <c:v>0</c:v>
                </c:pt>
                <c:pt idx="5">
                  <c:v>0</c:v>
                </c:pt>
                <c:pt idx="6">
                  <c:v>0</c:v>
                </c:pt>
                <c:pt idx="7">
                  <c:v>4.3818466353677622E-2</c:v>
                </c:pt>
              </c:numCache>
            </c:numRef>
          </c:val>
          <c:extLst>
            <c:ext xmlns:c16="http://schemas.microsoft.com/office/drawing/2014/chart" uri="{C3380CC4-5D6E-409C-BE32-E72D297353CC}">
              <c16:uniqueId val="{00000001-0C52-46D7-8260-86DF23DAE57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N=639</c:v>
                </c:pt>
              </c:strCache>
            </c:strRef>
          </c:cat>
          <c:val>
            <c:numRef>
              <c:f>'Stacked 100%'!$H$7:$H$14</c:f>
              <c:numCache>
                <c:formatCode>0%</c:formatCode>
                <c:ptCount val="8"/>
                <c:pt idx="0">
                  <c:v>0</c:v>
                </c:pt>
                <c:pt idx="1">
                  <c:v>0</c:v>
                </c:pt>
                <c:pt idx="2">
                  <c:v>0</c:v>
                </c:pt>
                <c:pt idx="3">
                  <c:v>0</c:v>
                </c:pt>
                <c:pt idx="4">
                  <c:v>0</c:v>
                </c:pt>
                <c:pt idx="5">
                  <c:v>0</c:v>
                </c:pt>
                <c:pt idx="6">
                  <c:v>0</c:v>
                </c:pt>
                <c:pt idx="7">
                  <c:v>4.8981071265009636E-6</c:v>
                </c:pt>
              </c:numCache>
            </c:numRef>
          </c:val>
          <c:extLst>
            <c:ext xmlns:c16="http://schemas.microsoft.com/office/drawing/2014/chart" uri="{C3380CC4-5D6E-409C-BE32-E72D297353CC}">
              <c16:uniqueId val="{00000002-0C52-46D7-8260-86DF23DAE57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N=639</c:v>
                </c:pt>
              </c:strCache>
            </c:strRef>
          </c:cat>
          <c:val>
            <c:numRef>
              <c:f>'Stacked 100%'!$I$7:$I$14</c:f>
              <c:numCache>
                <c:formatCode>0%</c:formatCode>
                <c:ptCount val="8"/>
                <c:pt idx="0">
                  <c:v>0</c:v>
                </c:pt>
                <c:pt idx="1">
                  <c:v>0</c:v>
                </c:pt>
                <c:pt idx="2">
                  <c:v>0</c:v>
                </c:pt>
                <c:pt idx="3">
                  <c:v>0</c:v>
                </c:pt>
                <c:pt idx="4">
                  <c:v>0</c:v>
                </c:pt>
                <c:pt idx="5">
                  <c:v>0</c:v>
                </c:pt>
                <c:pt idx="6">
                  <c:v>1</c:v>
                </c:pt>
                <c:pt idx="7">
                  <c:v>0.94209702660406891</c:v>
                </c:pt>
              </c:numCache>
            </c:numRef>
          </c:val>
          <c:extLst>
            <c:ext xmlns:c16="http://schemas.microsoft.com/office/drawing/2014/chart" uri="{C3380CC4-5D6E-409C-BE32-E72D297353CC}">
              <c16:uniqueId val="{00000003-0C52-46D7-8260-86DF23DAE579}"/>
            </c:ext>
          </c:extLst>
        </c:ser>
        <c:dLbls>
          <c:showLegendKey val="0"/>
          <c:showVal val="0"/>
          <c:showCatName val="0"/>
          <c:showSerName val="0"/>
          <c:showPercent val="0"/>
          <c:showBubbleSize val="0"/>
        </c:dLbls>
        <c:gapWidth val="150"/>
        <c:overlap val="100"/>
        <c:axId val="73032448"/>
        <c:axId val="1250539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C52-46D7-8260-86DF23DAE579}"/>
            </c:ext>
          </c:extLst>
        </c:ser>
        <c:dLbls>
          <c:showLegendKey val="0"/>
          <c:showVal val="0"/>
          <c:showCatName val="0"/>
          <c:showSerName val="0"/>
          <c:showPercent val="0"/>
          <c:showBubbleSize val="0"/>
        </c:dLbls>
        <c:gapWidth val="150"/>
        <c:overlap val="100"/>
        <c:axId val="65730432"/>
        <c:axId val="65728896"/>
      </c:barChart>
      <c:catAx>
        <c:axId val="7303244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5053952"/>
        <c:crosses val="autoZero"/>
        <c:auto val="1"/>
        <c:lblAlgn val="ctr"/>
        <c:lblOffset val="100"/>
        <c:noMultiLvlLbl val="0"/>
      </c:catAx>
      <c:valAx>
        <c:axId val="1250539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3032448"/>
        <c:crosses val="autoZero"/>
        <c:crossBetween val="between"/>
      </c:valAx>
      <c:valAx>
        <c:axId val="65728896"/>
        <c:scaling>
          <c:orientation val="minMax"/>
        </c:scaling>
        <c:delete val="1"/>
        <c:axPos val="t"/>
        <c:numFmt formatCode="0%" sourceLinked="1"/>
        <c:majorTickMark val="out"/>
        <c:minorTickMark val="none"/>
        <c:tickLblPos val="nextTo"/>
        <c:crossAx val="65730432"/>
        <c:crosses val="max"/>
        <c:crossBetween val="between"/>
      </c:valAx>
      <c:catAx>
        <c:axId val="65730432"/>
        <c:scaling>
          <c:orientation val="minMax"/>
        </c:scaling>
        <c:delete val="1"/>
        <c:axPos val="l"/>
        <c:numFmt formatCode="General" sourceLinked="1"/>
        <c:majorTickMark val="out"/>
        <c:minorTickMark val="none"/>
        <c:tickLblPos val="nextTo"/>
        <c:crossAx val="6572889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639</v>
      </c>
      <c r="C6" s="11">
        <v>602</v>
      </c>
      <c r="D6" s="11">
        <v>7</v>
      </c>
      <c r="E6" s="11">
        <v>28</v>
      </c>
      <c r="F6" s="11">
        <v>1</v>
      </c>
      <c r="G6" s="11"/>
      <c r="H6" s="11">
        <v>1</v>
      </c>
      <c r="I6" s="11"/>
      <c r="J6" s="91">
        <f>SUM(D6:I6)</f>
        <v>37</v>
      </c>
      <c r="K6" s="92"/>
    </row>
    <row r="7" spans="1:11" ht="15.75" customHeight="1" thickBot="1" x14ac:dyDescent="0.25">
      <c r="A7" s="10" t="s">
        <v>8</v>
      </c>
      <c r="B7" s="11">
        <f t="shared" ref="B7:B15" si="0">SUM(C7:I7)+K7</f>
        <v>2</v>
      </c>
      <c r="C7" s="11">
        <v>2</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600</v>
      </c>
      <c r="R7" s="42">
        <f t="shared" ref="R7:R15" si="5">SUM(N7:Q7)</f>
        <v>602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0</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0</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0</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0</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0</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Entry'!J6</f>
        <v>37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v>
      </c>
      <c r="P7" s="42">
        <f t="shared" ref="P7:P15" si="4">C7</f>
        <v>2</v>
      </c>
      <c r="Q7" s="42">
        <f>C6-C7</f>
        <v>600</v>
      </c>
      <c r="R7" s="42">
        <f t="shared" ref="R7:R15" si="5">SUM(N7:Q7)</f>
        <v>639</v>
      </c>
      <c r="S7" s="30">
        <f t="shared" ref="S7:S15" si="6">R7*((((N7*Q7)-(O7*P7))^2))</f>
        <v>3499164</v>
      </c>
      <c r="T7" s="30">
        <f t="shared" ref="T7:T15" si="7">(N7+O7)*(P7+Q7)*(N7+P7)*(O7+Q7)</f>
        <v>28377076</v>
      </c>
      <c r="U7" s="31">
        <f t="shared" ref="U7:U15" si="8">IF((S7&gt;0),S7/T7,"- -")</f>
        <v>0.12330953337123247</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3.6999999999999998E-2</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3.6999999999999998E-2</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3.6999999999999998E-2</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3.6999999999999998E-2</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3.6999999999999998E-2</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Oscoda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639</v>
      </c>
      <c r="D3" s="57">
        <f>'Data Entry'!C6</f>
        <v>602</v>
      </c>
      <c r="E3" s="57">
        <f>'Data Entry'!D6</f>
        <v>7</v>
      </c>
      <c r="F3" s="57">
        <f>'Data Entry'!E6</f>
        <v>28</v>
      </c>
      <c r="G3" s="57">
        <f>'Data Entry'!F6</f>
        <v>1</v>
      </c>
      <c r="H3" s="57">
        <f>'Data Entry'!G6</f>
        <v>0</v>
      </c>
      <c r="I3" s="57">
        <f>'Data Entry'!H6</f>
        <v>1</v>
      </c>
      <c r="J3" s="57">
        <f>'Data Entry'!I6</f>
        <v>0</v>
      </c>
      <c r="K3" s="57">
        <f>'Data Entry'!J6</f>
        <v>37</v>
      </c>
    </row>
    <row r="4" spans="2:11" ht="15" customHeight="1" x14ac:dyDescent="0.25">
      <c r="B4" s="16" t="s">
        <v>8</v>
      </c>
      <c r="C4" s="1">
        <f>IF((C$3&gt;0),(1000*('Data Entry'!B7/'Data Entry'!B$6)), 0)</f>
        <v>3.1298904538341157</v>
      </c>
      <c r="D4" s="1">
        <f>IF((D$3&gt;0),(1000*('Data Entry'!C7/'Data Entry'!C$6)), 0)</f>
        <v>3.3222591362126246</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Oscoda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Oscoda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602</v>
      </c>
      <c r="D7" s="105">
        <f>'Data Entry'!D6</f>
        <v>7</v>
      </c>
      <c r="E7" s="106"/>
      <c r="F7" s="107">
        <f>'Data Entry'!E6</f>
        <v>28</v>
      </c>
      <c r="G7" s="106"/>
      <c r="H7" s="107">
        <f>'Data Entry'!F6</f>
        <v>1</v>
      </c>
      <c r="I7" s="106"/>
      <c r="J7" s="107">
        <f>'Data Entry'!G6</f>
        <v>0</v>
      </c>
      <c r="K7" s="106"/>
      <c r="L7" s="107">
        <f>'Data Entry'!H6</f>
        <v>1</v>
      </c>
      <c r="M7" s="106"/>
      <c r="N7" s="107">
        <f>'Data Entry'!I6</f>
        <v>0</v>
      </c>
      <c r="O7" s="106"/>
      <c r="P7" s="107">
        <f>'Data Entry'!J6</f>
        <v>37</v>
      </c>
      <c r="Q7" s="108"/>
    </row>
    <row r="8" spans="2:26" s="1" customFormat="1" ht="15" customHeight="1" x14ac:dyDescent="0.3">
      <c r="B8" s="149" t="s">
        <v>8</v>
      </c>
      <c r="C8" s="104">
        <f>'Data Entry'!C7</f>
        <v>2</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Oscoda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Oscoda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16.27027027027027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16.27027027027027</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16.27027027027027</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16.27027027027027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16.27027027027027</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16.27027027027027</v>
      </c>
    </row>
    <row r="13" spans="1:12" x14ac:dyDescent="0.2">
      <c r="A13" s="132" t="str">
        <f>CONCATENATE("Arrests, total N=", 'Data Entry'!B7)</f>
        <v>Arrests, total N=2</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N=2</v>
      </c>
      <c r="L13">
        <f>I14/(SUM(B14:G14))</f>
        <v>16.27027027027027</v>
      </c>
    </row>
    <row r="14" spans="1:12" x14ac:dyDescent="0.2">
      <c r="A14" s="132" t="str">
        <f>CONCATENATE("Population, total N=", 'Data Entry'!B6)</f>
        <v>Population, total N=639</v>
      </c>
      <c r="B14" s="157">
        <f>'Data Entry'!D6/'Data Entry'!B6</f>
        <v>1.0954616588419406E-2</v>
      </c>
      <c r="C14" s="157">
        <f>'Data Entry'!E6/'Data Entry'!B6</f>
        <v>4.3818466353677622E-2</v>
      </c>
      <c r="D14" s="157">
        <f>'Data Entry'!F6/'Data Entry'!B6</f>
        <v>1.5649452269170579E-3</v>
      </c>
      <c r="E14" s="157">
        <f>'Data Entry'!G6/'Data Entry'!B6</f>
        <v>0</v>
      </c>
      <c r="F14" s="157">
        <f>'Data Entry'!H6/'Data Entry'!B6</f>
        <v>1.5649452269170579E-3</v>
      </c>
      <c r="G14" s="157">
        <f>'Data Entry'!I6/'Data Entry'!B6</f>
        <v>0</v>
      </c>
      <c r="H14" s="157">
        <f>SUM(D14:G14)/'Data Entry'!B6</f>
        <v>4.8981071265009636E-6</v>
      </c>
      <c r="I14" s="157">
        <f>'Data Entry'!C6/'Data Entry'!B6</f>
        <v>0.94209702660406891</v>
      </c>
      <c r="K14" s="97" t="str">
        <f t="shared" si="0"/>
        <v>Population, total N=639</v>
      </c>
      <c r="L14">
        <f>I14/(SUM(B14:G14))</f>
        <v>16.27027027027027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Oscoda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602</v>
      </c>
      <c r="D7" s="105">
        <f>'Data Entry'!D6</f>
        <v>7</v>
      </c>
      <c r="E7" s="106"/>
      <c r="F7" s="107">
        <f>'Data Entry'!E6</f>
        <v>28</v>
      </c>
      <c r="G7" s="106"/>
      <c r="H7" s="107">
        <f>'Data Entry'!F6</f>
        <v>1</v>
      </c>
      <c r="I7" s="106"/>
      <c r="J7" s="107">
        <f>'Data Entry'!J6</f>
        <v>37</v>
      </c>
      <c r="K7" s="108"/>
    </row>
    <row r="8" spans="2:30" s="1" customFormat="1" ht="15" customHeight="1" x14ac:dyDescent="0.3">
      <c r="B8" s="125" t="s">
        <v>8</v>
      </c>
      <c r="C8" s="104">
        <f>'Data Entry'!C7</f>
        <v>2</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Entry'!D6</f>
        <v>7</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7</v>
      </c>
      <c r="P7" s="42">
        <f t="shared" ref="P7:P15" si="2">C7</f>
        <v>2</v>
      </c>
      <c r="Q7" s="42">
        <f>C6-C7</f>
        <v>600</v>
      </c>
      <c r="R7" s="42">
        <f t="shared" ref="R7:R15" si="3">SUM(N7:Q7)</f>
        <v>609</v>
      </c>
      <c r="S7" s="30">
        <f t="shared" ref="S7:S15" si="4">R7*((((N7*Q7)-(O7*P7))^2))</f>
        <v>119364</v>
      </c>
      <c r="T7" s="30">
        <f t="shared" ref="T7:T15" si="5">(N7+O7)*(P7+Q7)*(N7+P7)*(O7+Q7)</f>
        <v>5115796</v>
      </c>
      <c r="U7" s="31">
        <f t="shared" ref="U7:U15" si="6">IF((S7&gt;0),S7/T7,"- -")</f>
        <v>2.3332439370139076E-2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2</v>
      </c>
      <c r="R8" s="42">
        <f t="shared" si="3"/>
        <v>2.0499999999999998</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7.0000000000000001E-3</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7.0000000000000001E-3</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7.0000000000000001E-3</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7.0000000000000001E-3</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7.0000000000000001E-3</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Entry'!F6</f>
        <v>1</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v>
      </c>
      <c r="P7" s="42">
        <f t="shared" ref="P7:P15" si="4">C7</f>
        <v>2</v>
      </c>
      <c r="Q7" s="42">
        <f>C6-C7</f>
        <v>600</v>
      </c>
      <c r="R7" s="42">
        <f t="shared" ref="R7:R15" si="5">SUM(N7:Q7)</f>
        <v>603</v>
      </c>
      <c r="S7" s="30">
        <f t="shared" ref="S7:S15" si="6">R7*((((N7*Q7)-(O7*P7))^2))</f>
        <v>2412</v>
      </c>
      <c r="T7" s="30">
        <f t="shared" ref="T7:T15" si="7">(N7+O7)*(P7+Q7)*(N7+P7)*(O7+Q7)</f>
        <v>723604</v>
      </c>
      <c r="U7" s="31">
        <f t="shared" ref="U7:U15" si="8">IF((S7&gt;0),S7/T7,"- -")</f>
        <v>3.3333149070486068E-3</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1E-3</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1E-3</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1E-3</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1E-3</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1E-3</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Entry'!E6</f>
        <v>28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28</v>
      </c>
      <c r="P7" s="42">
        <f t="shared" ref="P7:P15" si="4">C7</f>
        <v>2</v>
      </c>
      <c r="Q7" s="42">
        <f>C6-C7</f>
        <v>600</v>
      </c>
      <c r="R7" s="42">
        <f t="shared" ref="R7:R15" si="5">SUM(N7:Q7)</f>
        <v>630</v>
      </c>
      <c r="S7" s="30">
        <f t="shared" ref="S7:S15" si="6">R7*((((N7*Q7)-(O7*P7))^2))</f>
        <v>1975680</v>
      </c>
      <c r="T7" s="30">
        <f t="shared" ref="T7:T15" si="7">(N7+O7)*(P7+Q7)*(N7+P7)*(O7+Q7)</f>
        <v>21171136</v>
      </c>
      <c r="U7" s="31">
        <f t="shared" ref="U7:U15" si="8">IF((S7&gt;0),S7/T7,"- -")</f>
        <v>9.3319508221004294E-2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2.8000000000000001E-2</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2.8000000000000001E-2</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2.8000000000000001E-2</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2.8000000000000001E-2</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2.8000000000000001E-2</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600</v>
      </c>
      <c r="R7" s="42">
        <f t="shared" ref="R7:R15" si="5">SUM(N7:Q7)</f>
        <v>602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0</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0</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0</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0</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0</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Oscoda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602</v>
      </c>
      <c r="D6" s="34"/>
      <c r="E6" s="33">
        <f>'Data Entry'!H6</f>
        <v>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3.3222591362126246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v>
      </c>
      <c r="P7" s="42">
        <f t="shared" ref="P7:P15" si="4">C7</f>
        <v>2</v>
      </c>
      <c r="Q7" s="42">
        <f>C6-C7</f>
        <v>600</v>
      </c>
      <c r="R7" s="42">
        <f t="shared" ref="R7:R15" si="5">SUM(N7:Q7)</f>
        <v>603</v>
      </c>
      <c r="S7" s="30">
        <f t="shared" ref="S7:S15" si="6">R7*((((N7*Q7)-(O7*P7))^2))</f>
        <v>2412</v>
      </c>
      <c r="T7" s="30">
        <f t="shared" ref="T7:T15" si="7">(N7+O7)*(P7+Q7)*(N7+P7)*(O7+Q7)</f>
        <v>723604</v>
      </c>
      <c r="U7" s="31">
        <f t="shared" ref="U7:U15" si="8">IF((S7&gt;0),S7/T7,"- -")</f>
        <v>3.3333149070486068E-3</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0.60199999999999998</v>
      </c>
      <c r="D42" s="56">
        <f>E6/1000</f>
        <v>1E-3</v>
      </c>
      <c r="E42" s="56">
        <f>MAX(C42:D42)</f>
        <v>0.60199999999999998</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0.60199999999999998</v>
      </c>
      <c r="D48" s="56">
        <f>D42</f>
        <v>1E-3</v>
      </c>
      <c r="E48" s="56">
        <f>MAX(C48:D48)</f>
        <v>0.60199999999999998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0.60199999999999998</v>
      </c>
      <c r="D54" s="56">
        <f>D48</f>
        <v>1E-3</v>
      </c>
      <c r="E54" s="56">
        <f>MAX(C54:D54)</f>
        <v>0.60199999999999998</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0.60199999999999998</v>
      </c>
      <c r="D60" s="56">
        <f>D54</f>
        <v>1E-3</v>
      </c>
      <c r="E60" s="56">
        <f>MAX(C60:D60)</f>
        <v>0.60199999999999998</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0.60199999999999998</v>
      </c>
      <c r="D66" s="56">
        <f>D60</f>
        <v>1E-3</v>
      </c>
      <c r="E66" s="56">
        <f>MAX(C66:D66)</f>
        <v>0.60199999999999998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U47JMPN4QEAR-1806752177-30213</_dlc_DocId>
    <_dlc_DocIdUrl xmlns="ac3811b5-0f3e-49e2-ba69-f2ffa0c782af">
      <Url>https://michiganphi.sharepoint.com/sites/CMDMC/_layouts/15/DocIdRedir.aspx?ID=U47JMPN4QEAR-1806752177-30213</Url>
      <Description>U47JMPN4QEAR-1806752177-30213</Description>
    </_dlc_DocIdUrl>
  </documentManagement>
</p:properties>
</file>

<file path=customXml/itemProps1.xml><?xml version="1.0" encoding="utf-8"?>
<ds:datastoreItem xmlns:ds="http://schemas.openxmlformats.org/officeDocument/2006/customXml" ds:itemID="{44DF45C5-377A-460A-A999-C7C82CCAFEA7}"/>
</file>

<file path=customXml/itemProps2.xml><?xml version="1.0" encoding="utf-8"?>
<ds:datastoreItem xmlns:ds="http://schemas.openxmlformats.org/officeDocument/2006/customXml" ds:itemID="{7C98E4DC-5A46-4D2C-BAC3-B9DB41A49597}"/>
</file>

<file path=customXml/itemProps3.xml><?xml version="1.0" encoding="utf-8"?>
<ds:datastoreItem xmlns:ds="http://schemas.openxmlformats.org/officeDocument/2006/customXml" ds:itemID="{8FB9BD09-AD14-45E0-A62A-0353571DFAF7}"/>
</file>

<file path=customXml/itemProps4.xml><?xml version="1.0" encoding="utf-8"?>
<ds:datastoreItem xmlns:ds="http://schemas.openxmlformats.org/officeDocument/2006/customXml" ds:itemID="{AF1CFBA0-9864-4B7C-B7F4-4580FA071C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ea41c0b1-94b0-40a1-abf4-0e94924000a4</vt:lpwstr>
  </property>
</Properties>
</file>