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0F08DB0F-2765-49FB-A8D0-C9E8FD4D4298}" xr6:coauthVersionLast="47" xr6:coauthVersionMax="47" xr10:uidLastSave="{A896135B-0EF6-4145-A60B-F0358E0B970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4"/>
  <c r="F27" i="4"/>
  <c r="F27" i="2"/>
  <c r="M66" i="2"/>
  <c r="M66" i="8"/>
  <c r="F27" i="8"/>
  <c r="M66" i="7"/>
  <c r="F27" i="7"/>
  <c r="F27" i="6"/>
  <c r="M66" i="6"/>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D64" i="5"/>
  <c r="L64" i="3"/>
  <c r="C64" i="5"/>
  <c r="B56" i="8"/>
  <c r="C57" i="8"/>
  <c r="C64" i="8" s="1"/>
  <c r="L56" i="8"/>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E57" i="8"/>
  <c r="B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D70" i="5" l="1"/>
  <c r="F14" i="5" s="1"/>
  <c r="C70" i="5"/>
  <c r="L70" i="5"/>
  <c r="B70" i="5"/>
  <c r="F33" i="5" s="1"/>
  <c r="C69" i="7"/>
  <c r="D12" i="7" s="1"/>
  <c r="L70" i="6"/>
  <c r="C70" i="3"/>
  <c r="D14" i="3" s="1"/>
  <c r="B70" i="3"/>
  <c r="M70" i="3" s="1"/>
  <c r="C63" i="8"/>
  <c r="C70" i="8" s="1"/>
  <c r="E63" i="3"/>
  <c r="C69" i="3" s="1"/>
  <c r="D15" i="3" s="1"/>
  <c r="D70" i="6"/>
  <c r="F13" i="6" s="1"/>
  <c r="C70" i="6"/>
  <c r="D14" i="6" s="1"/>
  <c r="L69" i="7"/>
  <c r="Q12" i="7" s="1"/>
  <c r="L63" i="8"/>
  <c r="L70" i="8" s="1"/>
  <c r="D63" i="8"/>
  <c r="D70" i="8" s="1"/>
  <c r="F13"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E70" i="5"/>
  <c r="Q13" i="5"/>
  <c r="D13" i="5"/>
  <c r="Q14" i="5"/>
  <c r="D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3" i="5" l="1"/>
  <c r="O14" i="5"/>
  <c r="R14" i="5" s="1"/>
  <c r="S14" i="5" s="1"/>
  <c r="U14" i="5" s="1"/>
  <c r="J14" i="5" s="1"/>
  <c r="M14" i="5" s="1"/>
  <c r="O13" i="5"/>
  <c r="F34" i="5"/>
  <c r="M70" i="5"/>
  <c r="D15" i="7"/>
  <c r="Q13" i="3"/>
  <c r="D13" i="3"/>
  <c r="Q14" i="3"/>
  <c r="D12" i="3"/>
  <c r="Q13" i="8"/>
  <c r="L69" i="3"/>
  <c r="Q12" i="3" s="1"/>
  <c r="B69" i="3"/>
  <c r="M69" i="3" s="1"/>
  <c r="E70" i="3"/>
  <c r="D13" i="6"/>
  <c r="Q15" i="7"/>
  <c r="F34" i="3"/>
  <c r="F33" i="3"/>
  <c r="D69" i="3"/>
  <c r="E69" i="3" s="1"/>
  <c r="O13" i="6"/>
  <c r="F14" i="6"/>
  <c r="O14" i="6"/>
  <c r="E63" i="8"/>
  <c r="D69" i="8" s="1"/>
  <c r="F12" i="8" s="1"/>
  <c r="E70" i="6"/>
  <c r="B69" i="6"/>
  <c r="M69" i="6" s="1"/>
  <c r="Q13" i="6"/>
  <c r="Q14" i="6"/>
  <c r="E69" i="7"/>
  <c r="F12" i="7"/>
  <c r="O13" i="3"/>
  <c r="F14" i="3"/>
  <c r="O12" i="7"/>
  <c r="K12" i="7" s="1"/>
  <c r="O15" i="7"/>
  <c r="C69" i="6"/>
  <c r="D12" i="6"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6" l="1"/>
  <c r="S13" i="6" s="1"/>
  <c r="U13" i="6" s="1"/>
  <c r="J13" i="6" s="1"/>
  <c r="M13" i="6" s="1"/>
  <c r="G13" i="6" s="1"/>
  <c r="G13" i="9" s="1"/>
  <c r="K14" i="3"/>
  <c r="K13" i="3"/>
  <c r="K13" i="6"/>
  <c r="R13" i="8"/>
  <c r="S13" i="8" s="1"/>
  <c r="Q15" i="3"/>
  <c r="F32" i="3"/>
  <c r="F35" i="3"/>
  <c r="R12" i="7"/>
  <c r="S12" i="7" s="1"/>
  <c r="U12" i="7" s="1"/>
  <c r="J12" i="7" s="1"/>
  <c r="L12" i="7" s="1"/>
  <c r="S13" i="16" s="1"/>
  <c r="T15" i="7"/>
  <c r="R14" i="6"/>
  <c r="S14" i="6" s="1"/>
  <c r="U14" i="6" s="1"/>
  <c r="J14" i="6" s="1"/>
  <c r="M14" i="6" s="1"/>
  <c r="G14" i="6" s="1"/>
  <c r="M15" i="13" s="1"/>
  <c r="F15" i="8"/>
  <c r="R15" i="7"/>
  <c r="S15" i="7" s="1"/>
  <c r="U15" i="7" s="1"/>
  <c r="J15" i="7" s="1"/>
  <c r="M15" i="7" s="1"/>
  <c r="R14" i="3"/>
  <c r="S14" i="3" s="1"/>
  <c r="U14" i="3" s="1"/>
  <c r="J14" i="3" s="1"/>
  <c r="M14" i="3" s="1"/>
  <c r="G14" i="3" s="1"/>
  <c r="I15" i="16" s="1"/>
  <c r="K14" i="6"/>
  <c r="T14" i="6"/>
  <c r="F15" i="3"/>
  <c r="O15" i="3"/>
  <c r="O12" i="3"/>
  <c r="R12" i="3" s="1"/>
  <c r="S12" i="3" s="1"/>
  <c r="U12" i="3" s="1"/>
  <c r="J12" i="3" s="1"/>
  <c r="C69" i="8"/>
  <c r="F12" i="3"/>
  <c r="T13" i="6"/>
  <c r="L69" i="8"/>
  <c r="O15" i="8" s="1"/>
  <c r="B69" i="8"/>
  <c r="M69" i="8" s="1"/>
  <c r="F32" i="6"/>
  <c r="F35" i="6"/>
  <c r="T14" i="3"/>
  <c r="O12" i="6"/>
  <c r="T12" i="7"/>
  <c r="R14" i="8"/>
  <c r="S14" i="8" s="1"/>
  <c r="Q12" i="6"/>
  <c r="Q15" i="6"/>
  <c r="T13" i="3"/>
  <c r="T13" i="8"/>
  <c r="K15" i="7"/>
  <c r="R13" i="3"/>
  <c r="S13" i="3" s="1"/>
  <c r="U13" i="3" s="1"/>
  <c r="J13" i="3" s="1"/>
  <c r="M13" i="3" s="1"/>
  <c r="G13" i="3" s="1"/>
  <c r="D15" i="6"/>
  <c r="E69" i="6"/>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3" i="6" l="1"/>
  <c r="R14" i="16" s="1"/>
  <c r="M14" i="13"/>
  <c r="R15" i="3"/>
  <c r="S15" i="3" s="1"/>
  <c r="U15" i="3" s="1"/>
  <c r="J15" i="3" s="1"/>
  <c r="M15" i="3" s="1"/>
  <c r="G15" i="3" s="1"/>
  <c r="I16" i="16" s="1"/>
  <c r="U13" i="8"/>
  <c r="J13" i="8" s="1"/>
  <c r="M13" i="8" s="1"/>
  <c r="G13" i="8" s="1"/>
  <c r="I13" i="9" s="1"/>
  <c r="Q12" i="8"/>
  <c r="M12" i="7"/>
  <c r="D15" i="8"/>
  <c r="T15" i="3"/>
  <c r="I15" i="13"/>
  <c r="L14" i="3"/>
  <c r="P15" i="16" s="1"/>
  <c r="K15" i="3"/>
  <c r="L15" i="3" s="1"/>
  <c r="P16" i="16" s="1"/>
  <c r="E14" i="9"/>
  <c r="N30" i="3"/>
  <c r="L15" i="7"/>
  <c r="S16" i="16" s="1"/>
  <c r="K12" i="3"/>
  <c r="L12" i="3" s="1"/>
  <c r="P13" i="16" s="1"/>
  <c r="Q15" i="8"/>
  <c r="R15" i="8" s="1"/>
  <c r="S15" i="8" s="1"/>
  <c r="U15" i="8" s="1"/>
  <c r="J15" i="8" s="1"/>
  <c r="D12" i="8"/>
  <c r="E69" i="8"/>
  <c r="T12" i="3"/>
  <c r="O12" i="8"/>
  <c r="F32" i="8"/>
  <c r="F35" i="8"/>
  <c r="U14" i="8"/>
  <c r="J14" i="8" s="1"/>
  <c r="N30" i="8" s="1"/>
  <c r="T15" i="6"/>
  <c r="T12" i="6"/>
  <c r="R12" i="6"/>
  <c r="S12" i="6" s="1"/>
  <c r="U12" i="6" s="1"/>
  <c r="J12" i="6" s="1"/>
  <c r="M12" i="6" s="1"/>
  <c r="G12" i="6" s="1"/>
  <c r="R15" i="6"/>
  <c r="S15" i="6" s="1"/>
  <c r="U15" i="6" s="1"/>
  <c r="J15" i="6" s="1"/>
  <c r="K12" i="6"/>
  <c r="L13" i="3"/>
  <c r="P14" i="16" s="1"/>
  <c r="K15" i="6"/>
  <c r="M13" i="9"/>
  <c r="U14" i="13"/>
  <c r="U12" i="13"/>
  <c r="M11" i="9"/>
  <c r="T13" i="2"/>
  <c r="U8" i="6"/>
  <c r="J8" i="6" s="1"/>
  <c r="M8" i="6" s="1"/>
  <c r="G8" i="6" s="1"/>
  <c r="M9" i="13" s="1"/>
  <c r="R13" i="2"/>
  <c r="S13" i="2" s="1"/>
  <c r="V11" i="13"/>
  <c r="G14" i="9"/>
  <c r="Q12" i="9"/>
  <c r="R10" i="7"/>
  <c r="S10" i="7" s="1"/>
  <c r="U10" i="7" s="1"/>
  <c r="J10" i="7" s="1"/>
  <c r="T11" i="7"/>
  <c r="T10" i="7"/>
  <c r="L8" i="2"/>
  <c r="N9" i="16" s="1"/>
  <c r="Y13" i="13"/>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X14"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P13" i="9" l="1"/>
  <c r="K15" i="8"/>
  <c r="L15" i="8" s="1"/>
  <c r="T16" i="16" s="1"/>
  <c r="T15" i="8"/>
  <c r="R12" i="8"/>
  <c r="S12" i="8" s="1"/>
  <c r="U12" i="8" s="1"/>
  <c r="J12" i="8" s="1"/>
  <c r="M12" i="8" s="1"/>
  <c r="G12" i="8" s="1"/>
  <c r="K13" i="16" s="1"/>
  <c r="L13" i="8"/>
  <c r="T14" i="16" s="1"/>
  <c r="Y16" i="13"/>
  <c r="Q15" i="9"/>
  <c r="V15" i="13"/>
  <c r="N14" i="9"/>
  <c r="T12" i="8"/>
  <c r="K12" i="8"/>
  <c r="U14" i="2"/>
  <c r="J14" i="2" s="1"/>
  <c r="M14" i="2" s="1"/>
  <c r="G14" i="2" s="1"/>
  <c r="E15" i="16" s="1"/>
  <c r="M14" i="8"/>
  <c r="G14" i="8" s="1"/>
  <c r="K15" i="16" s="1"/>
  <c r="Q14" i="13"/>
  <c r="K14" i="16"/>
  <c r="L14" i="8"/>
  <c r="T15" i="16" s="1"/>
  <c r="U13" i="2"/>
  <c r="J13" i="2" s="1"/>
  <c r="M13" i="2" s="1"/>
  <c r="G13" i="2" s="1"/>
  <c r="V14" i="13"/>
  <c r="L15" i="6"/>
  <c r="R16" i="16" s="1"/>
  <c r="M15" i="6"/>
  <c r="G15" i="6" s="1"/>
  <c r="G15" i="9" s="1"/>
  <c r="L12" i="6"/>
  <c r="R13" i="16" s="1"/>
  <c r="N13" i="9"/>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R13" i="9" l="1"/>
  <c r="Z14" i="13"/>
  <c r="C14" i="9"/>
  <c r="I14" i="9"/>
  <c r="X16" i="13"/>
  <c r="L14" i="2"/>
  <c r="N15" i="16" s="1"/>
  <c r="L12" i="8"/>
  <c r="T13" i="16" s="1"/>
  <c r="E15" i="13"/>
  <c r="L13" i="2"/>
  <c r="N14" i="16" s="1"/>
  <c r="N30" i="2"/>
  <c r="P15" i="9"/>
  <c r="E14" i="16"/>
  <c r="C13" i="9"/>
  <c r="Q15" i="13"/>
  <c r="Z15" i="13"/>
  <c r="E14" i="13"/>
  <c r="X13" i="13"/>
  <c r="R14" i="9"/>
  <c r="M16"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T15" i="13"/>
  <c r="L14" i="9"/>
  <c r="Z13" i="13"/>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<sst xmlns="http://schemas.openxmlformats.org/spreadsheetml/2006/main" count="654" uniqueCount="141">
  <si>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</si>
  <si>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</si>
  <si>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</si>
  <si>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</si>
  <si>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</si>
  <si>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</si>
  <si>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</si>
  <si>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</si>
  <si>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</si>
  <si>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</si>
  <si>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</si>
  <si>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</si>
  <si>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</si>
  <si>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</si>
  <si>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</si>
  <si>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</si>
  <si>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</si>
  <si>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</si>
  <si>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</si>
  <si>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</si>
  <si>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</si>
  <si>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</si>
  <si>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</si>
  <si>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</si>
  <si>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</si>
  <si>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</si>
  <si>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</si>
  <si>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</si>
  <si>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</si>
  <si>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</si>
  <si>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</si>
  <si>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</si>
  <si>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</si>
  <si>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</si>
  <si>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</si>
  <si>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</si>
  <si>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</si>
  <si>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</si>
  <si>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</si>
  <si>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</si>
  <si>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</si>
  <si>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</si>
  <si>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</si>
  <si>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</si>
  <si>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</si>
  <si>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</si>
  <si>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</si>
  <si>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</si>
  <si>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</si>
  <si>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</si>
  <si>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</si>
  <si>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</si>
  <si>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</si>
  <si>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</si>
  <si>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</si>
  <si>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</si>
  <si>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</si>
  <si>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</si>
  <si>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</si>
  <si>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</si>
  <si>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</si>
  <si>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</si>
  <si>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</si>
  <si>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</si>
  <si>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</si>
  <si>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</si>
  <si>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</si>
  <si>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</si>
  <si>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</si>
  <si>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</si>
  <si>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</si>
  <si>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</si>
  <si>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</si>
  <si>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</si>
  <si>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</si>
  <si>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</si>
  <si>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</si>
  <si>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</si>
  <si>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</si>
  <si>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</si>
  <si>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</si>
  <si>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</si>
  <si>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</si>
  <si>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</si>
  <si>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</si>
  <si>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</si>
  <si>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</si>
  <si>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</si>
  <si>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</si>
  <si>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</si>
  <si>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</si>
  <si>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</si>
  <si>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</si>
  <si>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</si>
  <si>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</si>
  <si>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</si>
  <si>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</si>
  <si>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</si>
  <si>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</si>
  <si>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</si>
  <si>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</si>
  <si>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</si>
  <si>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</si>
  <si>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</si>
  <si>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</si>
  <si>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</si>
  <si>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</si>
  <si>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</si>
  <si>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</si>
  <si>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</si>
  <si>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</si>
  <si>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</si>
  <si>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</si>
  <si>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</si>
  <si>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</si>
  <si>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</si>
  <si>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</si>
  <si>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</si>
  <si>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</si>
  <si>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</si>
  <si>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</si>
  <si>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</si>
  <si>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</si>
  <si>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</si>
  <si>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</si>
  <si>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</si>
  <si>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</si>
  <si>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</si>
  <si>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</si>
  <si>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</si>
  <si>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</si>
  <si>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</si>
  <si>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</si>
  <si>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</si>
  <si>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</si>
  <si>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</si>
  <si>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Osceola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</si>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</sst>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Osceola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N=37</c:v>
                </c:pt>
                <c:pt idx="3">
                  <c:v>Petitions, total N=47</c:v>
                </c:pt>
                <c:pt idx="4">
                  <c:v>Detentions, total N=0</c:v>
                </c:pt>
                <c:pt idx="5">
                  <c:v>Referrals, total N=154</c:v>
                </c:pt>
                <c:pt idx="6">
                  <c:v>Arrests, total N=20</c:v>
                </c:pt>
                <c:pt idx="7">
                  <c:v>Population, total N=2542</c:v>
                </c:pt>
              </c:strCache>
            </c:strRef>
          </c:cat>
          <c:val>
            <c:numRef>
              <c:f>'Stacked 100%'!$B$7:$B$14</c:f>
              <c:numCache>
                <c:formatCode>0%</c:formatCode>
                <c:ptCount val="8"/>
                <c:pt idx="0">
                  <c:v>0</c:v>
                </c:pt>
                <c:pt idx="1">
                  <c:v>0</c:v>
                </c:pt>
                <c:pt idx="2">
                  <c:v>5.4054054054054057E-2</c:v>
                </c:pt>
                <c:pt idx="3">
                  <c:v>0.10638297872340426</c:v>
                </c:pt>
                <c:pt idx="4">
                  <c:v>0</c:v>
                </c:pt>
                <c:pt idx="5">
                  <c:v>0.12337662337662338</c:v>
                </c:pt>
                <c:pt idx="6">
                  <c:v>0.2</c:v>
                </c:pt>
                <c:pt idx="7">
                  <c:v>3.5405192761605038E-2</c:v>
                </c:pt>
              </c:numCache>
            </c:numRef>
          </c:val>
          <c:extLst>
            <c:ext xmlns:c16="http://schemas.microsoft.com/office/drawing/2014/chart" uri="{C3380CC4-5D6E-409C-BE32-E72D297353CC}">
              <c16:uniqueId val="{00000000-9A6F-4039-85A1-93C46089BAF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N=37</c:v>
                </c:pt>
                <c:pt idx="3">
                  <c:v>Petitions, total N=47</c:v>
                </c:pt>
                <c:pt idx="4">
                  <c:v>Detentions, total N=0</c:v>
                </c:pt>
                <c:pt idx="5">
                  <c:v>Referrals, total N=154</c:v>
                </c:pt>
                <c:pt idx="6">
                  <c:v>Arrests, total N=20</c:v>
                </c:pt>
                <c:pt idx="7">
                  <c:v>Population, total N=2542</c:v>
                </c:pt>
              </c:strCache>
            </c:strRef>
          </c:cat>
          <c:val>
            <c:numRef>
              <c:f>'Stacked 100%'!$C$7:$C$14</c:f>
              <c:numCache>
                <c:formatCode>0%</c:formatCode>
                <c:ptCount val="8"/>
                <c:pt idx="0">
                  <c:v>0</c:v>
                </c:pt>
                <c:pt idx="1">
                  <c:v>0</c:v>
                </c:pt>
                <c:pt idx="2">
                  <c:v>0</c:v>
                </c:pt>
                <c:pt idx="3">
                  <c:v>0</c:v>
                </c:pt>
                <c:pt idx="4">
                  <c:v>0</c:v>
                </c:pt>
                <c:pt idx="5">
                  <c:v>0</c:v>
                </c:pt>
                <c:pt idx="6">
                  <c:v>0.05</c:v>
                </c:pt>
                <c:pt idx="7">
                  <c:v>4.5239968528717547E-2</c:v>
                </c:pt>
              </c:numCache>
            </c:numRef>
          </c:val>
          <c:extLst>
            <c:ext xmlns:c16="http://schemas.microsoft.com/office/drawing/2014/chart" uri="{C3380CC4-5D6E-409C-BE32-E72D297353CC}">
              <c16:uniqueId val="{00000001-9A6F-4039-85A1-93C46089BAF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N=37</c:v>
                </c:pt>
                <c:pt idx="3">
                  <c:v>Petitions, total N=47</c:v>
                </c:pt>
                <c:pt idx="4">
                  <c:v>Detentions, total N=0</c:v>
                </c:pt>
                <c:pt idx="5">
                  <c:v>Referrals, total N=154</c:v>
                </c:pt>
                <c:pt idx="6">
                  <c:v>Arrests, total N=20</c:v>
                </c:pt>
                <c:pt idx="7">
                  <c:v>Population, total N=2542</c:v>
                </c:pt>
              </c:strCache>
            </c:strRef>
          </c:cat>
          <c:val>
            <c:numRef>
              <c:f>'Stacked 100%'!$H$7:$H$14</c:f>
              <c:numCache>
                <c:formatCode>0%</c:formatCode>
                <c:ptCount val="8"/>
                <c:pt idx="0">
                  <c:v>0</c:v>
                </c:pt>
                <c:pt idx="1">
                  <c:v>0</c:v>
                </c:pt>
                <c:pt idx="2">
                  <c:v>0</c:v>
                </c:pt>
                <c:pt idx="3">
                  <c:v>0</c:v>
                </c:pt>
                <c:pt idx="4">
                  <c:v>0</c:v>
                </c:pt>
                <c:pt idx="5">
                  <c:v>0</c:v>
                </c:pt>
                <c:pt idx="6">
                  <c:v>0</c:v>
                </c:pt>
                <c:pt idx="7">
                  <c:v>4.1784255816213656E-6</c:v>
                </c:pt>
              </c:numCache>
            </c:numRef>
          </c:val>
          <c:extLst>
            <c:ext xmlns:c16="http://schemas.microsoft.com/office/drawing/2014/chart" uri="{C3380CC4-5D6E-409C-BE32-E72D297353CC}">
              <c16:uniqueId val="{00000002-9A6F-4039-85A1-93C46089BAF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N=37</c:v>
                </c:pt>
                <c:pt idx="3">
                  <c:v>Petitions, total N=47</c:v>
                </c:pt>
                <c:pt idx="4">
                  <c:v>Detentions, total N=0</c:v>
                </c:pt>
                <c:pt idx="5">
                  <c:v>Referrals, total N=154</c:v>
                </c:pt>
                <c:pt idx="6">
                  <c:v>Arrests, total N=20</c:v>
                </c:pt>
                <c:pt idx="7">
                  <c:v>Population, total N=2542</c:v>
                </c:pt>
              </c:strCache>
            </c:strRef>
          </c:cat>
          <c:val>
            <c:numRef>
              <c:f>'Stacked 100%'!$I$7:$I$14</c:f>
              <c:numCache>
                <c:formatCode>0%</c:formatCode>
                <c:ptCount val="8"/>
                <c:pt idx="0">
                  <c:v>0</c:v>
                </c:pt>
                <c:pt idx="1">
                  <c:v>0</c:v>
                </c:pt>
                <c:pt idx="2">
                  <c:v>0.81081081081081086</c:v>
                </c:pt>
                <c:pt idx="3">
                  <c:v>0.74468085106382975</c:v>
                </c:pt>
                <c:pt idx="4">
                  <c:v>0</c:v>
                </c:pt>
                <c:pt idx="5">
                  <c:v>0.61038961038961037</c:v>
                </c:pt>
                <c:pt idx="6">
                  <c:v>0.75</c:v>
                </c:pt>
                <c:pt idx="7">
                  <c:v>0.90873328088119587</c:v>
                </c:pt>
              </c:numCache>
            </c:numRef>
          </c:val>
          <c:extLst>
            <c:ext xmlns:c16="http://schemas.microsoft.com/office/drawing/2014/chart" uri="{C3380CC4-5D6E-409C-BE32-E72D297353CC}">
              <c16:uniqueId val="{00000003-9A6F-4039-85A1-93C46089BAF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N=37</c:v>
                </c:pt>
                <c:pt idx="3">
                  <c:v>Petitions, total N=47</c:v>
                </c:pt>
                <c:pt idx="4">
                  <c:v>Detentions, total N=0</c:v>
                </c:pt>
                <c:pt idx="5">
                  <c:v>Referrals, total N=154</c:v>
                </c:pt>
                <c:pt idx="6">
                  <c:v>Arrests, total N=20</c:v>
                </c:pt>
                <c:pt idx="7">
                  <c:v>Population, total N=2542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9A6F-4039-85A1-93C46089BAF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4" sqref="D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2542</v>
      </c>
      <c r="C6" s="11">
        <v>2310</v>
      </c>
      <c r="D6" s="11">
        <v>90</v>
      </c>
      <c r="E6" s="11">
        <v>115</v>
      </c>
      <c r="F6" s="11">
        <v>9</v>
      </c>
      <c r="G6" s="11"/>
      <c r="H6" s="11">
        <v>18</v>
      </c>
      <c r="I6" s="11"/>
      <c r="J6" s="91">
        <f>SUM(D6:I6)</f>
        <v>232</v>
      </c>
      <c r="K6" s="92"/>
    </row>
    <row r="7" spans="1:11" ht="15.75" customHeight="1" thickBot="1">
      <c r="A7" s="10" t="s">
        <v>8</v>
      </c>
      <c r="B7" s="11">
        <f t="shared" ref="B7:B15" si="0">SUM(C7:I7)+K7</f>
        <v>20</v>
      </c>
      <c r="C7" s="11">
        <v>15</v>
      </c>
      <c r="D7" s="11">
        <v>4</v>
      </c>
      <c r="E7" s="11">
        <v>1</v>
      </c>
      <c r="F7" s="11">
        <v>0</v>
      </c>
      <c r="G7" s="11">
        <v>0</v>
      </c>
      <c r="H7" s="11">
        <v>0</v>
      </c>
      <c r="I7" s="11"/>
      <c r="J7" s="91">
        <f t="shared" ref="J7:J15" si="1">SUM(D7:I7)</f>
        <v>5</v>
      </c>
      <c r="K7" s="92">
        <v>0</v>
      </c>
    </row>
    <row r="8" spans="1:11" ht="15.75" customHeight="1" thickBot="1">
      <c r="A8" s="10" t="s">
        <v>9</v>
      </c>
      <c r="B8" s="11">
        <f t="shared" si="0"/>
        <v>154</v>
      </c>
      <c r="C8" s="11">
        <v>94</v>
      </c>
      <c r="D8" s="11">
        <v>19</v>
      </c>
      <c r="E8" s="11"/>
      <c r="F8" s="11"/>
      <c r="G8" s="11"/>
      <c r="H8" s="11"/>
      <c r="I8" s="11"/>
      <c r="J8" s="91">
        <f t="shared" si="1"/>
        <v>19</v>
      </c>
      <c r="K8" s="92">
        <v>41</v>
      </c>
    </row>
    <row r="9" spans="1:11" ht="15.75" customHeight="1" thickBot="1">
      <c r="A9" s="10" t="s">
        <v>10</v>
      </c>
      <c r="B9" s="11">
        <f t="shared" si="0"/>
        <v>19</v>
      </c>
      <c r="C9" s="11">
        <v>17</v>
      </c>
      <c r="D9" s="11"/>
      <c r="E9" s="11"/>
      <c r="F9" s="11"/>
      <c r="G9" s="11"/>
      <c r="H9" s="11"/>
      <c r="I9" s="11"/>
      <c r="J9" s="91">
        <f t="shared" si="1"/>
        <v>0</v>
      </c>
      <c r="K9" s="92">
        <v>2</v>
      </c>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47</v>
      </c>
      <c r="C11" s="11">
        <v>35</v>
      </c>
      <c r="D11" s="11">
        <v>5</v>
      </c>
      <c r="E11" s="11"/>
      <c r="F11" s="11"/>
      <c r="G11" s="11"/>
      <c r="H11" s="11"/>
      <c r="I11" s="11"/>
      <c r="J11" s="91">
        <f t="shared" si="1"/>
        <v>5</v>
      </c>
      <c r="K11" s="92">
        <v>7</v>
      </c>
    </row>
    <row r="12" spans="1:11" ht="15.75" customHeight="1" thickBot="1">
      <c r="A12" s="10" t="s">
        <v>13</v>
      </c>
      <c r="B12" s="11">
        <f t="shared" si="0"/>
        <v>37</v>
      </c>
      <c r="C12" s="11">
        <v>30</v>
      </c>
      <c r="D12" s="11">
        <v>2</v>
      </c>
      <c r="E12" s="11"/>
      <c r="F12" s="11"/>
      <c r="G12" s="11"/>
      <c r="H12" s="11"/>
      <c r="I12" s="11"/>
      <c r="J12" s="91">
        <f t="shared" si="1"/>
        <v>2</v>
      </c>
      <c r="K12" s="92">
        <v>5</v>
      </c>
    </row>
    <row r="13" spans="1:11" ht="15.75" customHeight="1" thickBot="1">
      <c r="A13" s="10" t="s">
        <v>133</v>
      </c>
      <c r="B13" s="11">
        <f t="shared" si="0"/>
        <v>20</v>
      </c>
      <c r="C13" s="11">
        <v>13</v>
      </c>
      <c r="D13" s="11">
        <v>2</v>
      </c>
      <c r="E13" s="11"/>
      <c r="F13" s="11"/>
      <c r="G13" s="11"/>
      <c r="H13" s="11"/>
      <c r="I13" s="11"/>
      <c r="J13" s="91">
        <f t="shared" si="1"/>
        <v>2</v>
      </c>
      <c r="K13" s="92">
        <v>5</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2295</v>
      </c>
      <c r="R7" s="42">
        <f t="shared" ref="R7:R15" si="5">SUM(N7:Q7)</f>
        <v>2310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94</v>
      </c>
      <c r="D8" s="34">
        <f>IF((AND(C67&gt;0,C8&gt;0)),(C8/C67),0)</f>
        <v>626.66666666666674</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94</v>
      </c>
      <c r="Q8" s="42">
        <f>(C$67*L67)-C8</f>
        <v>-79</v>
      </c>
      <c r="R8" s="42">
        <f t="shared" si="5"/>
        <v>15.049999999999997</v>
      </c>
      <c r="S8" s="30">
        <f t="shared" si="6"/>
        <v>332.4545</v>
      </c>
      <c r="T8" s="30">
        <f t="shared" si="7"/>
        <v>-5565.9750000000004</v>
      </c>
      <c r="U8" s="31">
        <f t="shared" si="8"/>
        <v>-5.9729786784884942E-2</v>
      </c>
    </row>
    <row r="9" spans="2:21" ht="18" customHeight="1">
      <c r="B9" s="32" t="str">
        <f>'Data Entry'!A9</f>
        <v xml:space="preserve">4. Cases Diverted </v>
      </c>
      <c r="C9" s="33">
        <f>'Data Entry'!C9</f>
        <v>17</v>
      </c>
      <c r="D9" s="34">
        <f>IF((AND(C68&gt;0,C9&gt;0)),((C9/C68)),0)</f>
        <v>18.085106382978726</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77</v>
      </c>
      <c r="R9" s="42">
        <f t="shared" si="5"/>
        <v>94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94</v>
      </c>
      <c r="R10" s="42">
        <f t="shared" si="5"/>
        <v>94</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37.234042553191493</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59</v>
      </c>
      <c r="R11" s="42">
        <f t="shared" si="5"/>
        <v>94</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85.714285714285722</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43.333333333333336</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17</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30</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0</v>
      </c>
      <c r="E42" s="56">
        <f>MAX(C42:D42)</f>
        <v>2.31</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0.94</v>
      </c>
      <c r="D44" s="56">
        <f>E8/100</f>
        <v>0</v>
      </c>
      <c r="E44" s="56">
        <f>MAX(C44:D44,0)</f>
        <v>0.94</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0</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0</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0</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0</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Entry'!J6</f>
        <v>232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Entry'!J7</f>
        <v>5</v>
      </c>
      <c r="F7" s="34">
        <f>IF((AND($E$7&gt;0,$D$66&gt;0)),($E$7/$D$66),0)</f>
        <v>21.551724137931032</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5</v>
      </c>
      <c r="O7" s="42">
        <f>E6-E7</f>
        <v>227</v>
      </c>
      <c r="P7" s="42">
        <f t="shared" ref="P7:P15" si="4">C7</f>
        <v>15</v>
      </c>
      <c r="Q7" s="42">
        <f>C6-C7</f>
        <v>2295</v>
      </c>
      <c r="R7" s="42">
        <f t="shared" ref="R7:R15" si="5">SUM(N7:Q7)</f>
        <v>2542</v>
      </c>
      <c r="S7" s="30">
        <f t="shared" ref="S7:S15" si="6">R7*((((N7*Q7)-(O7*P7))^2))</f>
        <v>165547495800</v>
      </c>
      <c r="T7" s="30">
        <f t="shared" ref="T7:T15" si="7">(N7+O7)*(P7+Q7)*(N7+P7)*(O7+Q7)</f>
        <v>27031804800</v>
      </c>
      <c r="U7" s="31">
        <f t="shared" ref="U7:U15" si="8">IF((S7&gt;0),S7/T7,"- -")</f>
        <v>6.1241747276896588</v>
      </c>
    </row>
    <row r="8" spans="2:21" ht="18" customHeight="1">
      <c r="B8" s="32" t="str">
        <f>'Data Entry'!A8</f>
        <v>3. Refer to Juvenile Court</v>
      </c>
      <c r="C8" s="33">
        <f>'Data Entry'!C8</f>
        <v>94</v>
      </c>
      <c r="D8" s="34">
        <f>IF((AND(C67&gt;0,C8&gt;0)),(C8/C67),0)</f>
        <v>626.66666666666674</v>
      </c>
      <c r="E8" s="33">
        <f>'Data Entry'!J8</f>
        <v>19</v>
      </c>
      <c r="F8" s="34">
        <f>IF((AND($E$8&gt;0,$D$67&gt;0)),($E8/$D67),0)</f>
        <v>380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19</v>
      </c>
      <c r="O8" s="42">
        <f>((D67*L67)-E8)+0.05</f>
        <v>-13.95</v>
      </c>
      <c r="P8" s="42">
        <f t="shared" si="4"/>
        <v>94</v>
      </c>
      <c r="Q8" s="42">
        <f>(C$67*L67)-C8</f>
        <v>-79</v>
      </c>
      <c r="R8" s="42">
        <f t="shared" si="5"/>
        <v>20.049999999999997</v>
      </c>
      <c r="S8" s="30">
        <f t="shared" si="6"/>
        <v>721521.10450000025</v>
      </c>
      <c r="T8" s="30">
        <f t="shared" si="7"/>
        <v>-795628.76250000019</v>
      </c>
      <c r="U8" s="31">
        <f t="shared" si="8"/>
        <v>-0.90685648697874977</v>
      </c>
    </row>
    <row r="9" spans="2:21" ht="18" customHeight="1">
      <c r="B9" s="32" t="str">
        <f>'Data Entry'!A9</f>
        <v xml:space="preserve">4. Cases Diverted </v>
      </c>
      <c r="C9" s="33">
        <f>'Data Entry'!C9</f>
        <v>17</v>
      </c>
      <c r="D9" s="34">
        <f>IF((AND(C68&gt;0,C9&gt;0)),((C9/C68)),0)</f>
        <v>18.085106382978726</v>
      </c>
      <c r="E9" s="33">
        <f>'Data Entry'!J9</f>
        <v>0</v>
      </c>
      <c r="F9" s="34">
        <f>IF((AND($E$9&gt;0,$D$68&gt;0)),(($E$9/$D$68)),0)</f>
        <v>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0</v>
      </c>
      <c r="O9" s="42">
        <f>(D$68*L68)-E9</f>
        <v>19</v>
      </c>
      <c r="P9" s="42">
        <f t="shared" si="4"/>
        <v>17</v>
      </c>
      <c r="Q9" s="42">
        <f>(C$68*L68)-C9</f>
        <v>77</v>
      </c>
      <c r="R9" s="42">
        <f t="shared" si="5"/>
        <v>113</v>
      </c>
      <c r="S9" s="30">
        <f t="shared" si="6"/>
        <v>11789177</v>
      </c>
      <c r="T9" s="30">
        <f t="shared" si="7"/>
        <v>2914752</v>
      </c>
      <c r="U9" s="31">
        <f t="shared" si="8"/>
        <v>4.0446586879432624</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19</v>
      </c>
      <c r="P10" s="42">
        <f t="shared" si="4"/>
        <v>0</v>
      </c>
      <c r="Q10" s="42">
        <f>(C$68*L68)-C10</f>
        <v>94</v>
      </c>
      <c r="R10" s="42">
        <f t="shared" si="5"/>
        <v>113</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37.234042553191493</v>
      </c>
      <c r="E11" s="33">
        <f>'Data Entry'!J11</f>
        <v>5</v>
      </c>
      <c r="F11" s="34">
        <f>IF(((AND($E$11&gt;0,$D$68&gt;0))),($E$11/($D$68)),0)</f>
        <v>26.315789473684209</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5</v>
      </c>
      <c r="O11" s="42">
        <f>(D$68*L68)-E11</f>
        <v>14</v>
      </c>
      <c r="P11" s="42">
        <f t="shared" si="4"/>
        <v>35</v>
      </c>
      <c r="Q11" s="42">
        <f>(C$68*L68)-C11</f>
        <v>59</v>
      </c>
      <c r="R11" s="42">
        <f t="shared" si="5"/>
        <v>113</v>
      </c>
      <c r="S11" s="30">
        <f t="shared" si="6"/>
        <v>4296825</v>
      </c>
      <c r="T11" s="30">
        <f t="shared" si="7"/>
        <v>5215120</v>
      </c>
      <c r="U11" s="31">
        <f t="shared" si="8"/>
        <v>0.82391680344843454</v>
      </c>
    </row>
    <row r="12" spans="2:21" ht="18" customHeight="1">
      <c r="B12" s="32" t="str">
        <f>'Data Entry'!A12</f>
        <v>7. Cases Resulting in Delinquent Findings</v>
      </c>
      <c r="C12" s="33">
        <f>'Data Entry'!C12</f>
        <v>30</v>
      </c>
      <c r="D12" s="34">
        <f>IF(((AND(C69&gt;0,C12&gt;0))),(C12/(C69)),0)</f>
        <v>85.714285714285722</v>
      </c>
      <c r="E12" s="33">
        <f>'Data Entry'!J12</f>
        <v>2</v>
      </c>
      <c r="F12" s="34">
        <f>IF(((AND($D$69&gt;0,$E$12&gt;0))),(E12/(D69)),0)</f>
        <v>40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2</v>
      </c>
      <c r="O12" s="42">
        <f>(D69*L69)-E12</f>
        <v>3</v>
      </c>
      <c r="P12" s="42">
        <f t="shared" si="4"/>
        <v>30</v>
      </c>
      <c r="Q12" s="42">
        <f>(C69*L69)-C12</f>
        <v>5</v>
      </c>
      <c r="R12" s="42">
        <f t="shared" si="5"/>
        <v>40</v>
      </c>
      <c r="S12" s="30">
        <f t="shared" si="6"/>
        <v>256000</v>
      </c>
      <c r="T12" s="30">
        <f t="shared" si="7"/>
        <v>44800</v>
      </c>
      <c r="U12" s="31">
        <f t="shared" si="8"/>
        <v>5.7142857142857144</v>
      </c>
    </row>
    <row r="13" spans="2:21" ht="18" customHeight="1">
      <c r="B13" s="32" t="str">
        <f>'Data Entry'!A13</f>
        <v>8. Cases Resulting in Probation Placement</v>
      </c>
      <c r="C13" s="33">
        <f>'Data Entry'!C13</f>
        <v>13</v>
      </c>
      <c r="D13" s="34">
        <f>IF(((AND(C70&gt;0,C13&gt;0))),(C13/(C70)),0)</f>
        <v>43.333333333333336</v>
      </c>
      <c r="E13" s="33">
        <f>'Data Entry'!J13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13</v>
      </c>
      <c r="Q13" s="42">
        <f>(C70*L70)-C13</f>
        <v>17</v>
      </c>
      <c r="R13" s="42">
        <f t="shared" si="5"/>
        <v>32</v>
      </c>
      <c r="S13" s="30">
        <f t="shared" si="6"/>
        <v>36992</v>
      </c>
      <c r="T13" s="30">
        <f t="shared" si="7"/>
        <v>15300</v>
      </c>
      <c r="U13" s="31">
        <f t="shared" si="8"/>
        <v>2.4177777777777778</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30</v>
      </c>
      <c r="R14" s="42">
        <f t="shared" si="5"/>
        <v>32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35</v>
      </c>
      <c r="R15" s="42">
        <f t="shared" si="5"/>
        <v>40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0.23200000000000001</v>
      </c>
      <c r="E42" s="56">
        <f>MAX(C42:D42)</f>
        <v>2.31</v>
      </c>
      <c r="G42" s="1" t="str">
        <f>B42</f>
        <v>per 1000 youth</v>
      </c>
      <c r="L42" s="57">
        <v>1000</v>
      </c>
      <c r="M42" s="57"/>
      <c r="R42" s="49"/>
    </row>
    <row r="43" spans="2:18" ht="15" hidden="1" customHeight="1">
      <c r="B43" s="49" t="s">
        <v>87</v>
      </c>
      <c r="C43" s="56">
        <f>C7/100</f>
        <v>0.15</v>
      </c>
      <c r="D43" s="56">
        <f>E7/100</f>
        <v>0.05</v>
      </c>
      <c r="E43" s="56">
        <f>MAX(C43:D43,0)</f>
        <v>0.15</v>
      </c>
      <c r="G43" s="1" t="str">
        <f>B43</f>
        <v>per 100 arrests</v>
      </c>
      <c r="L43" s="57">
        <v>100</v>
      </c>
      <c r="M43" s="57"/>
      <c r="R43" s="49"/>
    </row>
    <row r="44" spans="2:18" ht="15" hidden="1" customHeight="1">
      <c r="B44" s="49" t="s">
        <v>88</v>
      </c>
      <c r="C44" s="56">
        <f>C8/100</f>
        <v>0.94</v>
      </c>
      <c r="D44" s="56">
        <f>E8/100</f>
        <v>0.19</v>
      </c>
      <c r="E44" s="56">
        <f>MAX(C44:D44,0)</f>
        <v>0.94</v>
      </c>
      <c r="G44" s="1" t="str">
        <f>B44</f>
        <v>per 100 referrals</v>
      </c>
      <c r="L44" s="57">
        <v>100</v>
      </c>
      <c r="M44" s="57"/>
      <c r="R44" s="49"/>
    </row>
    <row r="45" spans="2:18" ht="15" hidden="1" customHeight="1">
      <c r="B45" s="49" t="s">
        <v>89</v>
      </c>
      <c r="C45" s="49">
        <f>C11/100</f>
        <v>0.35</v>
      </c>
      <c r="D45" s="49">
        <f>E11/100</f>
        <v>0.05</v>
      </c>
      <c r="E45" s="56">
        <f>MAX(C45:D45,0)</f>
        <v>0.35</v>
      </c>
      <c r="G45" s="1" t="str">
        <f>B45</f>
        <v>per 100 youth petitioned</v>
      </c>
      <c r="L45" s="57">
        <v>100</v>
      </c>
      <c r="M45" s="57"/>
      <c r="R45" s="49"/>
    </row>
    <row r="46" spans="2:18" ht="15" hidden="1" customHeight="1">
      <c r="B46" s="49" t="s">
        <v>90</v>
      </c>
      <c r="C46" s="49">
        <f>C12/100</f>
        <v>0.3</v>
      </c>
      <c r="D46" s="49">
        <f>E12/100</f>
        <v>0.02</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0.23200000000000001</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0.05</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0.19</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0.05</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0.02</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0.23200000000000001</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0.05</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0.19</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0.05</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0.02</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0.23200000000000001</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0.05</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0.19</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0.05</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0.02</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0.23200000000000001</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0.05</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0.19</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0.05</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0.02</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Osceola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139</v>
      </c>
      <c r="O7" s="1" t="e">
        <f>Hawaiian!L7</f>
        <v>#VALUE!</v>
      </c>
      <c r="P7" s="1">
        <f>'Am Indian'!L7</f>
        <v>139</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20</v>
      </c>
      <c r="M9" s="1" t="e">
        <f>Hispanic!L9</f>
        <v>#VALUE!</v>
      </c>
      <c r="N9" s="1" t="e">
        <f>Asian!L9</f>
        <v>#VALUE!</v>
      </c>
      <c r="O9" s="1" t="e">
        <f>Hawaiian!L9</f>
        <v>#VALUE!</v>
      </c>
      <c r="P9" s="1" t="e">
        <f>'Am Indian'!L9</f>
        <v>#VALUE!</v>
      </c>
      <c r="Q9" s="1" t="e">
        <f>'Other - Mixed'!L9</f>
        <v>#VALUE!</v>
      </c>
      <c r="R9" s="1">
        <f>'All Minorities'!L9</f>
        <v>20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t="e">
        <f>Hispanic!L12</f>
        <v>#VALUE!</v>
      </c>
      <c r="N12" s="1" t="e">
        <f>Asian!L12</f>
        <v>#VALUE!</v>
      </c>
      <c r="O12" s="1" t="e">
        <f>Hawaiian!L12</f>
        <v>#VALUE!</v>
      </c>
      <c r="P12" s="1" t="e">
        <f>'Am Indian'!L12</f>
        <v>#VALUE!</v>
      </c>
      <c r="Q12" s="1" t="e">
        <f>'Other - Mixed'!L12</f>
        <v>#VALUE!</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2542</v>
      </c>
      <c r="D3" s="57">
        <f>'Data Entry'!C6</f>
        <v>2310</v>
      </c>
      <c r="E3" s="57">
        <f>'Data Entry'!D6</f>
        <v>90</v>
      </c>
      <c r="F3" s="57">
        <f>'Data Entry'!E6</f>
        <v>115</v>
      </c>
      <c r="G3" s="57">
        <f>'Data Entry'!F6</f>
        <v>9</v>
      </c>
      <c r="H3" s="57">
        <f>'Data Entry'!G6</f>
        <v>0</v>
      </c>
      <c r="I3" s="57">
        <f>'Data Entry'!H6</f>
        <v>18</v>
      </c>
      <c r="J3" s="57">
        <f>'Data Entry'!I6</f>
        <v>0</v>
      </c>
      <c r="K3" s="57">
        <f>'Data Entry'!J6</f>
        <v>232</v>
      </c>
    </row>
    <row r="4" spans="2:11" ht="15" customHeight="1">
      <c r="B4" s="16" t="s">
        <v>8</v>
      </c>
      <c r="C4" s="1">
        <f>IF((C$3&gt;0),(1000*('Data Entry'!B7/'Data Entry'!B$6)), 0)</f>
        <v>7.8678206136900082</v>
      </c>
      <c r="D4" s="1">
        <f>IF((D$3&gt;0),(1000*('Data Entry'!C7/'Data Entry'!C$6)), 0)</f>
        <v>6.4935064935064943</v>
      </c>
      <c r="E4" s="1">
        <f>IF((E$3&gt;0),(1000*('Data Entry'!D7/'Data Entry'!D$6)), 0)</f>
        <v>44.444444444444443</v>
      </c>
      <c r="F4" s="1">
        <f>IF((F$3&gt;0),(1000*('Data Entry'!E7/'Data Entry'!E$6)), 0)</f>
        <v>8.695652173913043</v>
      </c>
      <c r="G4" s="1">
        <f>IF((G$3&gt;0),(1000*('Data Entry'!F7/'Data Entry'!F$6)), 0)</f>
        <v>0</v>
      </c>
      <c r="H4" s="1">
        <f>IF((H$3&gt;0),(1000*('Data Entry'!G7/'Data Entry'!G$6)), 0)</f>
        <v>0</v>
      </c>
      <c r="I4" s="1">
        <f>IF((I$3&gt;0),(1000*('Data Entry'!H7/'Data Entry'!H$6)), 0)</f>
        <v>0</v>
      </c>
      <c r="J4" s="1">
        <f>IF((J$3&gt;0),(1000*('Data Entry'!I7/'Data Entry'!I$6)), 0)</f>
        <v>0</v>
      </c>
      <c r="K4" s="1">
        <f>IF((K$3&gt;0),(1000*('Data Entry'!J7/'Data Entry'!J$6)), 0)</f>
        <v>21.551724137931036</v>
      </c>
    </row>
    <row r="5" spans="2:11" ht="15" customHeight="1">
      <c r="B5" s="16" t="s">
        <v>9</v>
      </c>
      <c r="C5" s="1">
        <f>IF((C$3&gt;0),(1000*('Data Entry'!B8/'Data Entry'!B$6)), 0)</f>
        <v>60.582218725413064</v>
      </c>
      <c r="D5" s="1">
        <f>IF((D$3&gt;0),(1000*('Data Entry'!C8/'Data Entry'!C$6)), 0)</f>
        <v>40.692640692640687</v>
      </c>
      <c r="E5" s="1">
        <f>IF((E$3&gt;0),(1000*('Data Entry'!D8/'Data Entry'!D$6)), 0)</f>
        <v>211.11111111111111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81.896551724137922</v>
      </c>
    </row>
    <row r="6" spans="2:11" ht="15" customHeight="1">
      <c r="B6" s="16" t="s">
        <v>10</v>
      </c>
      <c r="C6" s="1">
        <f>IF((C$3&gt;0),(1000*('Data Entry'!B9/'Data Entry'!B$6)), 0)</f>
        <v>7.4744295830055076</v>
      </c>
      <c r="D6" s="1">
        <f>IF((D$3&gt;0),(1000*('Data Entry'!C9/'Data Entry'!C$6)), 0)</f>
        <v>7.3593073593073601</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18.489378442171517</v>
      </c>
      <c r="D8" s="1">
        <f>IF((D$3&gt;0),(1000*('Data Entry'!C11/'Data Entry'!C$6)), 0)</f>
        <v>15.151515151515152</v>
      </c>
      <c r="E8" s="1">
        <f>IF((E$3&gt;0),(1000*('Data Entry'!D11/'Data Entry'!D$6)), 0)</f>
        <v>55.55555555555555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21.551724137931036</v>
      </c>
    </row>
    <row r="9" spans="2:11" ht="15" customHeight="1">
      <c r="B9" s="16" t="s">
        <v>13</v>
      </c>
      <c r="C9" s="1">
        <f>IF((C$3&gt;0),(1000*('Data Entry'!B12/'Data Entry'!B$6)), 0)</f>
        <v>14.555468135326514</v>
      </c>
      <c r="D9" s="1">
        <f>IF((D$3&gt;0),(1000*('Data Entry'!C12/'Data Entry'!C$6)), 0)</f>
        <v>12.987012987012989</v>
      </c>
      <c r="E9" s="1">
        <f>IF((E$3&gt;0),(1000*('Data Entry'!D12/'Data Entry'!D$6)), 0)</f>
        <v>22.222222222222221</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8.6206896551724128</v>
      </c>
    </row>
    <row r="10" spans="2:11" ht="15" customHeight="1">
      <c r="B10" s="16" t="s">
        <v>14</v>
      </c>
      <c r="C10" s="1">
        <f>IF((C$3&gt;0),(1000*('Data Entry'!B13/'Data Entry'!B$6)), 0)</f>
        <v>7.8678206136900082</v>
      </c>
      <c r="D10" s="1">
        <f>IF((D$3&gt;0),(1000*('Data Entry'!C13/'Data Entry'!C$6)), 0)</f>
        <v>5.6277056277056285</v>
      </c>
      <c r="E10" s="1">
        <f>IF((E$3&gt;0),(1000*('Data Entry'!D13/'Data Entry'!D$6)), 0)</f>
        <v>22.222222222222221</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8.6206896551724128</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Osceola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6.8444444444444432</v>
      </c>
      <c r="E19" s="72">
        <f t="shared" si="1"/>
        <v>1.3391304347826085</v>
      </c>
      <c r="F19" s="72" t="str">
        <f t="shared" si="1"/>
        <v>--</v>
      </c>
      <c r="G19" s="72" t="str">
        <f t="shared" si="1"/>
        <v>--</v>
      </c>
      <c r="H19" s="72" t="str">
        <f t="shared" si="1"/>
        <v>--</v>
      </c>
      <c r="I19" s="72" t="str">
        <f t="shared" si="1"/>
        <v>--</v>
      </c>
      <c r="J19" s="73">
        <f t="shared" si="1"/>
        <v>3.318965517241379</v>
      </c>
    </row>
    <row r="20" spans="2:10" ht="15" customHeight="1">
      <c r="B20" s="71" t="s">
        <v>9</v>
      </c>
      <c r="C20" s="72">
        <f t="shared" ref="C20:J27" si="2">IF(AND(($D5&gt;0),(D5&gt;0)), (D5/$D5),"--")</f>
        <v>1</v>
      </c>
      <c r="D20" s="72">
        <f t="shared" si="2"/>
        <v>5.1879432624113484</v>
      </c>
      <c r="E20" s="72" t="str">
        <f t="shared" si="2"/>
        <v>--</v>
      </c>
      <c r="F20" s="72" t="str">
        <f t="shared" si="2"/>
        <v>--</v>
      </c>
      <c r="G20" s="72" t="str">
        <f t="shared" si="2"/>
        <v>--</v>
      </c>
      <c r="H20" s="72" t="str">
        <f t="shared" si="2"/>
        <v>--</v>
      </c>
      <c r="I20" s="72" t="str">
        <f t="shared" si="2"/>
        <v>--</v>
      </c>
      <c r="J20" s="73">
        <f t="shared" si="2"/>
        <v>2.0125641966250916</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3.6666666666666661</v>
      </c>
      <c r="E23" s="72" t="str">
        <f t="shared" si="2"/>
        <v>--</v>
      </c>
      <c r="F23" s="72" t="str">
        <f t="shared" si="2"/>
        <v>--</v>
      </c>
      <c r="G23" s="72" t="str">
        <f t="shared" si="2"/>
        <v>--</v>
      </c>
      <c r="H23" s="72" t="str">
        <f t="shared" si="2"/>
        <v>--</v>
      </c>
      <c r="I23" s="72" t="str">
        <f t="shared" si="2"/>
        <v>--</v>
      </c>
      <c r="J23" s="73">
        <f t="shared" si="2"/>
        <v>1.4224137931034482</v>
      </c>
    </row>
    <row r="24" spans="2:10" ht="15" customHeight="1">
      <c r="B24" s="71" t="s">
        <v>13</v>
      </c>
      <c r="C24" s="72">
        <f t="shared" si="2"/>
        <v>1</v>
      </c>
      <c r="D24" s="72">
        <f t="shared" si="2"/>
        <v>1.7111111111111108</v>
      </c>
      <c r="E24" s="72" t="str">
        <f t="shared" si="2"/>
        <v>--</v>
      </c>
      <c r="F24" s="72" t="str">
        <f t="shared" si="2"/>
        <v>--</v>
      </c>
      <c r="G24" s="72" t="str">
        <f t="shared" si="2"/>
        <v>--</v>
      </c>
      <c r="H24" s="72" t="str">
        <f t="shared" si="2"/>
        <v>--</v>
      </c>
      <c r="I24" s="72" t="str">
        <f t="shared" si="2"/>
        <v>--</v>
      </c>
      <c r="J24" s="73">
        <f t="shared" si="2"/>
        <v>0.66379310344827569</v>
      </c>
    </row>
    <row r="25" spans="2:10" ht="15" customHeight="1">
      <c r="B25" s="71" t="s">
        <v>14</v>
      </c>
      <c r="C25" s="72">
        <f t="shared" si="2"/>
        <v>1</v>
      </c>
      <c r="D25" s="72">
        <f t="shared" si="2"/>
        <v>3.948717948717948</v>
      </c>
      <c r="E25" s="72" t="str">
        <f t="shared" si="2"/>
        <v>--</v>
      </c>
      <c r="F25" s="72" t="str">
        <f t="shared" si="2"/>
        <v>--</v>
      </c>
      <c r="G25" s="72" t="str">
        <f t="shared" si="2"/>
        <v>--</v>
      </c>
      <c r="H25" s="72" t="str">
        <f t="shared" si="2"/>
        <v>--</v>
      </c>
      <c r="I25" s="72" t="str">
        <f t="shared" si="2"/>
        <v>--</v>
      </c>
      <c r="J25" s="73">
        <f t="shared" si="2"/>
        <v>1.5318302387267901</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Osceola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2310</v>
      </c>
      <c r="D7" s="104">
        <f>'Data Entry'!D6</f>
        <v>90</v>
      </c>
      <c r="E7" s="105"/>
      <c r="F7" s="106">
        <f>'Data Entry'!E6</f>
        <v>115</v>
      </c>
      <c r="G7" s="105"/>
      <c r="H7" s="106">
        <f>'Data Entry'!F6</f>
        <v>9</v>
      </c>
      <c r="I7" s="105"/>
      <c r="J7" s="106">
        <f>'Data Entry'!G6</f>
        <v>0</v>
      </c>
      <c r="K7" s="105"/>
      <c r="L7" s="106">
        <f>'Data Entry'!H6</f>
        <v>18</v>
      </c>
      <c r="M7" s="105"/>
      <c r="N7" s="106">
        <f>'Data Entry'!I6</f>
        <v>0</v>
      </c>
      <c r="O7" s="105"/>
      <c r="P7" s="106">
        <f>'Data Entry'!J6</f>
        <v>232</v>
      </c>
      <c r="Q7" s="107"/>
    </row>
    <row r="8" spans="2:26" s="1" customFormat="1" ht="15" customHeight="1">
      <c r="B8" s="142" t="s">
        <v>8</v>
      </c>
      <c r="C8" s="103">
        <f>'Data Entry'!C7</f>
        <v>15</v>
      </c>
      <c r="D8" s="104">
        <f>'Data Entry'!D7</f>
        <v>4</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5</v>
      </c>
      <c r="Q8" s="107" t="str">
        <f>'All Minorities'!G7</f>
        <v>**</v>
      </c>
      <c r="R8"/>
      <c r="T8" s="1">
        <f>'Black or African-American'!L7</f>
        <v>20</v>
      </c>
      <c r="U8" s="1">
        <f>Hispanic!L7</f>
        <v>40</v>
      </c>
      <c r="V8" s="1">
        <f>Asian!L7</f>
        <v>139</v>
      </c>
      <c r="W8" s="1" t="e">
        <f>Hawaiian!L7</f>
        <v>#VALUE!</v>
      </c>
      <c r="X8" s="1">
        <f>'Am Indian'!L7</f>
        <v>139</v>
      </c>
      <c r="Y8" s="1" t="e">
        <f>'Other - Mixed'!L7</f>
        <v>#VALUE!</v>
      </c>
      <c r="Z8" s="1">
        <f>'All Minorities'!L7</f>
        <v>20</v>
      </c>
    </row>
    <row r="9" spans="2:26" s="1" customFormat="1" ht="15" customHeight="1">
      <c r="B9" s="142" t="s">
        <v>134</v>
      </c>
      <c r="C9" s="103">
        <f>'Data Entry'!C8</f>
        <v>94</v>
      </c>
      <c r="D9" s="108">
        <f>'Data Entry'!D8</f>
        <v>19</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19</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17</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20</v>
      </c>
      <c r="U10" s="1" t="e">
        <f>Hispanic!L9</f>
        <v>#VALUE!</v>
      </c>
      <c r="V10" s="1" t="e">
        <f>Asian!L9</f>
        <v>#VALUE!</v>
      </c>
      <c r="W10" s="1" t="e">
        <f>Hawaiian!L9</f>
        <v>#VALUE!</v>
      </c>
      <c r="X10" s="1" t="e">
        <f>'Am Indian'!L9</f>
        <v>#VALUE!</v>
      </c>
      <c r="Y10" s="1" t="e">
        <f>'Other - Mixed'!L9</f>
        <v>#VALUE!</v>
      </c>
      <c r="Z10" s="1">
        <f>'All Minorities'!L9</f>
        <v>20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35</v>
      </c>
      <c r="D12" s="112">
        <f>'Data Entry'!D11</f>
        <v>5</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5</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30</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2</v>
      </c>
      <c r="Q13" s="111" t="str">
        <f>'All Minorities'!G12</f>
        <v>**</v>
      </c>
      <c r="R13"/>
      <c r="T13" s="1">
        <f>'Black or African-American'!L12</f>
        <v>20</v>
      </c>
      <c r="U13" s="1" t="e">
        <f>Hispanic!L12</f>
        <v>#VALUE!</v>
      </c>
      <c r="V13" s="1" t="e">
        <f>Asian!L12</f>
        <v>#VALUE!</v>
      </c>
      <c r="W13" s="1" t="e">
        <f>Hawaiian!L12</f>
        <v>#VALUE!</v>
      </c>
      <c r="X13" s="1" t="e">
        <f>'Am Indian'!L12</f>
        <v>#VALUE!</v>
      </c>
      <c r="Y13" s="1" t="e">
        <f>'Other - Mixed'!L12</f>
        <v>#VALUE!</v>
      </c>
      <c r="Z13" s="1">
        <f>'All Minorities'!L12</f>
        <v>20</v>
      </c>
    </row>
    <row r="14" spans="2:26" s="1" customFormat="1" ht="15" customHeight="1">
      <c r="B14" s="142" t="s">
        <v>133</v>
      </c>
      <c r="C14" s="103">
        <f>'Data Entry'!C13</f>
        <v>13</v>
      </c>
      <c r="D14" s="112">
        <f>'Data Entry'!D13</f>
        <v>2</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Osceola</v>
      </c>
    </row>
    <row r="6" spans="1:12">
      <c r="A6" s="135" t="str">
        <f>CONCATENATE("Percentage of Minorities at Stages of the Juvenile Justice System, ", A5, " 2024")</f>
        <v>Percentage of Minorities at Stages of the Juvenile Justice System, County: Osceola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9.956896551724137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9.956896551724137</v>
      </c>
    </row>
    <row r="9" spans="1:12">
      <c r="A9" s="128" t="str">
        <f>CONCATENATE("Delinquent Findings, total N=", 'Data Entry'!B12)</f>
        <v>Delinquent Findings, total N=37</v>
      </c>
      <c r="B9" s="150">
        <f>'Data Entry'!D12/'Data Entry'!B12</f>
        <v>5.4054054054054057E-2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0.81081081081081086</v>
      </c>
      <c r="K9" s="96" t="str">
        <f t="shared" si="0"/>
        <v>Delinquent Findings, total N=37</v>
      </c>
      <c r="L9">
        <f>I14/(SUM(B14:G14))</f>
        <v>9.956896551724137</v>
      </c>
    </row>
    <row r="10" spans="1:12">
      <c r="A10" s="128" t="str">
        <f>CONCATENATE("Petitions, total N=", 'Data Entry'!B11)</f>
        <v>Petitions, total N=47</v>
      </c>
      <c r="B10" s="150">
        <f>'Data Entry'!D11/'Data Entry'!B11</f>
        <v>0.10638297872340426</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0.74468085106382975</v>
      </c>
      <c r="K10" s="96" t="str">
        <f t="shared" si="0"/>
        <v>Petitions, total N=47</v>
      </c>
      <c r="L10">
        <f>I14/(SUM(B14:G14))</f>
        <v>9.956896551724137</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9.956896551724137</v>
      </c>
    </row>
    <row r="12" spans="1:12">
      <c r="A12" s="128" t="str">
        <f>CONCATENATE("Referrals, total N=", 'Data Entry'!B8)</f>
        <v>Referrals, total N=154</v>
      </c>
      <c r="B12" s="150">
        <f>'Data Entry'!D8/'Data Entry'!B8</f>
        <v>0.12337662337662338</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0.61038961038961037</v>
      </c>
      <c r="K12" s="96" t="str">
        <f t="shared" si="0"/>
        <v>Referrals, total N=154</v>
      </c>
      <c r="L12">
        <f>I14/(SUM(B14:G14))</f>
        <v>9.956896551724137</v>
      </c>
    </row>
    <row r="13" spans="1:12">
      <c r="A13" s="128" t="str">
        <f>CONCATENATE("Arrests, total N=", 'Data Entry'!B7)</f>
        <v>Arrests, total N=20</v>
      </c>
      <c r="B13" s="150">
        <f>'Data Entry'!D7/'Data Entry'!B7</f>
        <v>0.2</v>
      </c>
      <c r="C13" s="150">
        <f>'Data Entry'!E7/'Data Entry'!B7</f>
        <v>0.05</v>
      </c>
      <c r="D13" s="150">
        <f>'Data Entry'!F7/'Data Entry'!B7</f>
        <v>0</v>
      </c>
      <c r="E13" s="150">
        <f>'Data Entry'!G7/'Data Entry'!B7</f>
        <v>0</v>
      </c>
      <c r="F13" s="150">
        <f>'Data Entry'!H7/'Data Entry'!B7</f>
        <v>0</v>
      </c>
      <c r="G13" s="150">
        <f>'Data Entry'!I7/'Data Entry'!B7</f>
        <v>0</v>
      </c>
      <c r="H13" s="150">
        <f>SUM(D13:G13)/'Data Entry'!B7</f>
        <v>0</v>
      </c>
      <c r="I13" s="150">
        <f>'Data Entry'!C7/'Data Entry'!B7</f>
        <v>0.75</v>
      </c>
      <c r="K13" s="96" t="str">
        <f t="shared" si="0"/>
        <v>Arrests, total N=20</v>
      </c>
      <c r="L13">
        <f>I14/(SUM(B14:G14))</f>
        <v>9.956896551724137</v>
      </c>
    </row>
    <row r="14" spans="1:12">
      <c r="A14" s="128" t="str">
        <f>CONCATENATE("Population, total N=", 'Data Entry'!B6)</f>
        <v>Population, total N=2542</v>
      </c>
      <c r="B14" s="150">
        <f>'Data Entry'!D6/'Data Entry'!B6</f>
        <v>3.5405192761605038E-2</v>
      </c>
      <c r="C14" s="150">
        <f>'Data Entry'!E6/'Data Entry'!B6</f>
        <v>4.5239968528717547E-2</v>
      </c>
      <c r="D14" s="150">
        <f>'Data Entry'!F6/'Data Entry'!B6</f>
        <v>3.5405192761605035E-3</v>
      </c>
      <c r="E14" s="150">
        <f>'Data Entry'!G6/'Data Entry'!B6</f>
        <v>0</v>
      </c>
      <c r="F14" s="150">
        <f>'Data Entry'!H6/'Data Entry'!B6</f>
        <v>7.0810385523210071E-3</v>
      </c>
      <c r="G14" s="150">
        <f>'Data Entry'!I6/'Data Entry'!B6</f>
        <v>0</v>
      </c>
      <c r="H14" s="150">
        <f>SUM(D14:G14)/'Data Entry'!B6</f>
        <v>4.1784255816213656E-6</v>
      </c>
      <c r="I14" s="150">
        <f>'Data Entry'!C6/'Data Entry'!B6</f>
        <v>0.90873328088119587</v>
      </c>
      <c r="K14" s="96" t="str">
        <f t="shared" si="0"/>
        <v>Population, total N=2542</v>
      </c>
      <c r="L14">
        <f>I14/(SUM(B14:G14))</f>
        <v>9.956896551724137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Osceola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2310</v>
      </c>
      <c r="D7" s="104">
        <f>'Data Entry'!D6</f>
        <v>90</v>
      </c>
      <c r="E7" s="105"/>
      <c r="F7" s="106">
        <f>'Data Entry'!E6</f>
        <v>115</v>
      </c>
      <c r="G7" s="105"/>
      <c r="H7" s="106">
        <f>'Data Entry'!F6</f>
        <v>9</v>
      </c>
      <c r="I7" s="105"/>
      <c r="J7" s="106">
        <f>'Data Entry'!J6</f>
        <v>232</v>
      </c>
      <c r="K7" s="107"/>
    </row>
    <row r="8" spans="2:30" s="1" customFormat="1" ht="15" customHeight="1">
      <c r="B8" s="121" t="s">
        <v>8</v>
      </c>
      <c r="C8" s="103">
        <f>'Data Entry'!C7</f>
        <v>15</v>
      </c>
      <c r="D8" s="104">
        <f>'Data Entry'!D7</f>
        <v>4</v>
      </c>
      <c r="E8" s="105" t="str">
        <f>'Black or African-American'!$G7</f>
        <v>**</v>
      </c>
      <c r="F8" s="106">
        <f>'Data Entry'!E7</f>
        <v>1</v>
      </c>
      <c r="G8" s="105" t="str">
        <f>Hispanic!G7</f>
        <v>**</v>
      </c>
      <c r="H8" s="106">
        <f>'Data Entry'!F7</f>
        <v>0</v>
      </c>
      <c r="I8" s="105" t="str">
        <f>Asian!G7</f>
        <v>*</v>
      </c>
      <c r="J8" s="106">
        <f>'Data Entry'!J7</f>
        <v>5</v>
      </c>
      <c r="K8" s="107" t="str">
        <f>'All Minorities'!G7</f>
        <v>**</v>
      </c>
      <c r="L8"/>
      <c r="N8" s="1">
        <f>'Black or African-American'!L7</f>
        <v>20</v>
      </c>
      <c r="O8" s="1">
        <f>Hispanic!L7</f>
        <v>40</v>
      </c>
      <c r="P8" s="1">
        <f>Asian!L7</f>
        <v>139</v>
      </c>
      <c r="Q8" s="1" t="e">
        <f>Hawaiian!L7</f>
        <v>#VALUE!</v>
      </c>
      <c r="R8" s="1">
        <f>'Am Indian'!L7</f>
        <v>139</v>
      </c>
      <c r="S8" s="1" t="e">
        <f>'Other - Mixed'!L7</f>
        <v>#VALUE!</v>
      </c>
      <c r="T8" s="1">
        <f>'All Minorities'!L7</f>
        <v>20</v>
      </c>
    </row>
    <row r="9" spans="2:30" s="1" customFormat="1" ht="15" customHeight="1">
      <c r="B9" s="121" t="s">
        <v>134</v>
      </c>
      <c r="C9" s="103">
        <f>'Data Entry'!C8</f>
        <v>94</v>
      </c>
      <c r="D9" s="108">
        <f>'Data Entry'!D8</f>
        <v>19</v>
      </c>
      <c r="E9" s="109" t="str">
        <f>'Black or African-American'!$G8</f>
        <v>**</v>
      </c>
      <c r="F9" s="110">
        <f>'Data Entry'!E8</f>
        <v>0</v>
      </c>
      <c r="G9" s="109" t="str">
        <f>Hispanic!G8</f>
        <v>**</v>
      </c>
      <c r="H9" s="110">
        <f>'Data Entry'!F8</f>
        <v>0</v>
      </c>
      <c r="I9" s="109" t="str">
        <f>Asian!G8</f>
        <v>*</v>
      </c>
      <c r="J9" s="110">
        <f>'Data Entry'!J8</f>
        <v>19</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17</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20</v>
      </c>
      <c r="O10" s="1" t="e">
        <f>Hispanic!L9</f>
        <v>#VALUE!</v>
      </c>
      <c r="P10" s="1" t="e">
        <f>Asian!L9</f>
        <v>#VALUE!</v>
      </c>
      <c r="Q10" s="1" t="e">
        <f>Hawaiian!L9</f>
        <v>#VALUE!</v>
      </c>
      <c r="R10" s="1" t="e">
        <f>'Am Indian'!L9</f>
        <v>#VALUE!</v>
      </c>
      <c r="S10" s="1" t="e">
        <f>'Other - Mixed'!L9</f>
        <v>#VALUE!</v>
      </c>
      <c r="T10" s="1">
        <f>'All Minorities'!L9</f>
        <v>20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35</v>
      </c>
      <c r="D12" s="112">
        <f>'Data Entry'!D11</f>
        <v>5</v>
      </c>
      <c r="E12" s="113" t="str">
        <f>'Black or African-American'!$G11</f>
        <v>**</v>
      </c>
      <c r="F12" s="114">
        <f>'Data Entry'!E11</f>
        <v>0</v>
      </c>
      <c r="G12" s="113" t="str">
        <f>Hispanic!G11</f>
        <v>--</v>
      </c>
      <c r="H12" s="114">
        <f>'Data Entry'!F11</f>
        <v>0</v>
      </c>
      <c r="I12" s="113" t="str">
        <f>Asian!G11</f>
        <v>*</v>
      </c>
      <c r="J12" s="114">
        <f>'Data Entry'!J11</f>
        <v>5</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30</v>
      </c>
      <c r="D13" s="108">
        <f>'Data Entry'!D12</f>
        <v>2</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f>'Black or African-American'!L12</f>
        <v>20</v>
      </c>
      <c r="O13" s="1" t="e">
        <f>Hispanic!L12</f>
        <v>#VALUE!</v>
      </c>
      <c r="P13" s="1" t="e">
        <f>Asian!L12</f>
        <v>#VALUE!</v>
      </c>
      <c r="Q13" s="1" t="e">
        <f>Hawaiian!L12</f>
        <v>#VALUE!</v>
      </c>
      <c r="R13" s="1" t="e">
        <f>'Am Indian'!L12</f>
        <v>#VALUE!</v>
      </c>
      <c r="S13" s="1" t="e">
        <f>'Other - Mixed'!L12</f>
        <v>#VALUE!</v>
      </c>
      <c r="T13" s="1">
        <f>'All Minorities'!L12</f>
        <v>20</v>
      </c>
      <c r="W13" s="8"/>
      <c r="X13" s="8"/>
      <c r="Y13" s="8"/>
      <c r="Z13" s="8"/>
      <c r="AA13" s="8"/>
      <c r="AB13" s="8"/>
      <c r="AC13" s="8"/>
      <c r="AD13" s="8"/>
    </row>
    <row r="14" spans="2:30" s="1" customFormat="1" ht="15" customHeight="1">
      <c r="B14" s="121" t="s">
        <v>14</v>
      </c>
      <c r="C14" s="103">
        <f>'Data Entry'!C13</f>
        <v>13</v>
      </c>
      <c r="D14" s="112">
        <f>'Data Entry'!D13</f>
        <v>2</v>
      </c>
      <c r="E14" s="113" t="str">
        <f>'Black or African-American'!$G13</f>
        <v>**</v>
      </c>
      <c r="F14" s="114">
        <f>'Data Entry'!E13</f>
        <v>0</v>
      </c>
      <c r="G14" s="113" t="str">
        <f>Hispanic!G13</f>
        <v>--</v>
      </c>
      <c r="H14" s="114">
        <f>'Data Entry'!F13</f>
        <v>0</v>
      </c>
      <c r="I14" s="113" t="str">
        <f>Asian!G13</f>
        <v>*</v>
      </c>
      <c r="J14" s="114">
        <f>'Data Entry'!J13</f>
        <v>2</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Entry'!D6</f>
        <v>90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Entry'!D7</f>
        <v>4</v>
      </c>
      <c r="F7" s="34">
        <f>IF((AND($E$7&gt;0,$D$66&gt;0)),($E$7/$D$66),0)</f>
        <v>44.444444444444443</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86</v>
      </c>
      <c r="P7" s="42">
        <f t="shared" ref="P7:P15" si="2">C7</f>
        <v>15</v>
      </c>
      <c r="Q7" s="42">
        <f>C6-C7</f>
        <v>2295</v>
      </c>
      <c r="R7" s="42">
        <f t="shared" ref="R7:R15" si="3">SUM(N7:Q7)</f>
        <v>2400</v>
      </c>
      <c r="S7" s="30">
        <f t="shared" ref="S7:S15" si="4">R7*((((N7*Q7)-(O7*P7))^2))</f>
        <v>149405040000</v>
      </c>
      <c r="T7" s="30">
        <f t="shared" ref="T7:T15" si="5">(N7+O7)*(P7+Q7)*(N7+P7)*(O7+Q7)</f>
        <v>9405188100</v>
      </c>
      <c r="U7" s="31">
        <f t="shared" ref="U7:U15" si="6">IF((S7&gt;0),S7/T7,"- -")</f>
        <v>15.885385641569465</v>
      </c>
    </row>
    <row r="8" spans="2:21" ht="18" customHeight="1">
      <c r="B8" s="32" t="str">
        <f>'Data Entry'!A8</f>
        <v>3. Refer to Juvenile Court</v>
      </c>
      <c r="C8" s="33">
        <f>'Data Entry'!C8</f>
        <v>94</v>
      </c>
      <c r="D8" s="34">
        <f>IF((AND(C67&gt;0,C8&gt;0)),(C8/C67),0)</f>
        <v>626.66666666666674</v>
      </c>
      <c r="E8" s="33">
        <f>'Data Entry'!D8</f>
        <v>19</v>
      </c>
      <c r="F8" s="34">
        <f>IF((AND($E$8&gt;0,$D$67&gt;0)),($E8/$D67),0)</f>
        <v>475</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19</v>
      </c>
      <c r="O8" s="42">
        <f>((D67*L67)-E8)+0.05</f>
        <v>-14.95</v>
      </c>
      <c r="P8" s="42">
        <f t="shared" si="2"/>
        <v>94</v>
      </c>
      <c r="Q8" s="42">
        <f>(C$67*L67)-C8</f>
        <v>-79</v>
      </c>
      <c r="R8" s="42">
        <f t="shared" si="3"/>
        <v>19.049999999999997</v>
      </c>
      <c r="S8" s="30">
        <f t="shared" si="4"/>
        <v>174469.23450000014</v>
      </c>
      <c r="T8" s="30">
        <f t="shared" si="5"/>
        <v>-644943.26250000019</v>
      </c>
      <c r="U8" s="31">
        <f t="shared" si="6"/>
        <v>-0.27051873342114352</v>
      </c>
    </row>
    <row r="9" spans="2:21" ht="18" customHeight="1">
      <c r="B9" s="32" t="str">
        <f>'Data Entry'!A9</f>
        <v xml:space="preserve">4. Cases Diverted </v>
      </c>
      <c r="C9" s="33">
        <f>'Data Entry'!C9</f>
        <v>17</v>
      </c>
      <c r="D9" s="34">
        <f>IF((AND(C68&gt;0,C9&gt;0)),((C9/C68)),0)</f>
        <v>18.085106382978726</v>
      </c>
      <c r="E9" s="33">
        <f>'Data Entry'!D9</f>
        <v>0</v>
      </c>
      <c r="F9" s="34">
        <f>IF((AND($E$9&gt;0,$D$68&gt;0)),(($E$9/$D$68)),0)</f>
        <v>0</v>
      </c>
      <c r="G9" s="39" t="str">
        <f t="shared" si="7"/>
        <v>**</v>
      </c>
      <c r="H9" s="40"/>
      <c r="I9" s="41"/>
      <c r="J9" s="40">
        <f>IF((ABS($U9)&gt;Defaults!D$7),1,2)</f>
        <v>1</v>
      </c>
      <c r="K9" s="39">
        <f>IF((AND(N9&gt;Defaults!B$12,(N9+O9)&gt;Defaults!B$13, P9 &gt; Defaults!B$12, (P9+Q9) &gt; Defaults!B$13)),1,20)</f>
        <v>20</v>
      </c>
      <c r="L9" s="1">
        <f t="shared" si="8"/>
        <v>20</v>
      </c>
      <c r="M9" s="1" t="b">
        <f t="shared" si="0"/>
        <v>1</v>
      </c>
      <c r="N9" s="42">
        <f t="shared" si="1"/>
        <v>0</v>
      </c>
      <c r="O9" s="42">
        <f>(D$68*L68)-E9</f>
        <v>19</v>
      </c>
      <c r="P9" s="42">
        <f t="shared" si="2"/>
        <v>17</v>
      </c>
      <c r="Q9" s="42">
        <f>(C$68*L68)-C9</f>
        <v>77</v>
      </c>
      <c r="R9" s="42">
        <f t="shared" si="3"/>
        <v>113</v>
      </c>
      <c r="S9" s="30">
        <f t="shared" si="4"/>
        <v>11789177</v>
      </c>
      <c r="T9" s="30">
        <f t="shared" si="5"/>
        <v>2914752</v>
      </c>
      <c r="U9" s="31">
        <f t="shared" si="6"/>
        <v>4.0446586879432624</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19</v>
      </c>
      <c r="P10" s="42">
        <f t="shared" si="2"/>
        <v>0</v>
      </c>
      <c r="Q10" s="42">
        <f>(C$68*L68)-C10</f>
        <v>94</v>
      </c>
      <c r="R10" s="42">
        <f t="shared" si="3"/>
        <v>113</v>
      </c>
      <c r="S10" s="30">
        <f t="shared" si="4"/>
        <v>0</v>
      </c>
      <c r="T10" s="30">
        <f t="shared" si="5"/>
        <v>0</v>
      </c>
      <c r="U10" s="31" t="str">
        <f t="shared" si="6"/>
        <v>- -</v>
      </c>
    </row>
    <row r="11" spans="2:21" ht="18" customHeight="1">
      <c r="B11" s="32" t="str">
        <f>'Data Entry'!A11</f>
        <v>6. Cases Petitioned (Charge Filed)</v>
      </c>
      <c r="C11" s="33">
        <f>'Data Entry'!C11</f>
        <v>35</v>
      </c>
      <c r="D11" s="34">
        <f>IF(((AND(C68&gt;0,C11&gt;0))),(C11/(C68)),0)</f>
        <v>37.234042553191493</v>
      </c>
      <c r="E11" s="33">
        <f>'Data Entry'!D11</f>
        <v>5</v>
      </c>
      <c r="F11" s="34">
        <f>IF(((AND($E$11&gt;0,$D$68&gt;0))),($E$11/($D$68)),0)</f>
        <v>26.315789473684209</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5</v>
      </c>
      <c r="O11" s="42">
        <f>(D$68*L68)-E11</f>
        <v>14</v>
      </c>
      <c r="P11" s="42">
        <f t="shared" si="2"/>
        <v>35</v>
      </c>
      <c r="Q11" s="42">
        <f>(C$68*L68)-C11</f>
        <v>59</v>
      </c>
      <c r="R11" s="42">
        <f t="shared" si="3"/>
        <v>113</v>
      </c>
      <c r="S11" s="30">
        <f t="shared" si="4"/>
        <v>4296825</v>
      </c>
      <c r="T11" s="30">
        <f t="shared" si="5"/>
        <v>5215120</v>
      </c>
      <c r="U11" s="31">
        <f t="shared" si="6"/>
        <v>0.82391680344843454</v>
      </c>
    </row>
    <row r="12" spans="2:21" ht="18" customHeight="1">
      <c r="B12" s="32" t="str">
        <f>'Data Entry'!A12</f>
        <v>7. Cases Resulting in Delinquent Findings</v>
      </c>
      <c r="C12" s="33">
        <f>'Data Entry'!C12</f>
        <v>30</v>
      </c>
      <c r="D12" s="34">
        <f>IF(((AND(C69&gt;0,C12&gt;0))),(C12/(C69)),0)</f>
        <v>85.714285714285722</v>
      </c>
      <c r="E12" s="33">
        <f>'Data Entry'!D12</f>
        <v>2</v>
      </c>
      <c r="F12" s="34">
        <f>IF(((AND($D$69&gt;0,$E$12&gt;0))),(E12/(D69)),0)</f>
        <v>40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2</v>
      </c>
      <c r="O12" s="42">
        <f>(D69*L69)-E12</f>
        <v>3</v>
      </c>
      <c r="P12" s="42">
        <f t="shared" si="2"/>
        <v>30</v>
      </c>
      <c r="Q12" s="42">
        <f>(C69*L69)-C12</f>
        <v>5</v>
      </c>
      <c r="R12" s="42">
        <f t="shared" si="3"/>
        <v>40</v>
      </c>
      <c r="S12" s="30">
        <f t="shared" si="4"/>
        <v>256000</v>
      </c>
      <c r="T12" s="30">
        <f t="shared" si="5"/>
        <v>44800</v>
      </c>
      <c r="U12" s="31">
        <f t="shared" si="6"/>
        <v>5.7142857142857144</v>
      </c>
    </row>
    <row r="13" spans="2:21" ht="18" customHeight="1">
      <c r="B13" s="32" t="str">
        <f>'Data Entry'!A13</f>
        <v>8. Cases Resulting in Probation Placement</v>
      </c>
      <c r="C13" s="33">
        <f>'Data Entry'!C13</f>
        <v>13</v>
      </c>
      <c r="D13" s="34">
        <f>IF(((AND(C70&gt;0,C13&gt;0))),(C13/(C70)),0)</f>
        <v>43.333333333333336</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13</v>
      </c>
      <c r="Q13" s="42">
        <f>(C70*L70)-C13</f>
        <v>17</v>
      </c>
      <c r="R13" s="42">
        <f t="shared" si="3"/>
        <v>32</v>
      </c>
      <c r="S13" s="30">
        <f t="shared" si="4"/>
        <v>36992</v>
      </c>
      <c r="T13" s="30">
        <f t="shared" si="5"/>
        <v>15300</v>
      </c>
      <c r="U13" s="31">
        <f t="shared" si="6"/>
        <v>2.4177777777777778</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30</v>
      </c>
      <c r="R14" s="42">
        <f t="shared" si="3"/>
        <v>32</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5</v>
      </c>
      <c r="P15" s="42">
        <f t="shared" si="2"/>
        <v>0</v>
      </c>
      <c r="Q15" s="42">
        <f>(C69*L69)-C15</f>
        <v>35</v>
      </c>
      <c r="R15" s="42">
        <f t="shared" si="3"/>
        <v>40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0.09</v>
      </c>
      <c r="E42" s="56">
        <f>MAX(C42:D42)</f>
        <v>2.31</v>
      </c>
      <c r="G42" s="1" t="str">
        <f>B42</f>
        <v>per 1000 youth</v>
      </c>
      <c r="L42" s="57">
        <v>1000</v>
      </c>
      <c r="M42" s="57"/>
      <c r="R42" s="49"/>
    </row>
    <row r="43" spans="2:18" ht="15" hidden="1" customHeight="1">
      <c r="B43" s="49" t="s">
        <v>87</v>
      </c>
      <c r="C43" s="56">
        <f>C7/100</f>
        <v>0.15</v>
      </c>
      <c r="D43" s="56">
        <f>E7/100</f>
        <v>0.04</v>
      </c>
      <c r="E43" s="56">
        <f>MAX(C43:D43,0)</f>
        <v>0.15</v>
      </c>
      <c r="G43" s="1" t="str">
        <f>B43</f>
        <v>per 100 arrests</v>
      </c>
      <c r="L43" s="57">
        <v>100</v>
      </c>
      <c r="M43" s="57"/>
      <c r="R43" s="49"/>
    </row>
    <row r="44" spans="2:18" ht="15" hidden="1" customHeight="1">
      <c r="B44" s="49" t="s">
        <v>88</v>
      </c>
      <c r="C44" s="56">
        <f>C8/100</f>
        <v>0.94</v>
      </c>
      <c r="D44" s="56">
        <f>E8/100</f>
        <v>0.19</v>
      </c>
      <c r="E44" s="56">
        <f>MAX(C44:D44,0)</f>
        <v>0.94</v>
      </c>
      <c r="G44" s="1" t="str">
        <f>B44</f>
        <v>per 100 referrals</v>
      </c>
      <c r="L44" s="57">
        <v>100</v>
      </c>
      <c r="M44" s="57"/>
      <c r="R44" s="49"/>
    </row>
    <row r="45" spans="2:18" ht="15" hidden="1" customHeight="1">
      <c r="B45" s="49" t="s">
        <v>89</v>
      </c>
      <c r="C45" s="49">
        <f>C11/100</f>
        <v>0.35</v>
      </c>
      <c r="D45" s="49">
        <f>E11/100</f>
        <v>0.05</v>
      </c>
      <c r="E45" s="56">
        <f>MAX(C45:D45,0)</f>
        <v>0.35</v>
      </c>
      <c r="G45" s="1" t="str">
        <f>B45</f>
        <v>per 100 youth petitioned</v>
      </c>
      <c r="L45" s="57">
        <v>100</v>
      </c>
      <c r="M45" s="57"/>
      <c r="R45" s="49"/>
    </row>
    <row r="46" spans="2:18" ht="15" hidden="1" customHeight="1">
      <c r="B46" s="49" t="s">
        <v>90</v>
      </c>
      <c r="C46" s="49">
        <f>C12/100</f>
        <v>0.3</v>
      </c>
      <c r="D46" s="49">
        <f>E12/100</f>
        <v>0.02</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0.09</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0.15</v>
      </c>
      <c r="D49" s="49">
        <f t="shared" si="9"/>
        <v>0.04</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0.19</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0.05</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0.02</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0.09</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0.04</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0.19</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0.05</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0.02</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0.09</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0.04</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0.19</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0.05</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0.02</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0.09</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0.04</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0.19</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0.05</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0.02</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Entry'!F6</f>
        <v>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9</v>
      </c>
      <c r="P7" s="42">
        <f t="shared" ref="P7:P15" si="4">C7</f>
        <v>15</v>
      </c>
      <c r="Q7" s="42">
        <f>C6-C7</f>
        <v>2295</v>
      </c>
      <c r="R7" s="42">
        <f t="shared" ref="R7:R15" si="5">SUM(N7:Q7)</f>
        <v>2319</v>
      </c>
      <c r="S7" s="30">
        <f t="shared" ref="S7:S15" si="6">R7*((((N7*Q7)-(O7*P7))^2))</f>
        <v>42263775</v>
      </c>
      <c r="T7" s="30">
        <f t="shared" ref="T7:T15" si="7">(N7+O7)*(P7+Q7)*(N7+P7)*(O7+Q7)</f>
        <v>718502400</v>
      </c>
      <c r="U7" s="31">
        <f t="shared" ref="U7:U15" si="8">IF((S7&gt;0),S7/T7,"- -")</f>
        <v>5.8822037337662336E-2</v>
      </c>
    </row>
    <row r="8" spans="2:21" ht="18" customHeight="1">
      <c r="B8" s="32" t="str">
        <f>'Data Entry'!A8</f>
        <v>3. Refer to Juvenile Court</v>
      </c>
      <c r="C8" s="33">
        <f>'Data Entry'!C8</f>
        <v>94</v>
      </c>
      <c r="D8" s="34">
        <f>IF((AND(C67&gt;0,C8&gt;0)),(C8/C67),0)</f>
        <v>626.66666666666674</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94</v>
      </c>
      <c r="Q8" s="42">
        <f>(C$67*L67)-C8</f>
        <v>-79</v>
      </c>
      <c r="R8" s="42">
        <f t="shared" si="5"/>
        <v>15.049999999999997</v>
      </c>
      <c r="S8" s="30">
        <f t="shared" si="6"/>
        <v>332.4545</v>
      </c>
      <c r="T8" s="30">
        <f t="shared" si="7"/>
        <v>-5565.9750000000004</v>
      </c>
      <c r="U8" s="31">
        <f t="shared" si="8"/>
        <v>-5.9729786784884942E-2</v>
      </c>
    </row>
    <row r="9" spans="2:21" ht="18" customHeight="1">
      <c r="B9" s="32" t="str">
        <f>'Data Entry'!A9</f>
        <v xml:space="preserve">4. Cases Diverted </v>
      </c>
      <c r="C9" s="33">
        <f>'Data Entry'!C9</f>
        <v>17</v>
      </c>
      <c r="D9" s="34">
        <f>IF((AND(C68&gt;0,C9&gt;0)),((C9/C68)),0)</f>
        <v>18.085106382978726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77</v>
      </c>
      <c r="R9" s="42">
        <f t="shared" si="5"/>
        <v>94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94</v>
      </c>
      <c r="R10" s="42">
        <f t="shared" si="5"/>
        <v>94</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37.234042553191493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59</v>
      </c>
      <c r="R11" s="42">
        <f t="shared" si="5"/>
        <v>94</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85.714285714285722</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43.333333333333336</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17</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30</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8.9999999999999993E-3</v>
      </c>
      <c r="E42" s="56">
        <f>MAX(C42:D42)</f>
        <v>2.31</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0.94</v>
      </c>
      <c r="D44" s="56">
        <f>E8/100</f>
        <v>0</v>
      </c>
      <c r="E44" s="56">
        <f>MAX(C44:D44,0)</f>
        <v>0.94</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8.9999999999999993E-3</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8.9999999999999993E-3</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8.9999999999999993E-3</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8.9999999999999993E-3</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Entry'!E6</f>
        <v>115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Entry'!E7</f>
        <v>1</v>
      </c>
      <c r="F7" s="34">
        <f>IF((AND($E$7&gt;0,$D$66&gt;0)),($E$7/$D$66),0)</f>
        <v>8.695652173913043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114</v>
      </c>
      <c r="P7" s="42">
        <f t="shared" ref="P7:P15" si="4">C7</f>
        <v>15</v>
      </c>
      <c r="Q7" s="42">
        <f>C6-C7</f>
        <v>2295</v>
      </c>
      <c r="R7" s="42">
        <f t="shared" ref="R7:R15" si="5">SUM(N7:Q7)</f>
        <v>2425</v>
      </c>
      <c r="S7" s="30">
        <f t="shared" ref="S7:S15" si="6">R7*((((N7*Q7)-(O7*P7))^2))</f>
        <v>829895625</v>
      </c>
      <c r="T7" s="30">
        <f t="shared" ref="T7:T15" si="7">(N7+O7)*(P7+Q7)*(N7+P7)*(O7+Q7)</f>
        <v>10239213600</v>
      </c>
      <c r="U7" s="31">
        <f t="shared" ref="U7:U15" si="8">IF((S7&gt;0),S7/T7,"- -")</f>
        <v>8.1050719070847391E-2</v>
      </c>
    </row>
    <row r="8" spans="2:21" ht="18" customHeight="1">
      <c r="B8" s="32" t="str">
        <f>'Data Entry'!A8</f>
        <v>3. Refer to Juvenile Court</v>
      </c>
      <c r="C8" s="33">
        <f>'Data Entry'!C8</f>
        <v>94</v>
      </c>
      <c r="D8" s="34">
        <f>IF((AND(C67&gt;0,C8&gt;0)),(C8/C67),0)</f>
        <v>626.66666666666674</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1.05</v>
      </c>
      <c r="P8" s="42">
        <f t="shared" si="4"/>
        <v>94</v>
      </c>
      <c r="Q8" s="42">
        <f>(C$67*L67)-C8</f>
        <v>-79</v>
      </c>
      <c r="R8" s="42">
        <f t="shared" si="5"/>
        <v>16.049999999999997</v>
      </c>
      <c r="S8" s="30">
        <f t="shared" si="6"/>
        <v>156354.12449999998</v>
      </c>
      <c r="T8" s="30">
        <f t="shared" si="7"/>
        <v>-115404.97500000001</v>
      </c>
      <c r="U8" s="31">
        <f t="shared" si="8"/>
        <v>-1.3548300192431042</v>
      </c>
    </row>
    <row r="9" spans="2:21" ht="18" customHeight="1">
      <c r="B9" s="32" t="str">
        <f>'Data Entry'!A9</f>
        <v xml:space="preserve">4. Cases Diverted </v>
      </c>
      <c r="C9" s="33">
        <f>'Data Entry'!C9</f>
        <v>17</v>
      </c>
      <c r="D9" s="34">
        <f>IF((AND(C68&gt;0,C9&gt;0)),((C9/C68)),0)</f>
        <v>18.085106382978726</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77</v>
      </c>
      <c r="R9" s="42">
        <f t="shared" si="5"/>
        <v>94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94</v>
      </c>
      <c r="R10" s="42">
        <f t="shared" si="5"/>
        <v>94</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37.234042553191493</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59</v>
      </c>
      <c r="R11" s="42">
        <f t="shared" si="5"/>
        <v>94</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85.714285714285722</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43.333333333333336</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17</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30</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0.115</v>
      </c>
      <c r="E42" s="56">
        <f>MAX(C42:D42)</f>
        <v>2.31</v>
      </c>
      <c r="G42" s="1" t="str">
        <f>B42</f>
        <v>per 1000 youth</v>
      </c>
      <c r="L42" s="57">
        <v>1000</v>
      </c>
      <c r="M42" s="57"/>
      <c r="R42" s="49"/>
    </row>
    <row r="43" spans="2:18" ht="15" hidden="1" customHeight="1">
      <c r="B43" s="49" t="s">
        <v>87</v>
      </c>
      <c r="C43" s="56">
        <f>C7/100</f>
        <v>0.15</v>
      </c>
      <c r="D43" s="56">
        <f>E7/100</f>
        <v>0.01</v>
      </c>
      <c r="E43" s="56">
        <f>MAX(C43:D43,0)</f>
        <v>0.15</v>
      </c>
      <c r="G43" s="1" t="str">
        <f>B43</f>
        <v>per 100 arrests</v>
      </c>
      <c r="L43" s="57">
        <v>100</v>
      </c>
      <c r="M43" s="57"/>
      <c r="R43" s="49"/>
    </row>
    <row r="44" spans="2:18" ht="15" hidden="1" customHeight="1">
      <c r="B44" s="49" t="s">
        <v>88</v>
      </c>
      <c r="C44" s="56">
        <f>C8/100</f>
        <v>0.94</v>
      </c>
      <c r="D44" s="56">
        <f>E8/100</f>
        <v>0</v>
      </c>
      <c r="E44" s="56">
        <f>MAX(C44:D44,0)</f>
        <v>0.94</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0.115</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0.01</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0.115</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0.115</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0.115</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2295</v>
      </c>
      <c r="R7" s="42">
        <f t="shared" ref="R7:R15" si="5">SUM(N7:Q7)</f>
        <v>2310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94</v>
      </c>
      <c r="D8" s="34">
        <f>IF((AND(C67&gt;0,C8&gt;0)),(C8/C67),0)</f>
        <v>626.66666666666674</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94</v>
      </c>
      <c r="Q8" s="42">
        <f>(C$67*L67)-C8</f>
        <v>-79</v>
      </c>
      <c r="R8" s="42">
        <f t="shared" si="5"/>
        <v>15.049999999999997</v>
      </c>
      <c r="S8" s="30">
        <f t="shared" si="6"/>
        <v>332.4545</v>
      </c>
      <c r="T8" s="30">
        <f t="shared" si="7"/>
        <v>-5565.9750000000004</v>
      </c>
      <c r="U8" s="31">
        <f t="shared" si="8"/>
        <v>-5.9729786784884942E-2</v>
      </c>
    </row>
    <row r="9" spans="2:21" ht="18" customHeight="1">
      <c r="B9" s="32" t="str">
        <f>'Data Entry'!A9</f>
        <v xml:space="preserve">4. Cases Diverted </v>
      </c>
      <c r="C9" s="33">
        <f>'Data Entry'!C9</f>
        <v>17</v>
      </c>
      <c r="D9" s="34">
        <f>IF((AND(C68&gt;0,C9&gt;0)),((C9/C68)),0)</f>
        <v>18.085106382978726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77</v>
      </c>
      <c r="R9" s="42">
        <f t="shared" si="5"/>
        <v>94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94</v>
      </c>
      <c r="R10" s="42">
        <f t="shared" si="5"/>
        <v>94</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37.234042553191493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59</v>
      </c>
      <c r="R11" s="42">
        <f t="shared" si="5"/>
        <v>94</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85.714285714285722</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43.333333333333336</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17</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30</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0</v>
      </c>
      <c r="E42" s="56">
        <f>MAX(C42:D42)</f>
        <v>2.31</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0.94</v>
      </c>
      <c r="D44" s="56">
        <f>E8/100</f>
        <v>0</v>
      </c>
      <c r="E44" s="56">
        <f>MAX(C44:D44,0)</f>
        <v>0.94</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0</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0</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0</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0</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Osceola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2310</v>
      </c>
      <c r="D6" s="34"/>
      <c r="E6" s="33">
        <f>'Data Entry'!H6</f>
        <v>18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15</v>
      </c>
      <c r="D7" s="34">
        <f>IF((AND(C66&gt;0,C7&gt;0)),(C7/C66),0)</f>
        <v>6.4935064935064934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18</v>
      </c>
      <c r="P7" s="42">
        <f t="shared" ref="P7:P15" si="4">C7</f>
        <v>15</v>
      </c>
      <c r="Q7" s="42">
        <f>C6-C7</f>
        <v>2295</v>
      </c>
      <c r="R7" s="42">
        <f t="shared" ref="R7:R15" si="5">SUM(N7:Q7)</f>
        <v>2328</v>
      </c>
      <c r="S7" s="30">
        <f t="shared" ref="S7:S15" si="6">R7*((((N7*Q7)-(O7*P7))^2))</f>
        <v>169711200</v>
      </c>
      <c r="T7" s="30">
        <f t="shared" ref="T7:T15" si="7">(N7+O7)*(P7+Q7)*(N7+P7)*(O7+Q7)</f>
        <v>1442618100</v>
      </c>
      <c r="U7" s="31">
        <f t="shared" ref="U7:U15" si="8">IF((S7&gt;0),S7/T7,"- -")</f>
        <v>0.11764111375006317</v>
      </c>
    </row>
    <row r="8" spans="2:21" ht="18" customHeight="1">
      <c r="B8" s="32" t="str">
        <f>'Data Entry'!A8</f>
        <v>3. Refer to Juvenile Court</v>
      </c>
      <c r="C8" s="33">
        <f>'Data Entry'!C8</f>
        <v>94</v>
      </c>
      <c r="D8" s="34">
        <f>IF((AND(C67&gt;0,C8&gt;0)),(C8/C67),0)</f>
        <v>626.66666666666674</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94</v>
      </c>
      <c r="Q8" s="42">
        <f>(C$67*L67)-C8</f>
        <v>-79</v>
      </c>
      <c r="R8" s="42">
        <f t="shared" si="5"/>
        <v>15.049999999999997</v>
      </c>
      <c r="S8" s="30">
        <f t="shared" si="6"/>
        <v>332.4545</v>
      </c>
      <c r="T8" s="30">
        <f t="shared" si="7"/>
        <v>-5565.9750000000004</v>
      </c>
      <c r="U8" s="31">
        <f t="shared" si="8"/>
        <v>-5.9729786784884942E-2</v>
      </c>
    </row>
    <row r="9" spans="2:21" ht="18" customHeight="1">
      <c r="B9" s="32" t="str">
        <f>'Data Entry'!A9</f>
        <v xml:space="preserve">4. Cases Diverted </v>
      </c>
      <c r="C9" s="33">
        <f>'Data Entry'!C9</f>
        <v>17</v>
      </c>
      <c r="D9" s="34">
        <f>IF((AND(C68&gt;0,C9&gt;0)),((C9/C68)),0)</f>
        <v>18.085106382978726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17</v>
      </c>
      <c r="Q9" s="42">
        <f>(C$68*L68)-C9</f>
        <v>77</v>
      </c>
      <c r="R9" s="42">
        <f t="shared" si="5"/>
        <v>94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94</v>
      </c>
      <c r="R10" s="42">
        <f t="shared" si="5"/>
        <v>94</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37.234042553191493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59</v>
      </c>
      <c r="R11" s="42">
        <f t="shared" si="5"/>
        <v>94</v>
      </c>
      <c r="S11" s="30">
        <f t="shared" si="6"/>
        <v>0</v>
      </c>
      <c r="T11" s="30">
        <f t="shared" si="7"/>
        <v>0</v>
      </c>
      <c r="U11" s="31" t="str">
        <f t="shared" si="8"/>
        <v>- -</v>
      </c>
    </row>
    <row r="12" spans="2:21" ht="18" customHeight="1">
      <c r="B12" s="32" t="str">
        <f>'Data Entry'!A12</f>
        <v>7. Cases Resulting in Delinquent Findings</v>
      </c>
      <c r="C12" s="33">
        <f>'Data Entry'!C12</f>
        <v>30</v>
      </c>
      <c r="D12" s="34">
        <f>IF(((AND(C69&gt;0,C12&gt;0))),(C12/(C69)),0)</f>
        <v>85.714285714285722</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30</v>
      </c>
      <c r="Q12" s="42">
        <f>(C69*L69)-C12</f>
        <v>5</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13</v>
      </c>
      <c r="D13" s="34">
        <f>IF(((AND(C70&gt;0,C13&gt;0))),(C13/(C70)),0)</f>
        <v>43.333333333333336</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13</v>
      </c>
      <c r="Q13" s="42">
        <f>(C70*L70)-C13</f>
        <v>17</v>
      </c>
      <c r="R13" s="42">
        <f t="shared" si="5"/>
        <v>30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30</v>
      </c>
      <c r="R14" s="42">
        <f t="shared" si="5"/>
        <v>30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2.31</v>
      </c>
      <c r="D42" s="56">
        <f>E6/1000</f>
        <v>1.7999999999999999E-2</v>
      </c>
      <c r="E42" s="56">
        <f>MAX(C42:D42)</f>
        <v>2.31</v>
      </c>
      <c r="G42" s="1" t="str">
        <f>B42</f>
        <v>per 1000 youth</v>
      </c>
      <c r="L42" s="57">
        <v>1000</v>
      </c>
      <c r="M42" s="57"/>
      <c r="R42" s="49"/>
    </row>
    <row r="43" spans="2:18" ht="15" hidden="1" customHeight="1">
      <c r="B43" s="49" t="s">
        <v>87</v>
      </c>
      <c r="C43" s="56">
        <f>C7/100</f>
        <v>0.15</v>
      </c>
      <c r="D43" s="56">
        <f>E7/100</f>
        <v>0</v>
      </c>
      <c r="E43" s="56">
        <f>MAX(C43:D43,0)</f>
        <v>0.15</v>
      </c>
      <c r="G43" s="1" t="str">
        <f>B43</f>
        <v>per 100 arrests</v>
      </c>
      <c r="L43" s="57">
        <v>100</v>
      </c>
      <c r="M43" s="57"/>
      <c r="R43" s="49"/>
    </row>
    <row r="44" spans="2:18" ht="15" hidden="1" customHeight="1">
      <c r="B44" s="49" t="s">
        <v>88</v>
      </c>
      <c r="C44" s="56">
        <f>C8/100</f>
        <v>0.94</v>
      </c>
      <c r="D44" s="56">
        <f>E8/100</f>
        <v>0</v>
      </c>
      <c r="E44" s="56">
        <f>MAX(C44:D44,0)</f>
        <v>0.94</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0.3</v>
      </c>
      <c r="D46" s="49">
        <f>E12/100</f>
        <v>0</v>
      </c>
      <c r="E46" s="56">
        <f>MAX(C46:D46)</f>
        <v>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2.31</v>
      </c>
      <c r="D48" s="56">
        <f>D42</f>
        <v>1.7999999999999999E-2</v>
      </c>
      <c r="E48" s="56">
        <f>MAX(C48:D48)</f>
        <v>2.31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c r="B50" s="49" t="str">
        <f t="shared" si="9"/>
        <v>per 100 referrals</v>
      </c>
      <c r="C50" s="49">
        <f t="shared" si="9"/>
        <v>0.94</v>
      </c>
      <c r="D50" s="49">
        <f t="shared" si="9"/>
        <v>0</v>
      </c>
      <c r="E50" s="49">
        <f>MAX(C50:D50)</f>
        <v>0.94</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0.3</v>
      </c>
      <c r="D52" s="49">
        <f>IF(($E46&gt;0),D46,D45)</f>
        <v>0</v>
      </c>
      <c r="E52" s="56">
        <f>MAX(C52:D52)</f>
        <v>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2.31</v>
      </c>
      <c r="D54" s="56">
        <f>D48</f>
        <v>1.7999999999999999E-2</v>
      </c>
      <c r="E54" s="56">
        <f>MAX(C54:D54)</f>
        <v>2.31</v>
      </c>
      <c r="G54" s="1" t="str">
        <f>G48</f>
        <v>per 1000 youth</v>
      </c>
      <c r="L54" s="58">
        <f>L48</f>
        <v>1000</v>
      </c>
      <c r="M54" s="58"/>
    </row>
    <row r="55" spans="2:18" ht="15" hidden="1" customHeight="1">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c r="B56" s="49" t="str">
        <f t="shared" si="10"/>
        <v>per 100 referrals</v>
      </c>
      <c r="C56" s="49">
        <f t="shared" si="10"/>
        <v>0.94</v>
      </c>
      <c r="D56" s="49">
        <f t="shared" si="10"/>
        <v>0</v>
      </c>
      <c r="E56" s="49">
        <f>MAX(C56:D56)</f>
        <v>0.94</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0.3</v>
      </c>
      <c r="D58" s="49">
        <f>IF(($E52&gt;0),D52,D51)</f>
        <v>0</v>
      </c>
      <c r="E58" s="56">
        <f>MAX(C58:D58)</f>
        <v>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2.31</v>
      </c>
      <c r="D60" s="56">
        <f>D54</f>
        <v>1.7999999999999999E-2</v>
      </c>
      <c r="E60" s="56">
        <f>MAX(C60:D60)</f>
        <v>2.31</v>
      </c>
      <c r="G60" s="1" t="str">
        <f>G54</f>
        <v>per 1000 youth</v>
      </c>
      <c r="L60" s="58">
        <f>L54</f>
        <v>1000</v>
      </c>
      <c r="M60" s="58"/>
    </row>
    <row r="61" spans="2:18" ht="15" hidden="1" customHeight="1">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c r="B62" s="49" t="str">
        <f t="shared" si="11"/>
        <v>per 100 referrals</v>
      </c>
      <c r="C62" s="49">
        <f t="shared" si="11"/>
        <v>0.94</v>
      </c>
      <c r="D62" s="49">
        <f t="shared" si="11"/>
        <v>0</v>
      </c>
      <c r="E62" s="49">
        <f>MAX(C62:D62)</f>
        <v>0.94</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0.3</v>
      </c>
      <c r="D64" s="49">
        <f>IF(($E58&gt;0),D58,D57)</f>
        <v>0</v>
      </c>
      <c r="E64" s="56">
        <f>MAX(C64:D64)</f>
        <v>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2.31</v>
      </c>
      <c r="D66" s="56">
        <f>D60</f>
        <v>1.7999999999999999E-2</v>
      </c>
      <c r="E66" s="56">
        <f>MAX(C66:D66)</f>
        <v>2.31</v>
      </c>
      <c r="G66" s="1" t="str">
        <f>G60</f>
        <v>per 1000 youth</v>
      </c>
      <c r="L66" s="58">
        <f>L60</f>
        <v>1000</v>
      </c>
      <c r="M66" s="58">
        <f>IF((B66=G66),1,2)</f>
        <v>1</v>
      </c>
    </row>
    <row r="67" spans="2:13" ht="15" hidden="1" customHeight="1">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c r="B68" s="49" t="str">
        <f t="shared" si="12"/>
        <v>per 100 referrals</v>
      </c>
      <c r="C68" s="49">
        <f t="shared" si="12"/>
        <v>0.94</v>
      </c>
      <c r="D68" s="49">
        <f t="shared" si="12"/>
        <v>0</v>
      </c>
      <c r="E68" s="49">
        <f>MAX(C68:D68)</f>
        <v>0.94</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0.3</v>
      </c>
      <c r="D70" s="49">
        <f>IF(($E64&gt;0),D64,D63)</f>
        <v>0</v>
      </c>
      <c r="E70" s="56">
        <f>MAX(C70:D70)</f>
        <v>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U47JMPN4QEAR-1806752177-35386</_dlc_DocId>
    <_dlc_DocIdUrl xmlns="ac3811b5-0f3e-49e2-ba69-f2ffa0c782af">
      <Url>https://michiganphi.sharepoint.com/sites/CMDMC/_layouts/15/DocIdRedir.aspx?ID=U47JMPN4QEAR-1806752177-35386</Url>
      <Description>U47JMPN4QEAR-1806752177-35386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30C7C2-F1EB-459E-B394-4F0EE6072E47}">
  <ds:schemaRefs>
    <ds:schemaRef ds:uri="http://schemas.microsoft.com/sharepoint/v3/contenttype/forms"/>
  </ds:schemaRefs>
</ds:datastoreItem>
</file>

<file path=customXml/itemProps2.xml><?xml version="1.0" encoding="utf-8"?>
<ds:datastoreItem xmlns:ds="http://schemas.openxmlformats.org/officeDocument/2006/customXml" ds:itemID="{2DAD63D1-BA9A-4B71-BE80-4C58A80FD735}">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E5BE0E08-E886-4BE6-A36A-DF7C84C3B0B4}"/>
</file>

<file path=customXml/itemProps4.xml><?xml version="1.0" encoding="utf-8"?>
<ds:datastoreItem xmlns:ds="http://schemas.openxmlformats.org/officeDocument/2006/customXml" ds:itemID="{03888D54-673F-4B48-86F4-EF525A1889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88e9d4dd-75c9-4cca-b379-75b434267ac5</vt:lpwstr>
  </property>
</Properties>
</file>