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 documentId="8_{6A5530DF-F201-4801-9768-DFD943BC517E}" xr6:coauthVersionLast="47" xr6:coauthVersionMax="47" xr10:uidLastSave="{2F8EE357-CA66-4E91-A74C-EA1CADB04DE4}"/>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M66" i="4"/>
  <c r="F27" i="4"/>
  <c r="F27" i="2"/>
  <c r="M66" i="2"/>
  <c r="M66" i="8"/>
  <c r="F27" i="8"/>
  <c r="M66" i="7"/>
  <c r="F27" i="7"/>
  <c r="F27" i="6"/>
  <c r="M66" i="6"/>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D64" i="5" l="1"/>
  <c r="L64" i="3"/>
  <c r="C64" i="5"/>
  <c r="B56" i="8"/>
  <c r="C57" i="8"/>
  <c r="C64" i="8" s="1"/>
  <c r="L56" i="8"/>
  <c r="B57" i="8"/>
  <c r="B64" i="8" s="1"/>
  <c r="B64" i="5"/>
  <c r="L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I7" i="9"/>
  <c r="Q8" i="13"/>
  <c r="E57" i="8"/>
  <c r="B63" i="8" s="1"/>
  <c r="C63" i="3"/>
  <c r="B63" i="3"/>
  <c r="E64" i="6"/>
  <c r="B70" i="6" s="1"/>
  <c r="M70" i="6" s="1"/>
  <c r="Z8" i="13"/>
  <c r="R7" i="9"/>
  <c r="D63" i="3"/>
  <c r="E64" i="3"/>
  <c r="L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L63" i="5"/>
  <c r="L70" i="5" s="1"/>
  <c r="F8" i="5"/>
  <c r="B70" i="5" l="1"/>
  <c r="F33" i="5" s="1"/>
  <c r="C69" i="7"/>
  <c r="D12" i="7" s="1"/>
  <c r="L70" i="6"/>
  <c r="C70" i="3"/>
  <c r="D14" i="3" s="1"/>
  <c r="B70" i="3"/>
  <c r="M70" i="3" s="1"/>
  <c r="C63" i="8"/>
  <c r="C70" i="8" s="1"/>
  <c r="E63" i="3"/>
  <c r="C69" i="3" s="1"/>
  <c r="D15" i="3" s="1"/>
  <c r="D70" i="6"/>
  <c r="F13" i="6" s="1"/>
  <c r="C70" i="6"/>
  <c r="D14" i="6" s="1"/>
  <c r="L69" i="7"/>
  <c r="Q12" i="7" s="1"/>
  <c r="L63" i="8"/>
  <c r="L70" i="8" s="1"/>
  <c r="D63" i="8"/>
  <c r="D70" i="8" s="1"/>
  <c r="F13" i="8"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5" i="7" l="1"/>
  <c r="Q13" i="3"/>
  <c r="D13" i="3"/>
  <c r="Q14" i="3"/>
  <c r="D12" i="3"/>
  <c r="Q13" i="8"/>
  <c r="L69" i="3"/>
  <c r="Q12" i="3" s="1"/>
  <c r="B69" i="3"/>
  <c r="M69" i="3" s="1"/>
  <c r="E70" i="3"/>
  <c r="D13" i="6"/>
  <c r="Q15" i="7"/>
  <c r="F34" i="3"/>
  <c r="F33" i="3"/>
  <c r="D69" i="3"/>
  <c r="E69" i="3" s="1"/>
  <c r="O13" i="6"/>
  <c r="R13" i="6" s="1"/>
  <c r="S13" i="6" s="1"/>
  <c r="U13" i="6" s="1"/>
  <c r="J13" i="6" s="1"/>
  <c r="M13" i="6" s="1"/>
  <c r="G13" i="6" s="1"/>
  <c r="F14" i="6"/>
  <c r="O14" i="6"/>
  <c r="E63" i="8"/>
  <c r="D69" i="8" s="1"/>
  <c r="F12" i="8" s="1"/>
  <c r="E70" i="6"/>
  <c r="B69" i="6"/>
  <c r="M69" i="6" s="1"/>
  <c r="Q13" i="6"/>
  <c r="Q14" i="6"/>
  <c r="E69" i="7"/>
  <c r="F12" i="7"/>
  <c r="O13" i="3"/>
  <c r="F14" i="3"/>
  <c r="O12" i="7"/>
  <c r="K12" i="7" s="1"/>
  <c r="O15" i="7"/>
  <c r="C69" i="6"/>
  <c r="D12" i="6" s="1"/>
  <c r="O14" i="3"/>
  <c r="K14" i="3" s="1"/>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K13" i="3" l="1"/>
  <c r="K13" i="6"/>
  <c r="L13" i="6" s="1"/>
  <c r="R14" i="16" s="1"/>
  <c r="R13" i="8"/>
  <c r="S13" i="8" s="1"/>
  <c r="Q15" i="3"/>
  <c r="F32" i="3"/>
  <c r="F35" i="3"/>
  <c r="R12" i="7"/>
  <c r="S12" i="7" s="1"/>
  <c r="U12" i="7" s="1"/>
  <c r="J12" i="7" s="1"/>
  <c r="L12" i="7" s="1"/>
  <c r="S13" i="16" s="1"/>
  <c r="T15" i="7"/>
  <c r="R14" i="6"/>
  <c r="S14" i="6" s="1"/>
  <c r="U14" i="6" s="1"/>
  <c r="J14" i="6" s="1"/>
  <c r="M14" i="6" s="1"/>
  <c r="G14" i="6" s="1"/>
  <c r="M15" i="13" s="1"/>
  <c r="F15" i="8"/>
  <c r="R15" i="7"/>
  <c r="S15" i="7" s="1"/>
  <c r="U15" i="7" s="1"/>
  <c r="J15" i="7" s="1"/>
  <c r="M15" i="7" s="1"/>
  <c r="R14" i="3"/>
  <c r="S14" i="3" s="1"/>
  <c r="U14" i="3" s="1"/>
  <c r="J14" i="3" s="1"/>
  <c r="M14" i="3" s="1"/>
  <c r="G14" i="3" s="1"/>
  <c r="I15" i="16" s="1"/>
  <c r="K14" i="6"/>
  <c r="T14" i="6"/>
  <c r="F15" i="3"/>
  <c r="O15" i="3"/>
  <c r="R15" i="3" s="1"/>
  <c r="S15" i="3" s="1"/>
  <c r="U15" i="3" s="1"/>
  <c r="J15" i="3" s="1"/>
  <c r="M15" i="3" s="1"/>
  <c r="G15" i="3" s="1"/>
  <c r="I16" i="16" s="1"/>
  <c r="O12" i="3"/>
  <c r="R12" i="3" s="1"/>
  <c r="S12" i="3" s="1"/>
  <c r="U12" i="3" s="1"/>
  <c r="J12" i="3" s="1"/>
  <c r="C69" i="8"/>
  <c r="F12" i="3"/>
  <c r="T13" i="6"/>
  <c r="L69" i="8"/>
  <c r="O15" i="8" s="1"/>
  <c r="B69" i="8"/>
  <c r="M69" i="8" s="1"/>
  <c r="F32" i="6"/>
  <c r="F35" i="6"/>
  <c r="T14" i="3"/>
  <c r="O12" i="6"/>
  <c r="T12" i="7"/>
  <c r="R14" i="8"/>
  <c r="S14" i="8" s="1"/>
  <c r="Q12" i="6"/>
  <c r="Q15" i="6"/>
  <c r="T13" i="3"/>
  <c r="T13" i="8"/>
  <c r="K15" i="7"/>
  <c r="R13" i="3"/>
  <c r="S13" i="3" s="1"/>
  <c r="U13" i="3" s="1"/>
  <c r="J13" i="3" s="1"/>
  <c r="M13" i="3" s="1"/>
  <c r="G13" i="3" s="1"/>
  <c r="D15" i="6"/>
  <c r="E69" i="6"/>
  <c r="O15" i="6"/>
  <c r="F15" i="6"/>
  <c r="L13" i="4"/>
  <c r="O14" i="16" s="1"/>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G13" i="9"/>
  <c r="M14"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3" i="8" l="1"/>
  <c r="J13" i="8" s="1"/>
  <c r="M13" i="8" s="1"/>
  <c r="G13" i="8" s="1"/>
  <c r="I13" i="9" s="1"/>
  <c r="Q12" i="8"/>
  <c r="M12" i="7"/>
  <c r="D15" i="8"/>
  <c r="T15" i="3"/>
  <c r="I15" i="13"/>
  <c r="L14" i="3"/>
  <c r="P15" i="16" s="1"/>
  <c r="K15" i="3"/>
  <c r="L15" i="3" s="1"/>
  <c r="P16" i="16" s="1"/>
  <c r="E14" i="9"/>
  <c r="N30" i="3"/>
  <c r="L15" i="7"/>
  <c r="S16" i="16" s="1"/>
  <c r="K12" i="3"/>
  <c r="L12" i="3" s="1"/>
  <c r="P13" i="16" s="1"/>
  <c r="Q15" i="8"/>
  <c r="R15" i="8" s="1"/>
  <c r="S15" i="8" s="1"/>
  <c r="U15" i="8" s="1"/>
  <c r="J15" i="8" s="1"/>
  <c r="D12" i="8"/>
  <c r="E69" i="8"/>
  <c r="T12" i="3"/>
  <c r="O12" i="8"/>
  <c r="F32" i="8"/>
  <c r="F35" i="8"/>
  <c r="U14" i="8"/>
  <c r="J14" i="8" s="1"/>
  <c r="N30" i="8" s="1"/>
  <c r="T15" i="6"/>
  <c r="T12" i="6"/>
  <c r="R12" i="6"/>
  <c r="S12" i="6" s="1"/>
  <c r="U12" i="6" s="1"/>
  <c r="J12" i="6" s="1"/>
  <c r="M12" i="6" s="1"/>
  <c r="G12" i="6" s="1"/>
  <c r="R15" i="6"/>
  <c r="S15" i="6" s="1"/>
  <c r="U15" i="6" s="1"/>
  <c r="J15" i="6" s="1"/>
  <c r="K12" i="6"/>
  <c r="L13" i="3"/>
  <c r="P14" i="16" s="1"/>
  <c r="K15" i="6"/>
  <c r="M13" i="9"/>
  <c r="U14" i="13"/>
  <c r="U12" i="13"/>
  <c r="M11" i="9"/>
  <c r="T13" i="2"/>
  <c r="U8" i="6"/>
  <c r="J8" i="6" s="1"/>
  <c r="M8" i="6" s="1"/>
  <c r="G8" i="6" s="1"/>
  <c r="M9" i="13" s="1"/>
  <c r="R13" i="2"/>
  <c r="S13" i="2" s="1"/>
  <c r="V11" i="13"/>
  <c r="G14" i="9"/>
  <c r="Q12" i="9"/>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D13" i="9"/>
  <c r="G14" i="13"/>
  <c r="P13" i="9"/>
  <c r="K9" i="7"/>
  <c r="T14" i="2"/>
  <c r="V12" i="13"/>
  <c r="U10" i="13"/>
  <c r="X14" i="13"/>
  <c r="N11" i="9"/>
  <c r="T15" i="5"/>
  <c r="W14" i="13"/>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T15" i="8" l="1"/>
  <c r="R12" i="8"/>
  <c r="S12" i="8" s="1"/>
  <c r="U12" i="8" s="1"/>
  <c r="J12" i="8" s="1"/>
  <c r="M12" i="8" s="1"/>
  <c r="G12" i="8" s="1"/>
  <c r="K13" i="16" s="1"/>
  <c r="L13" i="8"/>
  <c r="T14" i="16" s="1"/>
  <c r="Y16" i="13"/>
  <c r="Q15" i="9"/>
  <c r="V15" i="13"/>
  <c r="N14" i="9"/>
  <c r="T12" i="8"/>
  <c r="K12" i="8"/>
  <c r="U14" i="2"/>
  <c r="J14" i="2" s="1"/>
  <c r="M14" i="2" s="1"/>
  <c r="G14" i="2" s="1"/>
  <c r="E15" i="16" s="1"/>
  <c r="M14" i="8"/>
  <c r="G14" i="8" s="1"/>
  <c r="K15" i="16" s="1"/>
  <c r="Q14" i="13"/>
  <c r="K14" i="16"/>
  <c r="L14" i="8"/>
  <c r="T15" i="16" s="1"/>
  <c r="R13" i="9"/>
  <c r="U13" i="2"/>
  <c r="J13" i="2" s="1"/>
  <c r="M13" i="2" s="1"/>
  <c r="G13" i="2" s="1"/>
  <c r="V14" i="13"/>
  <c r="L15" i="6"/>
  <c r="R16" i="16" s="1"/>
  <c r="M15" i="6"/>
  <c r="G15" i="6" s="1"/>
  <c r="G15" i="9" s="1"/>
  <c r="L12" i="6"/>
  <c r="R13" i="16" s="1"/>
  <c r="N13" i="9"/>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Z14" i="13" l="1"/>
  <c r="C14" i="9"/>
  <c r="I14" i="9"/>
  <c r="X16" i="13"/>
  <c r="L14" i="2"/>
  <c r="N15" i="16" s="1"/>
  <c r="L12" i="8"/>
  <c r="T13" i="16" s="1"/>
  <c r="E15" i="13"/>
  <c r="L13" i="2"/>
  <c r="N14" i="16" s="1"/>
  <c r="N30" i="2"/>
  <c r="P15" i="9"/>
  <c r="E14" i="16"/>
  <c r="C13" i="9"/>
  <c r="Q15" i="13"/>
  <c r="Z15" i="13"/>
  <c r="E14" i="13"/>
  <c r="X13" i="13"/>
  <c r="R14" i="9"/>
  <c r="M16" i="13"/>
  <c r="P12" i="9"/>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T14" i="13" l="1"/>
  <c r="L13" i="9"/>
  <c r="T15" i="13"/>
  <c r="L14" i="9"/>
  <c r="Z13" i="13"/>
  <c r="R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<sst xmlns="http://schemas.openxmlformats.org/spreadsheetml/2006/main" count="654" uniqueCount="141">
  <si>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</si>
  <si>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</si>
  <si>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</si>
  <si>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</si>
  <si>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</si>
  <si>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</si>
  <si>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</si>
  <si>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</si>
  <si>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</si>
  <si>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</si>
  <si>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</si>
  <si>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</si>
  <si>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</si>
  <si>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</si>
  <si>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</si>
  <si>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</si>
  <si>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</si>
  <si>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</si>
  <si>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</si>
  <si>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</si>
  <si>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</si>
  <si>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</si>
  <si>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</si>
  <si>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</si>
  <si>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</si>
  <si>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</si>
  <si>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</si>
  <si>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</si>
  <si>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</si>
  <si>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</si>
  <si>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</si>
  <si>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</si>
  <si>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</si>
  <si>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</si>
  <si>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</si>
  <si>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</si>
  <si>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</si>
  <si>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</si>
  <si>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</si>
  <si>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</si>
  <si>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</si>
  <si>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</si>
  <si>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</si>
  <si>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</si>
  <si>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</si>
  <si>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</si>
  <si>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</si>
  <si>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</si>
  <si>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</si>
  <si>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</si>
  <si>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</si>
  <si>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</si>
  <si>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</si>
  <si>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</si>
  <si>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</si>
  <si>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</si>
  <si>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</si>
  <si>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</si>
  <si>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</si>
  <si>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</si>
  <si>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</si>
  <si>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</si>
  <si>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</si>
  <si>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</si>
  <si>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</si>
  <si>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</si>
  <si>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</si>
  <si>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</si>
  <si>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</si>
  <si>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</si>
  <si>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</si>
  <si>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</si>
  <si>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</si>
  <si>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</si>
  <si>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</si>
  <si>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</si>
  <si>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</si>
  <si>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</si>
  <si>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</si>
  <si>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</si>
  <si>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</si>
  <si>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</si>
  <si>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</si>
  <si>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</si>
  <si>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</si>
  <si>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</si>
  <si>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</si>
  <si>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</si>
  <si>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</si>
  <si>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</si>
  <si>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</si>
  <si>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</si>
  <si>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</si>
  <si>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</si>
  <si>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</si>
  <si>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</si>
  <si>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</si>
  <si>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</si>
  <si>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</si>
  <si>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</si>
  <si>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</si>
  <si>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</si>
  <si>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</si>
  <si>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</si>
  <si>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</si>
  <si>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</si>
  <si>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</si>
  <si>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</si>
  <si>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</si>
  <si>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</si>
  <si>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</si>
  <si>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</si>
  <si>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</si>
  <si>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</si>
  <si>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</si>
  <si>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</si>
  <si>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</si>
  <si>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</si>
  <si>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</si>
  <si>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</si>
  <si>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</si>
  <si>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</si>
  <si>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</si>
  <si>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</si>
  <si>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</si>
  <si>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</si>
  <si>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</si>
  <si>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</si>
  <si>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</si>
  <si>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</si>
  <si>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</si>
  <si>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</si>
  <si>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</si>
  <si>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</si>
  <si>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</si>
  <si>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</si>
  <si>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Osceola</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</si>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</sst>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Osceola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N=19</c:v>
                </c:pt>
                <c:pt idx="7">
                  <c:v>Population, total N=2544</c:v>
                </c:pt>
              </c:strCache>
            </c:strRef>
          </c:cat>
          <c:val>
            <c:numRef>
              <c:f>'Stacked 100%'!$B$7:$B$14</c:f>
              <c:numCache>
                <c:formatCode>0%</c:formatCode>
                <c:ptCount val="8"/>
                <c:pt idx="0">
                  <c:v>0</c:v>
                </c:pt>
                <c:pt idx="1">
                  <c:v>0</c:v>
                </c:pt>
                <c:pt idx="2">
                  <c:v>0</c:v>
                </c:pt>
                <c:pt idx="3">
                  <c:v>0</c:v>
                </c:pt>
                <c:pt idx="4">
                  <c:v>0</c:v>
                </c:pt>
                <c:pt idx="5">
                  <c:v>0</c:v>
                </c:pt>
                <c:pt idx="6">
                  <c:v>0</c:v>
                </c:pt>
                <c:pt idx="7">
                  <c:v>3.0267295597484277E-2</c:v>
                </c:pt>
              </c:numCache>
            </c:numRef>
          </c:val>
          <c:extLst>
            <c:ext xmlns:c16="http://schemas.microsoft.com/office/drawing/2014/chart" uri="{C3380CC4-5D6E-409C-BE32-E72D297353CC}">
              <c16:uniqueId val="{00000000-9A6F-4039-85A1-93C46089BAF6}"/>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N=19</c:v>
                </c:pt>
                <c:pt idx="7">
                  <c:v>Population, total N=2544</c:v>
                </c:pt>
              </c:strCache>
            </c:strRef>
          </c:cat>
          <c:val>
            <c:numRef>
              <c:f>'Stacked 100%'!$C$7:$C$14</c:f>
              <c:numCache>
                <c:formatCode>0%</c:formatCode>
                <c:ptCount val="8"/>
                <c:pt idx="0">
                  <c:v>0</c:v>
                </c:pt>
                <c:pt idx="1">
                  <c:v>0</c:v>
                </c:pt>
                <c:pt idx="2">
                  <c:v>0</c:v>
                </c:pt>
                <c:pt idx="3">
                  <c:v>0</c:v>
                </c:pt>
                <c:pt idx="4">
                  <c:v>0</c:v>
                </c:pt>
                <c:pt idx="5">
                  <c:v>0</c:v>
                </c:pt>
                <c:pt idx="6">
                  <c:v>0</c:v>
                </c:pt>
                <c:pt idx="7">
                  <c:v>3.6163522012578615E-2</c:v>
                </c:pt>
              </c:numCache>
            </c:numRef>
          </c:val>
          <c:extLst>
            <c:ext xmlns:c16="http://schemas.microsoft.com/office/drawing/2014/chart" uri="{C3380CC4-5D6E-409C-BE32-E72D297353CC}">
              <c16:uniqueId val="{00000001-9A6F-4039-85A1-93C46089BAF6}"/>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N=19</c:v>
                </c:pt>
                <c:pt idx="7">
                  <c:v>Population, total N=2544</c:v>
                </c:pt>
              </c:strCache>
            </c:strRef>
          </c:cat>
          <c:val>
            <c:numRef>
              <c:f>'Stacked 100%'!$H$7:$H$14</c:f>
              <c:numCache>
                <c:formatCode>0%</c:formatCode>
                <c:ptCount val="8"/>
                <c:pt idx="0">
                  <c:v>0</c:v>
                </c:pt>
                <c:pt idx="1">
                  <c:v>0</c:v>
                </c:pt>
                <c:pt idx="2">
                  <c:v>0</c:v>
                </c:pt>
                <c:pt idx="3">
                  <c:v>0</c:v>
                </c:pt>
                <c:pt idx="4">
                  <c:v>0</c:v>
                </c:pt>
                <c:pt idx="5">
                  <c:v>0</c:v>
                </c:pt>
                <c:pt idx="6">
                  <c:v>2.7700831024930748E-3</c:v>
                </c:pt>
                <c:pt idx="7">
                  <c:v>5.2534512084173888E-6</c:v>
                </c:pt>
              </c:numCache>
            </c:numRef>
          </c:val>
          <c:extLst>
            <c:ext xmlns:c16="http://schemas.microsoft.com/office/drawing/2014/chart" uri="{C3380CC4-5D6E-409C-BE32-E72D297353CC}">
              <c16:uniqueId val="{00000002-9A6F-4039-85A1-93C46089BAF6}"/>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N=19</c:v>
                </c:pt>
                <c:pt idx="7">
                  <c:v>Population, total N=2544</c:v>
                </c:pt>
              </c:strCache>
            </c:strRef>
          </c:cat>
          <c:val>
            <c:numRef>
              <c:f>'Stacked 100%'!$I$7:$I$14</c:f>
              <c:numCache>
                <c:formatCode>0%</c:formatCode>
                <c:ptCount val="8"/>
                <c:pt idx="0">
                  <c:v>0</c:v>
                </c:pt>
                <c:pt idx="1">
                  <c:v>0</c:v>
                </c:pt>
                <c:pt idx="2">
                  <c:v>0</c:v>
                </c:pt>
                <c:pt idx="3">
                  <c:v>0</c:v>
                </c:pt>
                <c:pt idx="4">
                  <c:v>0</c:v>
                </c:pt>
                <c:pt idx="5">
                  <c:v>0</c:v>
                </c:pt>
                <c:pt idx="6">
                  <c:v>0.94736842105263153</c:v>
                </c:pt>
                <c:pt idx="7">
                  <c:v>0.92020440251572322</c:v>
                </c:pt>
              </c:numCache>
            </c:numRef>
          </c:val>
          <c:extLst>
            <c:ext xmlns:c16="http://schemas.microsoft.com/office/drawing/2014/chart" uri="{C3380CC4-5D6E-409C-BE32-E72D297353CC}">
              <c16:uniqueId val="{00000003-9A6F-4039-85A1-93C46089BAF6}"/>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N=19</c:v>
                </c:pt>
                <c:pt idx="7">
                  <c:v>Population, total N=2544</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9A6F-4039-85A1-93C46089BAF6}"/>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D14" sqref="D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2544</v>
      </c>
      <c r="C6" s="11">
        <v>2341</v>
      </c>
      <c r="D6" s="11">
        <v>77</v>
      </c>
      <c r="E6" s="11">
        <v>92</v>
      </c>
      <c r="F6" s="11">
        <v>15</v>
      </c>
      <c r="G6" s="11"/>
      <c r="H6" s="11">
        <v>19</v>
      </c>
      <c r="I6" s="11"/>
      <c r="J6" s="91">
        <f>SUM(D6:I6)</f>
        <v>203</v>
      </c>
      <c r="K6" s="92"/>
    </row>
    <row r="7" spans="1:11" ht="15.75" customHeight="1" thickBot="1">
      <c r="A7" s="10" t="s">
        <v>8</v>
      </c>
      <c r="B7" s="11">
        <f t="shared" ref="B7:B15" si="0">SUM(C7:I7)+K7</f>
        <v>19</v>
      </c>
      <c r="C7" s="11">
        <v>18</v>
      </c>
      <c r="D7" s="11"/>
      <c r="E7" s="11"/>
      <c r="F7" s="11"/>
      <c r="G7" s="11"/>
      <c r="H7" s="11">
        <v>1</v>
      </c>
      <c r="I7" s="11"/>
      <c r="J7" s="91">
        <f t="shared" ref="J7:J15" si="1">SUM(D7:I7)</f>
        <v>1</v>
      </c>
      <c r="K7" s="92"/>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Osceola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2341</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7.6890217855617253</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18</v>
      </c>
      <c r="Q7" s="42">
        <f>C6-C7</f>
        <v>2323</v>
      </c>
      <c r="R7" s="42">
        <f t="shared" ref="R7:R15" si="5">SUM(N7:Q7)</f>
        <v>2341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18</v>
      </c>
      <c r="R8" s="42">
        <f t="shared" si="5"/>
        <v>18.05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18</v>
      </c>
      <c r="R9" s="42">
        <f t="shared" si="5"/>
        <v>18</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18</v>
      </c>
      <c r="R10" s="42">
        <f t="shared" si="5"/>
        <v>18</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18</v>
      </c>
      <c r="R11" s="42">
        <f t="shared" si="5"/>
        <v>18</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18</v>
      </c>
      <c r="R12" s="42">
        <f t="shared" si="5"/>
        <v>18</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18</v>
      </c>
      <c r="R13" s="42">
        <f t="shared" si="5"/>
        <v>18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18</v>
      </c>
      <c r="R14" s="42">
        <f t="shared" si="5"/>
        <v>18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18</v>
      </c>
      <c r="R15" s="42">
        <f t="shared" si="5"/>
        <v>18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2.3410000000000002</v>
      </c>
      <c r="D42" s="56">
        <f>E6/1000</f>
        <v>0</v>
      </c>
      <c r="E42" s="56">
        <f>MAX(C42:D42)</f>
        <v>2.3410000000000002</v>
      </c>
      <c r="G42" s="1" t="str">
        <f>B42</f>
        <v>per 1000 youth</v>
      </c>
      <c r="L42" s="57">
        <v>1000</v>
      </c>
      <c r="M42" s="57"/>
      <c r="R42" s="49"/>
    </row>
    <row r="43" spans="2:18" ht="15" hidden="1" customHeight="1">
      <c r="B43" s="49" t="s">
        <v>87</v>
      </c>
      <c r="C43" s="56">
        <f>C7/100</f>
        <v>0.18</v>
      </c>
      <c r="D43" s="56">
        <f>E7/100</f>
        <v>0</v>
      </c>
      <c r="E43" s="56">
        <f>MAX(C43:D43,0)</f>
        <v>0.18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2.3410000000000002</v>
      </c>
      <c r="D48" s="56">
        <f>D42</f>
        <v>0</v>
      </c>
      <c r="E48" s="56">
        <f>MAX(C48:D48)</f>
        <v>2.3410000000000002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0.18</v>
      </c>
      <c r="D49" s="49">
        <f t="shared" si="9"/>
        <v>0</v>
      </c>
      <c r="E49" s="49">
        <f>MAX(C49:D49)</f>
        <v>0.18</v>
      </c>
      <c r="G49" s="1" t="str">
        <f>G43</f>
        <v>per 100 arrests</v>
      </c>
      <c r="L49" s="58">
        <f>IF(($E43&gt;0),L43,L42)</f>
        <v>100</v>
      </c>
      <c r="M49" s="58"/>
      <c r="N49" s="21"/>
      <c r="O49" s="21"/>
      <c r="P49" s="21"/>
      <c r="Q49" s="21"/>
      <c r="R49" s="21"/>
    </row>
    <row r="50" spans="2:18" ht="15" hidden="1" customHeight="1">
      <c r="B50" s="49" t="str">
        <f t="shared" si="9"/>
        <v>per 100 arrests</v>
      </c>
      <c r="C50" s="49">
        <f t="shared" si="9"/>
        <v>0.18</v>
      </c>
      <c r="D50" s="49">
        <f t="shared" si="9"/>
        <v>0</v>
      </c>
      <c r="E50" s="49">
        <f>MAX(C50:D50)</f>
        <v>0.18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2.3410000000000002</v>
      </c>
      <c r="D54" s="56">
        <f>D48</f>
        <v>0</v>
      </c>
      <c r="E54" s="56">
        <f>MAX(C54:D54)</f>
        <v>2.3410000000000002</v>
      </c>
      <c r="G54" s="1" t="str">
        <f>G48</f>
        <v>per 1000 youth</v>
      </c>
      <c r="L54" s="58">
        <f>L48</f>
        <v>1000</v>
      </c>
      <c r="M54" s="58"/>
    </row>
    <row r="55" spans="2:18" ht="15" hidden="1" customHeight="1">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c r="B56" s="49" t="str">
        <f t="shared" si="10"/>
        <v>per 100 arrests</v>
      </c>
      <c r="C56" s="49">
        <f t="shared" si="10"/>
        <v>0.18</v>
      </c>
      <c r="D56" s="49">
        <f t="shared" si="10"/>
        <v>0</v>
      </c>
      <c r="E56" s="49">
        <f>MAX(C56:D56)</f>
        <v>0.18</v>
      </c>
      <c r="G56" s="1" t="str">
        <f>G50</f>
        <v>per 100 referrals</v>
      </c>
      <c r="L56" s="58">
        <f>IF(($E50&gt;0),L50,L49)</f>
        <v>100</v>
      </c>
      <c r="M56" s="58"/>
    </row>
    <row r="57" spans="2:18" ht="15" hidden="1" customHeight="1">
      <c r="B57" s="49" t="str">
        <f>IF(($E51&gt;0),B51,B49)</f>
        <v>per 100 arrests</v>
      </c>
      <c r="C57" s="49">
        <f>IF(($E51&gt;0),C51,C50)</f>
        <v>0.18</v>
      </c>
      <c r="D57" s="49">
        <f>IF(($E51&gt;0),D51,D50)</f>
        <v>0</v>
      </c>
      <c r="E57" s="49">
        <f>MAX(C57:D57)</f>
        <v>0.18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2.3410000000000002</v>
      </c>
      <c r="D60" s="56">
        <f>D54</f>
        <v>0</v>
      </c>
      <c r="E60" s="56">
        <f>MAX(C60:D60)</f>
        <v>2.3410000000000002</v>
      </c>
      <c r="G60" s="1" t="str">
        <f>G54</f>
        <v>per 1000 youth</v>
      </c>
      <c r="L60" s="58">
        <f>L54</f>
        <v>1000</v>
      </c>
      <c r="M60" s="58"/>
    </row>
    <row r="61" spans="2:18" ht="15" hidden="1" customHeight="1">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c r="B62" s="49" t="str">
        <f t="shared" si="11"/>
        <v>per 100 arrests</v>
      </c>
      <c r="C62" s="49">
        <f t="shared" si="11"/>
        <v>0.18</v>
      </c>
      <c r="D62" s="49">
        <f t="shared" si="11"/>
        <v>0</v>
      </c>
      <c r="E62" s="49">
        <f>MAX(C62:D62)</f>
        <v>0.18</v>
      </c>
      <c r="G62" s="1" t="str">
        <f>G56</f>
        <v>per 100 referrals</v>
      </c>
      <c r="L62" s="58">
        <f>IF(($E56&gt;0),L56,L55)</f>
        <v>100</v>
      </c>
      <c r="M62" s="58"/>
    </row>
    <row r="63" spans="2:18" ht="15" hidden="1" customHeight="1">
      <c r="B63" s="49" t="str">
        <f>IF(($E57&gt;0),B57,B55)</f>
        <v>per 100 arrests</v>
      </c>
      <c r="C63" s="49">
        <f>IF(($E57&gt;0),C57,C56)</f>
        <v>0.18</v>
      </c>
      <c r="D63" s="49">
        <f>IF(($E57&gt;0),D57,D56)</f>
        <v>0</v>
      </c>
      <c r="E63" s="49">
        <f>MAX(C63:D63)</f>
        <v>0.18</v>
      </c>
      <c r="G63" s="1" t="str">
        <f>G57</f>
        <v>per 100 youth petitioned</v>
      </c>
      <c r="L63" s="58">
        <f>IF(($E57&gt;0),L57,L56)</f>
        <v>100</v>
      </c>
      <c r="M63" s="58"/>
    </row>
    <row r="64" spans="2:18" ht="15" hidden="1" customHeight="1">
      <c r="B64" s="49" t="str">
        <f>IF(($E58&gt;0),B58,B57)</f>
        <v>per 100 arrests</v>
      </c>
      <c r="C64" s="49">
        <f>IF(($E58&gt;0),C58,C57)</f>
        <v>0.18</v>
      </c>
      <c r="D64" s="49">
        <f>IF(($E58&gt;0),D58,D57)</f>
        <v>0</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2.3410000000000002</v>
      </c>
      <c r="D66" s="56">
        <f>D60</f>
        <v>0</v>
      </c>
      <c r="E66" s="56">
        <f>MAX(C66:D66)</f>
        <v>2.3410000000000002</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c r="B68" s="49" t="str">
        <f t="shared" si="12"/>
        <v>per 100 arrests</v>
      </c>
      <c r="C68" s="49">
        <f t="shared" si="12"/>
        <v>0.18</v>
      </c>
      <c r="D68" s="49">
        <f t="shared" si="12"/>
        <v>0</v>
      </c>
      <c r="E68" s="49">
        <f>MAX(C68:D68)</f>
        <v>0.18</v>
      </c>
      <c r="G68" s="1" t="str">
        <f>G62</f>
        <v>per 100 referrals</v>
      </c>
      <c r="L68" s="58">
        <f>IF(($E62&gt;0),L62,L61)</f>
        <v>100</v>
      </c>
      <c r="M68" s="58">
        <f>IF((B68=G68),1,2)</f>
        <v>2</v>
      </c>
    </row>
    <row r="69" spans="2:13" ht="15" hidden="1" customHeight="1">
      <c r="B69" s="49" t="str">
        <f>IF(($E63&gt;0),B63,B61)</f>
        <v>per 100 arrests</v>
      </c>
      <c r="C69" s="49">
        <f>IF(($E63&gt;0),C63,C62)</f>
        <v>0.18</v>
      </c>
      <c r="D69" s="49">
        <f>IF(($E63&gt;0),D63,D62)</f>
        <v>0</v>
      </c>
      <c r="E69" s="49">
        <f>MAX(C69:D69)</f>
        <v>0.18</v>
      </c>
      <c r="G69" s="1" t="str">
        <f>G63</f>
        <v>per 100 youth petitioned</v>
      </c>
      <c r="L69" s="58">
        <f>IF(($E63&gt;0),L63,L62)</f>
        <v>100</v>
      </c>
      <c r="M69" s="58">
        <f>IF((B69=G69),1,2)</f>
        <v>2</v>
      </c>
    </row>
    <row r="70" spans="2:13" ht="15" hidden="1" customHeight="1">
      <c r="B70" s="49" t="str">
        <f>IF(($E64&gt;0),B64,B63)</f>
        <v>per 100 arrests</v>
      </c>
      <c r="C70" s="49">
        <f>IF(($E64&gt;0),C64,C63)</f>
        <v>0.18</v>
      </c>
      <c r="D70" s="49">
        <f>IF(($E64&gt;0),D64,D63)</f>
        <v>0</v>
      </c>
      <c r="E70" s="56">
        <f>MAX(C70:D70)</f>
        <v>0.18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Osceola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2341</v>
      </c>
      <c r="D6" s="34"/>
      <c r="E6" s="33">
        <f>'Data Entry'!J6</f>
        <v>203</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7.6890217855617253</v>
      </c>
      <c r="E7" s="33">
        <f>'Data Entry'!J7</f>
        <v>1</v>
      </c>
      <c r="F7" s="34">
        <f>IF((AND($E$7&gt;0,$D$66&gt;0)),($E$7/$D$66),0)</f>
        <v>4.9261083743842358</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202</v>
      </c>
      <c r="P7" s="42">
        <f t="shared" ref="P7:P15" si="4">C7</f>
        <v>18</v>
      </c>
      <c r="Q7" s="42">
        <f>C6-C7</f>
        <v>2323</v>
      </c>
      <c r="R7" s="42">
        <f t="shared" ref="R7:R15" si="5">SUM(N7:Q7)</f>
        <v>2544</v>
      </c>
      <c r="S7" s="30">
        <f t="shared" ref="S7:S15" si="6">R7*((((N7*Q7)-(O7*P7))^2))</f>
        <v>4385777136</v>
      </c>
      <c r="T7" s="30">
        <f t="shared" ref="T7:T15" si="7">(N7+O7)*(P7+Q7)*(N7+P7)*(O7+Q7)</f>
        <v>22798823425</v>
      </c>
      <c r="U7" s="31">
        <f t="shared" ref="U7:U15" si="8">IF((S7&gt;0),S7/T7,"- -")</f>
        <v>0.19236857333570931</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18</v>
      </c>
      <c r="R8" s="42">
        <f t="shared" si="5"/>
        <v>19.05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18</v>
      </c>
      <c r="R9" s="42">
        <f t="shared" si="5"/>
        <v>19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18</v>
      </c>
      <c r="R10" s="42">
        <f t="shared" si="5"/>
        <v>19</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18</v>
      </c>
      <c r="R11" s="42">
        <f t="shared" si="5"/>
        <v>19</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18</v>
      </c>
      <c r="R12" s="42">
        <f t="shared" si="5"/>
        <v>19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18</v>
      </c>
      <c r="R13" s="42">
        <f t="shared" si="5"/>
        <v>19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18</v>
      </c>
      <c r="R14" s="42">
        <f t="shared" si="5"/>
        <v>19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18</v>
      </c>
      <c r="R15" s="42">
        <f t="shared" si="5"/>
        <v>19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2.3410000000000002</v>
      </c>
      <c r="D42" s="56">
        <f>E6/1000</f>
        <v>0.20300000000000001</v>
      </c>
      <c r="E42" s="56">
        <f>MAX(C42:D42)</f>
        <v>2.3410000000000002</v>
      </c>
      <c r="G42" s="1" t="str">
        <f>B42</f>
        <v>per 1000 youth</v>
      </c>
      <c r="L42" s="57">
        <v>1000</v>
      </c>
      <c r="M42" s="57"/>
      <c r="R42" s="49"/>
    </row>
    <row r="43" spans="2:18" ht="15" hidden="1" customHeight="1">
      <c r="B43" s="49" t="s">
        <v>87</v>
      </c>
      <c r="C43" s="56">
        <f>C7/100</f>
        <v>0.18</v>
      </c>
      <c r="D43" s="56">
        <f>E7/100</f>
        <v>0.01</v>
      </c>
      <c r="E43" s="56">
        <f>MAX(C43:D43,0)</f>
        <v>0.18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2.3410000000000002</v>
      </c>
      <c r="D48" s="56">
        <f>D42</f>
        <v>0.20300000000000001</v>
      </c>
      <c r="E48" s="56">
        <f>MAX(C48:D48)</f>
        <v>2.3410000000000002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0.18</v>
      </c>
      <c r="D49" s="49">
        <f t="shared" si="9"/>
        <v>0.01</v>
      </c>
      <c r="E49" s="49">
        <f>MAX(C49:D49)</f>
        <v>0.18</v>
      </c>
      <c r="G49" s="1" t="str">
        <f>G43</f>
        <v>per 100 arrests</v>
      </c>
      <c r="L49" s="58">
        <f>IF(($E43&gt;0),L43,L42)</f>
        <v>100</v>
      </c>
      <c r="M49" s="58"/>
      <c r="N49" s="21"/>
      <c r="O49" s="21"/>
      <c r="P49" s="21"/>
      <c r="Q49" s="21"/>
      <c r="R49" s="21"/>
    </row>
    <row r="50" spans="2:18" ht="15" hidden="1" customHeight="1">
      <c r="B50" s="49" t="str">
        <f t="shared" si="9"/>
        <v>per 100 arrests</v>
      </c>
      <c r="C50" s="49">
        <f t="shared" si="9"/>
        <v>0.18</v>
      </c>
      <c r="D50" s="49">
        <f t="shared" si="9"/>
        <v>0.01</v>
      </c>
      <c r="E50" s="49">
        <f>MAX(C50:D50)</f>
        <v>0.18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2.3410000000000002</v>
      </c>
      <c r="D54" s="56">
        <f>D48</f>
        <v>0.20300000000000001</v>
      </c>
      <c r="E54" s="56">
        <f>MAX(C54:D54)</f>
        <v>2.3410000000000002</v>
      </c>
      <c r="G54" s="1" t="str">
        <f>G48</f>
        <v>per 1000 youth</v>
      </c>
      <c r="L54" s="58">
        <f>L48</f>
        <v>1000</v>
      </c>
      <c r="M54" s="58"/>
    </row>
    <row r="55" spans="2:18" ht="15" hidden="1" customHeight="1">
      <c r="B55" s="49" t="str">
        <f t="shared" ref="B55:D56" si="10">IF(($E49&gt;0),B49,B48)</f>
        <v>per 100 arrests</v>
      </c>
      <c r="C55" s="49">
        <f t="shared" si="10"/>
        <v>0.18</v>
      </c>
      <c r="D55" s="49">
        <f t="shared" si="10"/>
        <v>0.01</v>
      </c>
      <c r="E55" s="49">
        <f>MAX(C55:D55)</f>
        <v>0.18</v>
      </c>
      <c r="G55" s="1" t="str">
        <f>G49</f>
        <v>per 100 arrests</v>
      </c>
      <c r="L55" s="58">
        <f>IF(($E49&gt;0),L49,L48)</f>
        <v>100</v>
      </c>
      <c r="M55" s="58"/>
    </row>
    <row r="56" spans="2:18" ht="15" hidden="1" customHeight="1">
      <c r="B56" s="49" t="str">
        <f t="shared" si="10"/>
        <v>per 100 arrests</v>
      </c>
      <c r="C56" s="49">
        <f t="shared" si="10"/>
        <v>0.18</v>
      </c>
      <c r="D56" s="49">
        <f t="shared" si="10"/>
        <v>0.01</v>
      </c>
      <c r="E56" s="49">
        <f>MAX(C56:D56)</f>
        <v>0.18</v>
      </c>
      <c r="G56" s="1" t="str">
        <f>G50</f>
        <v>per 100 referrals</v>
      </c>
      <c r="L56" s="58">
        <f>IF(($E50&gt;0),L50,L49)</f>
        <v>100</v>
      </c>
      <c r="M56" s="58"/>
    </row>
    <row r="57" spans="2:18" ht="15" hidden="1" customHeight="1">
      <c r="B57" s="49" t="str">
        <f>IF(($E51&gt;0),B51,B49)</f>
        <v>per 100 arrests</v>
      </c>
      <c r="C57" s="49">
        <f>IF(($E51&gt;0),C51,C50)</f>
        <v>0.18</v>
      </c>
      <c r="D57" s="49">
        <f>IF(($E51&gt;0),D51,D50)</f>
        <v>0.01</v>
      </c>
      <c r="E57" s="49">
        <f>MAX(C57:D57)</f>
        <v>0.18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2.3410000000000002</v>
      </c>
      <c r="D60" s="56">
        <f>D54</f>
        <v>0.20300000000000001</v>
      </c>
      <c r="E60" s="56">
        <f>MAX(C60:D60)</f>
        <v>2.3410000000000002</v>
      </c>
      <c r="G60" s="1" t="str">
        <f>G54</f>
        <v>per 1000 youth</v>
      </c>
      <c r="L60" s="58">
        <f>L54</f>
        <v>1000</v>
      </c>
      <c r="M60" s="58"/>
    </row>
    <row r="61" spans="2:18" ht="15" hidden="1" customHeight="1">
      <c r="B61" s="49" t="str">
        <f t="shared" ref="B61:D62" si="11">IF(($E55&gt;0),B55,B54)</f>
        <v>per 100 arrests</v>
      </c>
      <c r="C61" s="49">
        <f t="shared" si="11"/>
        <v>0.18</v>
      </c>
      <c r="D61" s="49">
        <f t="shared" si="11"/>
        <v>0.01</v>
      </c>
      <c r="E61" s="49">
        <f>MAX(C61:D61)</f>
        <v>0.18</v>
      </c>
      <c r="G61" s="1" t="str">
        <f>G55</f>
        <v>per 100 arrests</v>
      </c>
      <c r="L61" s="58">
        <f>IF(($E55&gt;0),L55,L54)</f>
        <v>100</v>
      </c>
      <c r="M61" s="58"/>
    </row>
    <row r="62" spans="2:18" ht="15" hidden="1" customHeight="1">
      <c r="B62" s="49" t="str">
        <f t="shared" si="11"/>
        <v>per 100 arrests</v>
      </c>
      <c r="C62" s="49">
        <f t="shared" si="11"/>
        <v>0.18</v>
      </c>
      <c r="D62" s="49">
        <f t="shared" si="11"/>
        <v>0.01</v>
      </c>
      <c r="E62" s="49">
        <f>MAX(C62:D62)</f>
        <v>0.18</v>
      </c>
      <c r="G62" s="1" t="str">
        <f>G56</f>
        <v>per 100 referrals</v>
      </c>
      <c r="L62" s="58">
        <f>IF(($E56&gt;0),L56,L55)</f>
        <v>100</v>
      </c>
      <c r="M62" s="58"/>
    </row>
    <row r="63" spans="2:18" ht="15" hidden="1" customHeight="1">
      <c r="B63" s="49" t="str">
        <f>IF(($E57&gt;0),B57,B55)</f>
        <v>per 100 arrests</v>
      </c>
      <c r="C63" s="49">
        <f>IF(($E57&gt;0),C57,C56)</f>
        <v>0.18</v>
      </c>
      <c r="D63" s="49">
        <f>IF(($E57&gt;0),D57,D56)</f>
        <v>0.01</v>
      </c>
      <c r="E63" s="49">
        <f>MAX(C63:D63)</f>
        <v>0.18</v>
      </c>
      <c r="G63" s="1" t="str">
        <f>G57</f>
        <v>per 100 youth petitioned</v>
      </c>
      <c r="L63" s="58">
        <f>IF(($E57&gt;0),L57,L56)</f>
        <v>100</v>
      </c>
      <c r="M63" s="58"/>
    </row>
    <row r="64" spans="2:18" ht="15" hidden="1" customHeight="1">
      <c r="B64" s="49" t="str">
        <f>IF(($E58&gt;0),B58,B57)</f>
        <v>per 100 arrests</v>
      </c>
      <c r="C64" s="49">
        <f>IF(($E58&gt;0),C58,C57)</f>
        <v>0.18</v>
      </c>
      <c r="D64" s="49">
        <f>IF(($E58&gt;0),D58,D57)</f>
        <v>0.01</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2.3410000000000002</v>
      </c>
      <c r="D66" s="56">
        <f>D60</f>
        <v>0.20300000000000001</v>
      </c>
      <c r="E66" s="56">
        <f>MAX(C66:D66)</f>
        <v>2.3410000000000002</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0.01</v>
      </c>
      <c r="E67" s="49">
        <f>MAX(C67:D67)</f>
        <v>0.18</v>
      </c>
      <c r="G67" s="1" t="str">
        <f>G61</f>
        <v>per 100 arrests</v>
      </c>
      <c r="L67" s="58">
        <f>IF(($E61&gt;0),L61,L60)</f>
        <v>100</v>
      </c>
      <c r="M67" s="58">
        <f>IF((B67=G67),1,2)</f>
        <v>1</v>
      </c>
    </row>
    <row r="68" spans="2:13" ht="15" hidden="1" customHeight="1">
      <c r="B68" s="49" t="str">
        <f t="shared" si="12"/>
        <v>per 100 arrests</v>
      </c>
      <c r="C68" s="49">
        <f t="shared" si="12"/>
        <v>0.18</v>
      </c>
      <c r="D68" s="49">
        <f t="shared" si="12"/>
        <v>0.01</v>
      </c>
      <c r="E68" s="49">
        <f>MAX(C68:D68)</f>
        <v>0.18</v>
      </c>
      <c r="G68" s="1" t="str">
        <f>G62</f>
        <v>per 100 referrals</v>
      </c>
      <c r="L68" s="58">
        <f>IF(($E62&gt;0),L62,L61)</f>
        <v>100</v>
      </c>
      <c r="M68" s="58">
        <f>IF((B68=G68),1,2)</f>
        <v>2</v>
      </c>
    </row>
    <row r="69" spans="2:13" ht="15" hidden="1" customHeight="1">
      <c r="B69" s="49" t="str">
        <f>IF(($E63&gt;0),B63,B61)</f>
        <v>per 100 arrests</v>
      </c>
      <c r="C69" s="49">
        <f>IF(($E63&gt;0),C63,C62)</f>
        <v>0.18</v>
      </c>
      <c r="D69" s="49">
        <f>IF(($E63&gt;0),D63,D62)</f>
        <v>0.01</v>
      </c>
      <c r="E69" s="49">
        <f>MAX(C69:D69)</f>
        <v>0.18</v>
      </c>
      <c r="G69" s="1" t="str">
        <f>G63</f>
        <v>per 100 youth petitioned</v>
      </c>
      <c r="L69" s="58">
        <f>IF(($E63&gt;0),L63,L62)</f>
        <v>100</v>
      </c>
      <c r="M69" s="58">
        <f>IF((B69=G69),1,2)</f>
        <v>2</v>
      </c>
    </row>
    <row r="70" spans="2:13" ht="15" hidden="1" customHeight="1">
      <c r="B70" s="49" t="str">
        <f>IF(($E64&gt;0),B64,B63)</f>
        <v>per 100 arrests</v>
      </c>
      <c r="C70" s="49">
        <f>IF(($E64&gt;0),C64,C63)</f>
        <v>0.18</v>
      </c>
      <c r="D70" s="49">
        <f>IF(($E64&gt;0),D64,D63)</f>
        <v>0.01</v>
      </c>
      <c r="E70" s="56">
        <f>MAX(C70:D70)</f>
        <v>0.18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Osceola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119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2544</v>
      </c>
      <c r="D3" s="57">
        <f>'Data Entry'!C6</f>
        <v>2341</v>
      </c>
      <c r="E3" s="57">
        <f>'Data Entry'!D6</f>
        <v>77</v>
      </c>
      <c r="F3" s="57">
        <f>'Data Entry'!E6</f>
        <v>92</v>
      </c>
      <c r="G3" s="57">
        <f>'Data Entry'!F6</f>
        <v>15</v>
      </c>
      <c r="H3" s="57">
        <f>'Data Entry'!G6</f>
        <v>0</v>
      </c>
      <c r="I3" s="57">
        <f>'Data Entry'!H6</f>
        <v>19</v>
      </c>
      <c r="J3" s="57">
        <f>'Data Entry'!I6</f>
        <v>0</v>
      </c>
      <c r="K3" s="57">
        <f>'Data Entry'!J6</f>
        <v>203</v>
      </c>
    </row>
    <row r="4" spans="2:11" ht="15" customHeight="1">
      <c r="B4" s="16" t="s">
        <v>8</v>
      </c>
      <c r="C4" s="1">
        <f>IF((C$3&gt;0),(1000*('Data Entry'!B7/'Data Entry'!B$6)), 0)</f>
        <v>7.4685534591194971</v>
      </c>
      <c r="D4" s="1">
        <f>IF((D$3&gt;0),(1000*('Data Entry'!C7/'Data Entry'!C$6)), 0)</f>
        <v>7.6890217855617262</v>
      </c>
      <c r="E4" s="1">
        <f>IF((E$3&gt;0),(1000*('Data Entry'!D7/'Data Entry'!D$6)), 0)</f>
        <v>0</v>
      </c>
      <c r="F4" s="1">
        <f>IF((F$3&gt;0),(1000*('Data Entry'!E7/'Data Entry'!E$6)), 0)</f>
        <v>0</v>
      </c>
      <c r="G4" s="1">
        <f>IF((G$3&gt;0),(1000*('Data Entry'!F7/'Data Entry'!F$6)), 0)</f>
        <v>0</v>
      </c>
      <c r="H4" s="1">
        <f>IF((H$3&gt;0),(1000*('Data Entry'!G7/'Data Entry'!G$6)), 0)</f>
        <v>0</v>
      </c>
      <c r="I4" s="1">
        <f>IF((I$3&gt;0),(1000*('Data Entry'!H7/'Data Entry'!H$6)), 0)</f>
        <v>52.631578947368418</v>
      </c>
      <c r="J4" s="1">
        <f>IF((J$3&gt;0),(1000*('Data Entry'!I7/'Data Entry'!I$6)), 0)</f>
        <v>0</v>
      </c>
      <c r="K4" s="1">
        <f>IF((K$3&gt;0),(1000*('Data Entry'!J7/'Data Entry'!J$6)), 0)</f>
        <v>4.9261083743842367</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Osceola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f t="shared" si="1"/>
        <v>6.845029239766081</v>
      </c>
      <c r="I19" s="72" t="str">
        <f t="shared" si="1"/>
        <v>--</v>
      </c>
      <c r="J19" s="73">
        <f t="shared" si="1"/>
        <v>0.64066776135741654</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Osceola</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2341</v>
      </c>
      <c r="D7" s="104">
        <f>'Data Entry'!D6</f>
        <v>77</v>
      </c>
      <c r="E7" s="105"/>
      <c r="F7" s="106">
        <f>'Data Entry'!E6</f>
        <v>92</v>
      </c>
      <c r="G7" s="105"/>
      <c r="H7" s="106">
        <f>'Data Entry'!F6</f>
        <v>15</v>
      </c>
      <c r="I7" s="105"/>
      <c r="J7" s="106">
        <f>'Data Entry'!G6</f>
        <v>0</v>
      </c>
      <c r="K7" s="105"/>
      <c r="L7" s="106">
        <f>'Data Entry'!H6</f>
        <v>19</v>
      </c>
      <c r="M7" s="105"/>
      <c r="N7" s="106">
        <f>'Data Entry'!I6</f>
        <v>0</v>
      </c>
      <c r="O7" s="105"/>
      <c r="P7" s="106">
        <f>'Data Entry'!J6</f>
        <v>203</v>
      </c>
      <c r="Q7" s="107"/>
    </row>
    <row r="8" spans="2:26" s="1" customFormat="1" ht="15" customHeight="1">
      <c r="B8" s="142" t="s">
        <v>8</v>
      </c>
      <c r="C8" s="103">
        <f>'Data Entry'!C7</f>
        <v>18</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1</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139</v>
      </c>
      <c r="W8" s="1" t="e">
        <f>Hawaiian!L7</f>
        <v>#VALUE!</v>
      </c>
      <c r="X8" s="1">
        <f>'Am Indian'!L7</f>
        <v>119</v>
      </c>
      <c r="Y8" s="1" t="e">
        <f>'Other - Mixed'!L7</f>
        <v>#VALUE!</v>
      </c>
      <c r="Z8" s="1">
        <f>'All Minorities'!L7</f>
        <v>40</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Osceola</v>
      </c>
    </row>
    <row r="6" spans="1:12">
      <c r="A6" s="135" t="str">
        <f>CONCATENATE("Percentage of Minorities at Stages of the Juvenile Justice System, ", A5, " 2022")</f>
        <v>Percentage of Minorities at Stages of the Juvenile Justice System, County: Osceola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11.532019704433498</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11.532019704433498</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11.532019704433498</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11.532019704433498</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11.532019704433498</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11.532019704433498</v>
      </c>
    </row>
    <row r="13" spans="1:12">
      <c r="A13" s="128" t="str">
        <f>CONCATENATE("Arrests, total N=", 'Data Entry'!B7)</f>
        <v>Arrests, total N=19</v>
      </c>
      <c r="B13" s="150">
        <f>'Data Entry'!D7/'Data Entry'!B7</f>
        <v>0</v>
      </c>
      <c r="C13" s="150">
        <f>'Data Entry'!E7/'Data Entry'!B7</f>
        <v>0</v>
      </c>
      <c r="D13" s="150">
        <f>'Data Entry'!F7/'Data Entry'!B7</f>
        <v>0</v>
      </c>
      <c r="E13" s="150">
        <f>'Data Entry'!G7/'Data Entry'!B7</f>
        <v>0</v>
      </c>
      <c r="F13" s="150">
        <f>'Data Entry'!H7/'Data Entry'!B7</f>
        <v>5.2631578947368418E-2</v>
      </c>
      <c r="G13" s="150">
        <f>'Data Entry'!I7/'Data Entry'!B7</f>
        <v>0</v>
      </c>
      <c r="H13" s="150">
        <f>SUM(D13:G13)/'Data Entry'!B7</f>
        <v>2.7700831024930748E-3</v>
      </c>
      <c r="I13" s="150">
        <f>'Data Entry'!C7/'Data Entry'!B7</f>
        <v>0.94736842105263153</v>
      </c>
      <c r="K13" s="96" t="str">
        <f t="shared" si="0"/>
        <v>Arrests, total N=19</v>
      </c>
      <c r="L13">
        <f>I14/(SUM(B14:G14))</f>
        <v>11.532019704433498</v>
      </c>
    </row>
    <row r="14" spans="1:12">
      <c r="A14" s="128" t="str">
        <f>CONCATENATE("Population, total N=", 'Data Entry'!B6)</f>
        <v>Population, total N=2544</v>
      </c>
      <c r="B14" s="150">
        <f>'Data Entry'!D6/'Data Entry'!B6</f>
        <v>3.0267295597484277E-2</v>
      </c>
      <c r="C14" s="150">
        <f>'Data Entry'!E6/'Data Entry'!B6</f>
        <v>3.6163522012578615E-2</v>
      </c>
      <c r="D14" s="150">
        <f>'Data Entry'!F6/'Data Entry'!B6</f>
        <v>5.89622641509434E-3</v>
      </c>
      <c r="E14" s="150">
        <f>'Data Entry'!G6/'Data Entry'!B6</f>
        <v>0</v>
      </c>
      <c r="F14" s="150">
        <f>'Data Entry'!H6/'Data Entry'!B6</f>
        <v>7.4685534591194969E-3</v>
      </c>
      <c r="G14" s="150">
        <f>'Data Entry'!I6/'Data Entry'!B6</f>
        <v>0</v>
      </c>
      <c r="H14" s="150">
        <f>SUM(D14:G14)/'Data Entry'!B6</f>
        <v>5.2534512084173888E-6</v>
      </c>
      <c r="I14" s="150">
        <f>'Data Entry'!C6/'Data Entry'!B6</f>
        <v>0.92020440251572322</v>
      </c>
      <c r="K14" s="96" t="str">
        <f t="shared" si="0"/>
        <v>Population, total N=2544</v>
      </c>
      <c r="L14">
        <f>I14/(SUM(B14:G14))</f>
        <v>11.532019704433498</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Osceola</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2341</v>
      </c>
      <c r="D7" s="104">
        <f>'Data Entry'!D6</f>
        <v>77</v>
      </c>
      <c r="E7" s="105"/>
      <c r="F7" s="106">
        <f>'Data Entry'!E6</f>
        <v>92</v>
      </c>
      <c r="G7" s="105"/>
      <c r="H7" s="106">
        <f>'Data Entry'!F6</f>
        <v>15</v>
      </c>
      <c r="I7" s="105"/>
      <c r="J7" s="106">
        <f>'Data Entry'!J6</f>
        <v>203</v>
      </c>
      <c r="K7" s="107"/>
    </row>
    <row r="8" spans="2:30" s="1" customFormat="1" ht="15" customHeight="1">
      <c r="B8" s="121" t="s">
        <v>8</v>
      </c>
      <c r="C8" s="103">
        <f>'Data Entry'!C7</f>
        <v>18</v>
      </c>
      <c r="D8" s="104">
        <f>'Data Entry'!D7</f>
        <v>0</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139</v>
      </c>
      <c r="Q8" s="1" t="e">
        <f>Hawaiian!L7</f>
        <v>#VALUE!</v>
      </c>
      <c r="R8" s="1">
        <f>'Am Indian'!L7</f>
        <v>119</v>
      </c>
      <c r="S8" s="1" t="e">
        <f>'Other - Mixed'!L7</f>
        <v>#VALUE!</v>
      </c>
      <c r="T8" s="1">
        <f>'All Minorities'!L7</f>
        <v>40</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Osceola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2341</v>
      </c>
      <c r="D6" s="34"/>
      <c r="E6" s="33">
        <f>'Data Entry'!D6</f>
        <v>77</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7.6890217855617253</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77</v>
      </c>
      <c r="P7" s="42">
        <f t="shared" ref="P7:P15" si="2">C7</f>
        <v>18</v>
      </c>
      <c r="Q7" s="42">
        <f>C6-C7</f>
        <v>2323</v>
      </c>
      <c r="R7" s="42">
        <f t="shared" ref="R7:R15" si="3">SUM(N7:Q7)</f>
        <v>2418</v>
      </c>
      <c r="S7" s="30">
        <f t="shared" ref="S7:S15" si="4">R7*((((N7*Q7)-(O7*P7))^2))</f>
        <v>4644968328</v>
      </c>
      <c r="T7" s="30">
        <f t="shared" ref="T7:T15" si="5">(N7+O7)*(P7+Q7)*(N7+P7)*(O7+Q7)</f>
        <v>7787102400</v>
      </c>
      <c r="U7" s="31">
        <f t="shared" ref="U7:U15" si="6">IF((S7&gt;0),S7/T7,"- -")</f>
        <v>0.59649508756941483</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0.05</v>
      </c>
      <c r="P8" s="42">
        <f t="shared" si="2"/>
        <v>0</v>
      </c>
      <c r="Q8" s="42">
        <f>(C$67*L67)-C8</f>
        <v>18</v>
      </c>
      <c r="R8" s="42">
        <f t="shared" si="3"/>
        <v>18.05</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18</v>
      </c>
      <c r="R9" s="42">
        <f t="shared" si="3"/>
        <v>18</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18</v>
      </c>
      <c r="R10" s="42">
        <f t="shared" si="3"/>
        <v>18</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18</v>
      </c>
      <c r="R11" s="42">
        <f t="shared" si="3"/>
        <v>18</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0</v>
      </c>
      <c r="Q12" s="42">
        <f>(C69*L69)-C12</f>
        <v>18</v>
      </c>
      <c r="R12" s="42">
        <f t="shared" si="3"/>
        <v>18</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18</v>
      </c>
      <c r="R13" s="42">
        <f t="shared" si="3"/>
        <v>18</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18</v>
      </c>
      <c r="R14" s="42">
        <f t="shared" si="3"/>
        <v>18</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18</v>
      </c>
      <c r="R15" s="42">
        <f t="shared" si="3"/>
        <v>18</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2.3410000000000002</v>
      </c>
      <c r="D42" s="56">
        <f>E6/1000</f>
        <v>7.6999999999999999E-2</v>
      </c>
      <c r="E42" s="56">
        <f>MAX(C42:D42)</f>
        <v>2.3410000000000002</v>
      </c>
      <c r="G42" s="1" t="str">
        <f>B42</f>
        <v>per 1000 youth</v>
      </c>
      <c r="L42" s="57">
        <v>1000</v>
      </c>
      <c r="M42" s="57"/>
      <c r="R42" s="49"/>
    </row>
    <row r="43" spans="2:18" ht="15" hidden="1" customHeight="1">
      <c r="B43" s="49" t="s">
        <v>87</v>
      </c>
      <c r="C43" s="56">
        <f>C7/100</f>
        <v>0.18</v>
      </c>
      <c r="D43" s="56">
        <f>E7/100</f>
        <v>0</v>
      </c>
      <c r="E43" s="56">
        <f>MAX(C43:D43,0)</f>
        <v>0.18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2.3410000000000002</v>
      </c>
      <c r="D48" s="56">
        <f>D42</f>
        <v>7.6999999999999999E-2</v>
      </c>
      <c r="E48" s="56">
        <f>MAX(C48:D48)</f>
        <v>2.3410000000000002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0.18</v>
      </c>
      <c r="D49" s="49">
        <f t="shared" si="9"/>
        <v>0</v>
      </c>
      <c r="E49" s="49">
        <f>MAX(C49:D49)</f>
        <v>0.18</v>
      </c>
      <c r="G49" s="1" t="str">
        <f>G43</f>
        <v>per 100 arrests</v>
      </c>
      <c r="L49" s="58">
        <f>IF(($E43&gt;0),L43,L42)</f>
        <v>100</v>
      </c>
      <c r="M49" s="58"/>
      <c r="N49" s="21"/>
      <c r="O49" s="21"/>
      <c r="P49" s="21"/>
      <c r="Q49" s="21"/>
      <c r="R49" s="21"/>
    </row>
    <row r="50" spans="2:18" ht="15" hidden="1" customHeight="1">
      <c r="B50" s="49" t="str">
        <f t="shared" si="9"/>
        <v>per 100 arrests</v>
      </c>
      <c r="C50" s="49">
        <f t="shared" si="9"/>
        <v>0.18</v>
      </c>
      <c r="D50" s="49">
        <f t="shared" si="9"/>
        <v>0</v>
      </c>
      <c r="E50" s="49">
        <f>MAX(C50:D50)</f>
        <v>0.18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2.3410000000000002</v>
      </c>
      <c r="D54" s="56">
        <f>D48</f>
        <v>7.6999999999999999E-2</v>
      </c>
      <c r="E54" s="56">
        <f>MAX(C54:D54)</f>
        <v>2.3410000000000002</v>
      </c>
      <c r="G54" s="1" t="str">
        <f>G48</f>
        <v>per 1000 youth</v>
      </c>
      <c r="L54" s="58">
        <f>L48</f>
        <v>1000</v>
      </c>
      <c r="M54" s="58"/>
    </row>
    <row r="55" spans="2:18" ht="15" hidden="1" customHeight="1">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c r="B56" s="49" t="str">
        <f t="shared" si="10"/>
        <v>per 100 arrests</v>
      </c>
      <c r="C56" s="49">
        <f t="shared" si="10"/>
        <v>0.18</v>
      </c>
      <c r="D56" s="49">
        <f t="shared" si="10"/>
        <v>0</v>
      </c>
      <c r="E56" s="49">
        <f>MAX(C56:D56)</f>
        <v>0.18</v>
      </c>
      <c r="G56" s="1" t="str">
        <f>G50</f>
        <v>per 100 referrals</v>
      </c>
      <c r="L56" s="58">
        <f>IF(($E50&gt;0),L50,L49)</f>
        <v>100</v>
      </c>
      <c r="M56" s="58"/>
    </row>
    <row r="57" spans="2:18" ht="15" hidden="1" customHeight="1">
      <c r="B57" s="49" t="str">
        <f>IF(($E51&gt;0),B51,B49)</f>
        <v>per 100 arrests</v>
      </c>
      <c r="C57" s="49">
        <f>IF(($E51&gt;0),C51,C50)</f>
        <v>0.18</v>
      </c>
      <c r="D57" s="49">
        <f>IF(($E51&gt;0),D51,D50)</f>
        <v>0</v>
      </c>
      <c r="E57" s="49">
        <f>MAX(C57:D57)</f>
        <v>0.18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2.3410000000000002</v>
      </c>
      <c r="D60" s="56">
        <f>D54</f>
        <v>7.6999999999999999E-2</v>
      </c>
      <c r="E60" s="56">
        <f>MAX(C60:D60)</f>
        <v>2.3410000000000002</v>
      </c>
      <c r="G60" s="1" t="str">
        <f>G54</f>
        <v>per 1000 youth</v>
      </c>
      <c r="L60" s="58">
        <f>L54</f>
        <v>1000</v>
      </c>
      <c r="M60" s="58"/>
    </row>
    <row r="61" spans="2:18" ht="15" hidden="1" customHeight="1">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c r="B62" s="49" t="str">
        <f t="shared" si="11"/>
        <v>per 100 arrests</v>
      </c>
      <c r="C62" s="49">
        <f t="shared" si="11"/>
        <v>0.18</v>
      </c>
      <c r="D62" s="49">
        <f t="shared" si="11"/>
        <v>0</v>
      </c>
      <c r="E62" s="49">
        <f>MAX(C62:D62)</f>
        <v>0.18</v>
      </c>
      <c r="G62" s="1" t="str">
        <f>G56</f>
        <v>per 100 referrals</v>
      </c>
      <c r="L62" s="58">
        <f>IF(($E56&gt;0),L56,L55)</f>
        <v>100</v>
      </c>
      <c r="M62" s="58"/>
    </row>
    <row r="63" spans="2:18" ht="15" hidden="1" customHeight="1">
      <c r="B63" s="49" t="str">
        <f>IF(($E57&gt;0),B57,B55)</f>
        <v>per 100 arrests</v>
      </c>
      <c r="C63" s="49">
        <f>IF(($E57&gt;0),C57,C56)</f>
        <v>0.18</v>
      </c>
      <c r="D63" s="49">
        <f>IF(($E57&gt;0),D57,D56)</f>
        <v>0</v>
      </c>
      <c r="E63" s="49">
        <f>MAX(C63:D63)</f>
        <v>0.18</v>
      </c>
      <c r="G63" s="1" t="str">
        <f>G57</f>
        <v>per 100 youth petitioned</v>
      </c>
      <c r="L63" s="58">
        <f>IF(($E57&gt;0),L57,L56)</f>
        <v>100</v>
      </c>
      <c r="M63" s="58"/>
    </row>
    <row r="64" spans="2:18" ht="15" hidden="1" customHeight="1">
      <c r="B64" s="49" t="str">
        <f>IF(($E58&gt;0),B58,B57)</f>
        <v>per 100 arrests</v>
      </c>
      <c r="C64" s="49">
        <f>IF(($E58&gt;0),C58,C57)</f>
        <v>0.18</v>
      </c>
      <c r="D64" s="49">
        <f>IF(($E58&gt;0),D58,D57)</f>
        <v>0</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2.3410000000000002</v>
      </c>
      <c r="D66" s="56">
        <f>D60</f>
        <v>7.6999999999999999E-2</v>
      </c>
      <c r="E66" s="56">
        <f>MAX(C66:D66)</f>
        <v>2.3410000000000002</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c r="B68" s="49" t="str">
        <f t="shared" si="12"/>
        <v>per 100 arrests</v>
      </c>
      <c r="C68" s="49">
        <f t="shared" si="12"/>
        <v>0.18</v>
      </c>
      <c r="D68" s="49">
        <f t="shared" si="12"/>
        <v>0</v>
      </c>
      <c r="E68" s="49">
        <f>MAX(C68:D68)</f>
        <v>0.18</v>
      </c>
      <c r="G68" s="1" t="str">
        <f>G62</f>
        <v>per 100 referrals</v>
      </c>
      <c r="L68" s="58">
        <f>IF(($E62&gt;0),L62,L61)</f>
        <v>100</v>
      </c>
      <c r="M68" s="58">
        <f>IF((B68=G68),1,2)</f>
        <v>2</v>
      </c>
    </row>
    <row r="69" spans="2:13" ht="15" hidden="1" customHeight="1">
      <c r="B69" s="49" t="str">
        <f>IF(($E63&gt;0),B63,B61)</f>
        <v>per 100 arrests</v>
      </c>
      <c r="C69" s="49">
        <f>IF(($E63&gt;0),C63,C62)</f>
        <v>0.18</v>
      </c>
      <c r="D69" s="49">
        <f>IF(($E63&gt;0),D63,D62)</f>
        <v>0</v>
      </c>
      <c r="E69" s="49">
        <f>MAX(C69:D69)</f>
        <v>0.18</v>
      </c>
      <c r="G69" s="1" t="str">
        <f>G63</f>
        <v>per 100 youth petitioned</v>
      </c>
      <c r="L69" s="58">
        <f>IF(($E63&gt;0),L63,L62)</f>
        <v>100</v>
      </c>
      <c r="M69" s="58">
        <f>IF((B69=G69),1,2)</f>
        <v>2</v>
      </c>
    </row>
    <row r="70" spans="2:13" ht="15" hidden="1" customHeight="1">
      <c r="B70" s="49" t="str">
        <f>IF(($E64&gt;0),B64,B63)</f>
        <v>per 100 arrests</v>
      </c>
      <c r="C70" s="49">
        <f>IF(($E64&gt;0),C64,C63)</f>
        <v>0.18</v>
      </c>
      <c r="D70" s="49">
        <f>IF(($E64&gt;0),D64,D63)</f>
        <v>0</v>
      </c>
      <c r="E70" s="56">
        <f>MAX(C70:D70)</f>
        <v>0.18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Osceola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2341</v>
      </c>
      <c r="D6" s="34"/>
      <c r="E6" s="33">
        <f>'Data Entry'!F6</f>
        <v>15</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7.6890217855617253</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15</v>
      </c>
      <c r="P7" s="42">
        <f t="shared" ref="P7:P15" si="4">C7</f>
        <v>18</v>
      </c>
      <c r="Q7" s="42">
        <f>C6-C7</f>
        <v>2323</v>
      </c>
      <c r="R7" s="42">
        <f t="shared" ref="R7:R15" si="5">SUM(N7:Q7)</f>
        <v>2356</v>
      </c>
      <c r="S7" s="30">
        <f t="shared" ref="S7:S15" si="6">R7*((((N7*Q7)-(O7*P7))^2))</f>
        <v>171752400</v>
      </c>
      <c r="T7" s="30">
        <f t="shared" ref="T7:T15" si="7">(N7+O7)*(P7+Q7)*(N7+P7)*(O7+Q7)</f>
        <v>1477779660</v>
      </c>
      <c r="U7" s="31">
        <f t="shared" ref="U7:U15" si="8">IF((S7&gt;0),S7/T7,"- -")</f>
        <v>0.11622328053967125</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18</v>
      </c>
      <c r="R8" s="42">
        <f t="shared" si="5"/>
        <v>18.05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18</v>
      </c>
      <c r="R9" s="42">
        <f t="shared" si="5"/>
        <v>18</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18</v>
      </c>
      <c r="R10" s="42">
        <f t="shared" si="5"/>
        <v>18</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18</v>
      </c>
      <c r="R11" s="42">
        <f t="shared" si="5"/>
        <v>18</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18</v>
      </c>
      <c r="R12" s="42">
        <f t="shared" si="5"/>
        <v>18</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18</v>
      </c>
      <c r="R13" s="42">
        <f t="shared" si="5"/>
        <v>18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18</v>
      </c>
      <c r="R14" s="42">
        <f t="shared" si="5"/>
        <v>18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18</v>
      </c>
      <c r="R15" s="42">
        <f t="shared" si="5"/>
        <v>18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2.3410000000000002</v>
      </c>
      <c r="D42" s="56">
        <f>E6/1000</f>
        <v>1.4999999999999999E-2</v>
      </c>
      <c r="E42" s="56">
        <f>MAX(C42:D42)</f>
        <v>2.3410000000000002</v>
      </c>
      <c r="G42" s="1" t="str">
        <f>B42</f>
        <v>per 1000 youth</v>
      </c>
      <c r="L42" s="57">
        <v>1000</v>
      </c>
      <c r="M42" s="57"/>
      <c r="R42" s="49"/>
    </row>
    <row r="43" spans="2:18" ht="15" hidden="1" customHeight="1">
      <c r="B43" s="49" t="s">
        <v>87</v>
      </c>
      <c r="C43" s="56">
        <f>C7/100</f>
        <v>0.18</v>
      </c>
      <c r="D43" s="56">
        <f>E7/100</f>
        <v>0</v>
      </c>
      <c r="E43" s="56">
        <f>MAX(C43:D43,0)</f>
        <v>0.18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2.3410000000000002</v>
      </c>
      <c r="D48" s="56">
        <f>D42</f>
        <v>1.4999999999999999E-2</v>
      </c>
      <c r="E48" s="56">
        <f>MAX(C48:D48)</f>
        <v>2.3410000000000002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0.18</v>
      </c>
      <c r="D49" s="49">
        <f t="shared" si="9"/>
        <v>0</v>
      </c>
      <c r="E49" s="49">
        <f>MAX(C49:D49)</f>
        <v>0.18</v>
      </c>
      <c r="G49" s="1" t="str">
        <f>G43</f>
        <v>per 100 arrests</v>
      </c>
      <c r="L49" s="58">
        <f>IF(($E43&gt;0),L43,L42)</f>
        <v>100</v>
      </c>
      <c r="M49" s="58"/>
      <c r="N49" s="21"/>
      <c r="O49" s="21"/>
      <c r="P49" s="21"/>
      <c r="Q49" s="21"/>
      <c r="R49" s="21"/>
    </row>
    <row r="50" spans="2:18" ht="15" hidden="1" customHeight="1">
      <c r="B50" s="49" t="str">
        <f t="shared" si="9"/>
        <v>per 100 arrests</v>
      </c>
      <c r="C50" s="49">
        <f t="shared" si="9"/>
        <v>0.18</v>
      </c>
      <c r="D50" s="49">
        <f t="shared" si="9"/>
        <v>0</v>
      </c>
      <c r="E50" s="49">
        <f>MAX(C50:D50)</f>
        <v>0.18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2.3410000000000002</v>
      </c>
      <c r="D54" s="56">
        <f>D48</f>
        <v>1.4999999999999999E-2</v>
      </c>
      <c r="E54" s="56">
        <f>MAX(C54:D54)</f>
        <v>2.3410000000000002</v>
      </c>
      <c r="G54" s="1" t="str">
        <f>G48</f>
        <v>per 1000 youth</v>
      </c>
      <c r="L54" s="58">
        <f>L48</f>
        <v>1000</v>
      </c>
      <c r="M54" s="58"/>
    </row>
    <row r="55" spans="2:18" ht="15" hidden="1" customHeight="1">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c r="B56" s="49" t="str">
        <f t="shared" si="10"/>
        <v>per 100 arrests</v>
      </c>
      <c r="C56" s="49">
        <f t="shared" si="10"/>
        <v>0.18</v>
      </c>
      <c r="D56" s="49">
        <f t="shared" si="10"/>
        <v>0</v>
      </c>
      <c r="E56" s="49">
        <f>MAX(C56:D56)</f>
        <v>0.18</v>
      </c>
      <c r="G56" s="1" t="str">
        <f>G50</f>
        <v>per 100 referrals</v>
      </c>
      <c r="L56" s="58">
        <f>IF(($E50&gt;0),L50,L49)</f>
        <v>100</v>
      </c>
      <c r="M56" s="58"/>
    </row>
    <row r="57" spans="2:18" ht="15" hidden="1" customHeight="1">
      <c r="B57" s="49" t="str">
        <f>IF(($E51&gt;0),B51,B49)</f>
        <v>per 100 arrests</v>
      </c>
      <c r="C57" s="49">
        <f>IF(($E51&gt;0),C51,C50)</f>
        <v>0.18</v>
      </c>
      <c r="D57" s="49">
        <f>IF(($E51&gt;0),D51,D50)</f>
        <v>0</v>
      </c>
      <c r="E57" s="49">
        <f>MAX(C57:D57)</f>
        <v>0.18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2.3410000000000002</v>
      </c>
      <c r="D60" s="56">
        <f>D54</f>
        <v>1.4999999999999999E-2</v>
      </c>
      <c r="E60" s="56">
        <f>MAX(C60:D60)</f>
        <v>2.3410000000000002</v>
      </c>
      <c r="G60" s="1" t="str">
        <f>G54</f>
        <v>per 1000 youth</v>
      </c>
      <c r="L60" s="58">
        <f>L54</f>
        <v>1000</v>
      </c>
      <c r="M60" s="58"/>
    </row>
    <row r="61" spans="2:18" ht="15" hidden="1" customHeight="1">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c r="B62" s="49" t="str">
        <f t="shared" si="11"/>
        <v>per 100 arrests</v>
      </c>
      <c r="C62" s="49">
        <f t="shared" si="11"/>
        <v>0.18</v>
      </c>
      <c r="D62" s="49">
        <f t="shared" si="11"/>
        <v>0</v>
      </c>
      <c r="E62" s="49">
        <f>MAX(C62:D62)</f>
        <v>0.18</v>
      </c>
      <c r="G62" s="1" t="str">
        <f>G56</f>
        <v>per 100 referrals</v>
      </c>
      <c r="L62" s="58">
        <f>IF(($E56&gt;0),L56,L55)</f>
        <v>100</v>
      </c>
      <c r="M62" s="58"/>
    </row>
    <row r="63" spans="2:18" ht="15" hidden="1" customHeight="1">
      <c r="B63" s="49" t="str">
        <f>IF(($E57&gt;0),B57,B55)</f>
        <v>per 100 arrests</v>
      </c>
      <c r="C63" s="49">
        <f>IF(($E57&gt;0),C57,C56)</f>
        <v>0.18</v>
      </c>
      <c r="D63" s="49">
        <f>IF(($E57&gt;0),D57,D56)</f>
        <v>0</v>
      </c>
      <c r="E63" s="49">
        <f>MAX(C63:D63)</f>
        <v>0.18</v>
      </c>
      <c r="G63" s="1" t="str">
        <f>G57</f>
        <v>per 100 youth petitioned</v>
      </c>
      <c r="L63" s="58">
        <f>IF(($E57&gt;0),L57,L56)</f>
        <v>100</v>
      </c>
      <c r="M63" s="58"/>
    </row>
    <row r="64" spans="2:18" ht="15" hidden="1" customHeight="1">
      <c r="B64" s="49" t="str">
        <f>IF(($E58&gt;0),B58,B57)</f>
        <v>per 100 arrests</v>
      </c>
      <c r="C64" s="49">
        <f>IF(($E58&gt;0),C58,C57)</f>
        <v>0.18</v>
      </c>
      <c r="D64" s="49">
        <f>IF(($E58&gt;0),D58,D57)</f>
        <v>0</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2.3410000000000002</v>
      </c>
      <c r="D66" s="56">
        <f>D60</f>
        <v>1.4999999999999999E-2</v>
      </c>
      <c r="E66" s="56">
        <f>MAX(C66:D66)</f>
        <v>2.3410000000000002</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c r="B68" s="49" t="str">
        <f t="shared" si="12"/>
        <v>per 100 arrests</v>
      </c>
      <c r="C68" s="49">
        <f t="shared" si="12"/>
        <v>0.18</v>
      </c>
      <c r="D68" s="49">
        <f t="shared" si="12"/>
        <v>0</v>
      </c>
      <c r="E68" s="49">
        <f>MAX(C68:D68)</f>
        <v>0.18</v>
      </c>
      <c r="G68" s="1" t="str">
        <f>G62</f>
        <v>per 100 referrals</v>
      </c>
      <c r="L68" s="58">
        <f>IF(($E62&gt;0),L62,L61)</f>
        <v>100</v>
      </c>
      <c r="M68" s="58">
        <f>IF((B68=G68),1,2)</f>
        <v>2</v>
      </c>
    </row>
    <row r="69" spans="2:13" ht="15" hidden="1" customHeight="1">
      <c r="B69" s="49" t="str">
        <f>IF(($E63&gt;0),B63,B61)</f>
        <v>per 100 arrests</v>
      </c>
      <c r="C69" s="49">
        <f>IF(($E63&gt;0),C63,C62)</f>
        <v>0.18</v>
      </c>
      <c r="D69" s="49">
        <f>IF(($E63&gt;0),D63,D62)</f>
        <v>0</v>
      </c>
      <c r="E69" s="49">
        <f>MAX(C69:D69)</f>
        <v>0.18</v>
      </c>
      <c r="G69" s="1" t="str">
        <f>G63</f>
        <v>per 100 youth petitioned</v>
      </c>
      <c r="L69" s="58">
        <f>IF(($E63&gt;0),L63,L62)</f>
        <v>100</v>
      </c>
      <c r="M69" s="58">
        <f>IF((B69=G69),1,2)</f>
        <v>2</v>
      </c>
    </row>
    <row r="70" spans="2:13" ht="15" hidden="1" customHeight="1">
      <c r="B70" s="49" t="str">
        <f>IF(($E64&gt;0),B64,B63)</f>
        <v>per 100 arrests</v>
      </c>
      <c r="C70" s="49">
        <f>IF(($E64&gt;0),C64,C63)</f>
        <v>0.18</v>
      </c>
      <c r="D70" s="49">
        <f>IF(($E64&gt;0),D64,D63)</f>
        <v>0</v>
      </c>
      <c r="E70" s="56">
        <f>MAX(C70:D70)</f>
        <v>0.18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Osceola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2341</v>
      </c>
      <c r="D6" s="34"/>
      <c r="E6" s="33">
        <f>'Data Entry'!E6</f>
        <v>92</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7.6890217855617253</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92</v>
      </c>
      <c r="P7" s="42">
        <f t="shared" ref="P7:P15" si="4">C7</f>
        <v>18</v>
      </c>
      <c r="Q7" s="42">
        <f>C6-C7</f>
        <v>2323</v>
      </c>
      <c r="R7" s="42">
        <f t="shared" ref="R7:R15" si="5">SUM(N7:Q7)</f>
        <v>2433</v>
      </c>
      <c r="S7" s="30">
        <f t="shared" ref="S7:S15" si="6">R7*((((N7*Q7)-(O7*P7))^2))</f>
        <v>6672103488</v>
      </c>
      <c r="T7" s="30">
        <f t="shared" ref="T7:T15" si="7">(N7+O7)*(P7+Q7)*(N7+P7)*(O7+Q7)</f>
        <v>9362220840</v>
      </c>
      <c r="U7" s="31">
        <f t="shared" ref="U7:U15" si="8">IF((S7&gt;0),S7/T7,"- -")</f>
        <v>0.71266247635320679</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18</v>
      </c>
      <c r="R8" s="42">
        <f t="shared" si="5"/>
        <v>18.05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18</v>
      </c>
      <c r="R9" s="42">
        <f t="shared" si="5"/>
        <v>18</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18</v>
      </c>
      <c r="R10" s="42">
        <f t="shared" si="5"/>
        <v>18</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18</v>
      </c>
      <c r="R11" s="42">
        <f t="shared" si="5"/>
        <v>18</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18</v>
      </c>
      <c r="R12" s="42">
        <f t="shared" si="5"/>
        <v>18</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18</v>
      </c>
      <c r="R13" s="42">
        <f t="shared" si="5"/>
        <v>18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18</v>
      </c>
      <c r="R14" s="42">
        <f t="shared" si="5"/>
        <v>18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18</v>
      </c>
      <c r="R15" s="42">
        <f t="shared" si="5"/>
        <v>18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2.3410000000000002</v>
      </c>
      <c r="D42" s="56">
        <f>E6/1000</f>
        <v>9.1999999999999998E-2</v>
      </c>
      <c r="E42" s="56">
        <f>MAX(C42:D42)</f>
        <v>2.3410000000000002</v>
      </c>
      <c r="G42" s="1" t="str">
        <f>B42</f>
        <v>per 1000 youth</v>
      </c>
      <c r="L42" s="57">
        <v>1000</v>
      </c>
      <c r="M42" s="57"/>
      <c r="R42" s="49"/>
    </row>
    <row r="43" spans="2:18" ht="15" hidden="1" customHeight="1">
      <c r="B43" s="49" t="s">
        <v>87</v>
      </c>
      <c r="C43" s="56">
        <f>C7/100</f>
        <v>0.18</v>
      </c>
      <c r="D43" s="56">
        <f>E7/100</f>
        <v>0</v>
      </c>
      <c r="E43" s="56">
        <f>MAX(C43:D43,0)</f>
        <v>0.18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2.3410000000000002</v>
      </c>
      <c r="D48" s="56">
        <f>D42</f>
        <v>9.1999999999999998E-2</v>
      </c>
      <c r="E48" s="56">
        <f>MAX(C48:D48)</f>
        <v>2.3410000000000002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0.18</v>
      </c>
      <c r="D49" s="49">
        <f t="shared" si="9"/>
        <v>0</v>
      </c>
      <c r="E49" s="49">
        <f>MAX(C49:D49)</f>
        <v>0.18</v>
      </c>
      <c r="G49" s="1" t="str">
        <f>G43</f>
        <v>per 100 arrests</v>
      </c>
      <c r="L49" s="58">
        <f>IF(($E43&gt;0),L43,L42)</f>
        <v>100</v>
      </c>
      <c r="M49" s="58"/>
      <c r="N49" s="21"/>
      <c r="O49" s="21"/>
      <c r="P49" s="21"/>
      <c r="Q49" s="21"/>
      <c r="R49" s="21"/>
    </row>
    <row r="50" spans="2:18" ht="15" hidden="1" customHeight="1">
      <c r="B50" s="49" t="str">
        <f t="shared" si="9"/>
        <v>per 100 arrests</v>
      </c>
      <c r="C50" s="49">
        <f t="shared" si="9"/>
        <v>0.18</v>
      </c>
      <c r="D50" s="49">
        <f t="shared" si="9"/>
        <v>0</v>
      </c>
      <c r="E50" s="49">
        <f>MAX(C50:D50)</f>
        <v>0.18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2.3410000000000002</v>
      </c>
      <c r="D54" s="56">
        <f>D48</f>
        <v>9.1999999999999998E-2</v>
      </c>
      <c r="E54" s="56">
        <f>MAX(C54:D54)</f>
        <v>2.3410000000000002</v>
      </c>
      <c r="G54" s="1" t="str">
        <f>G48</f>
        <v>per 1000 youth</v>
      </c>
      <c r="L54" s="58">
        <f>L48</f>
        <v>1000</v>
      </c>
      <c r="M54" s="58"/>
    </row>
    <row r="55" spans="2:18" ht="15" hidden="1" customHeight="1">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c r="B56" s="49" t="str">
        <f t="shared" si="10"/>
        <v>per 100 arrests</v>
      </c>
      <c r="C56" s="49">
        <f t="shared" si="10"/>
        <v>0.18</v>
      </c>
      <c r="D56" s="49">
        <f t="shared" si="10"/>
        <v>0</v>
      </c>
      <c r="E56" s="49">
        <f>MAX(C56:D56)</f>
        <v>0.18</v>
      </c>
      <c r="G56" s="1" t="str">
        <f>G50</f>
        <v>per 100 referrals</v>
      </c>
      <c r="L56" s="58">
        <f>IF(($E50&gt;0),L50,L49)</f>
        <v>100</v>
      </c>
      <c r="M56" s="58"/>
    </row>
    <row r="57" spans="2:18" ht="15" hidden="1" customHeight="1">
      <c r="B57" s="49" t="str">
        <f>IF(($E51&gt;0),B51,B49)</f>
        <v>per 100 arrests</v>
      </c>
      <c r="C57" s="49">
        <f>IF(($E51&gt;0),C51,C50)</f>
        <v>0.18</v>
      </c>
      <c r="D57" s="49">
        <f>IF(($E51&gt;0),D51,D50)</f>
        <v>0</v>
      </c>
      <c r="E57" s="49">
        <f>MAX(C57:D57)</f>
        <v>0.18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2.3410000000000002</v>
      </c>
      <c r="D60" s="56">
        <f>D54</f>
        <v>9.1999999999999998E-2</v>
      </c>
      <c r="E60" s="56">
        <f>MAX(C60:D60)</f>
        <v>2.3410000000000002</v>
      </c>
      <c r="G60" s="1" t="str">
        <f>G54</f>
        <v>per 1000 youth</v>
      </c>
      <c r="L60" s="58">
        <f>L54</f>
        <v>1000</v>
      </c>
      <c r="M60" s="58"/>
    </row>
    <row r="61" spans="2:18" ht="15" hidden="1" customHeight="1">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c r="B62" s="49" t="str">
        <f t="shared" si="11"/>
        <v>per 100 arrests</v>
      </c>
      <c r="C62" s="49">
        <f t="shared" si="11"/>
        <v>0.18</v>
      </c>
      <c r="D62" s="49">
        <f t="shared" si="11"/>
        <v>0</v>
      </c>
      <c r="E62" s="49">
        <f>MAX(C62:D62)</f>
        <v>0.18</v>
      </c>
      <c r="G62" s="1" t="str">
        <f>G56</f>
        <v>per 100 referrals</v>
      </c>
      <c r="L62" s="58">
        <f>IF(($E56&gt;0),L56,L55)</f>
        <v>100</v>
      </c>
      <c r="M62" s="58"/>
    </row>
    <row r="63" spans="2:18" ht="15" hidden="1" customHeight="1">
      <c r="B63" s="49" t="str">
        <f>IF(($E57&gt;0),B57,B55)</f>
        <v>per 100 arrests</v>
      </c>
      <c r="C63" s="49">
        <f>IF(($E57&gt;0),C57,C56)</f>
        <v>0.18</v>
      </c>
      <c r="D63" s="49">
        <f>IF(($E57&gt;0),D57,D56)</f>
        <v>0</v>
      </c>
      <c r="E63" s="49">
        <f>MAX(C63:D63)</f>
        <v>0.18</v>
      </c>
      <c r="G63" s="1" t="str">
        <f>G57</f>
        <v>per 100 youth petitioned</v>
      </c>
      <c r="L63" s="58">
        <f>IF(($E57&gt;0),L57,L56)</f>
        <v>100</v>
      </c>
      <c r="M63" s="58"/>
    </row>
    <row r="64" spans="2:18" ht="15" hidden="1" customHeight="1">
      <c r="B64" s="49" t="str">
        <f>IF(($E58&gt;0),B58,B57)</f>
        <v>per 100 arrests</v>
      </c>
      <c r="C64" s="49">
        <f>IF(($E58&gt;0),C58,C57)</f>
        <v>0.18</v>
      </c>
      <c r="D64" s="49">
        <f>IF(($E58&gt;0),D58,D57)</f>
        <v>0</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2.3410000000000002</v>
      </c>
      <c r="D66" s="56">
        <f>D60</f>
        <v>9.1999999999999998E-2</v>
      </c>
      <c r="E66" s="56">
        <f>MAX(C66:D66)</f>
        <v>2.3410000000000002</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c r="B68" s="49" t="str">
        <f t="shared" si="12"/>
        <v>per 100 arrests</v>
      </c>
      <c r="C68" s="49">
        <f t="shared" si="12"/>
        <v>0.18</v>
      </c>
      <c r="D68" s="49">
        <f t="shared" si="12"/>
        <v>0</v>
      </c>
      <c r="E68" s="49">
        <f>MAX(C68:D68)</f>
        <v>0.18</v>
      </c>
      <c r="G68" s="1" t="str">
        <f>G62</f>
        <v>per 100 referrals</v>
      </c>
      <c r="L68" s="58">
        <f>IF(($E62&gt;0),L62,L61)</f>
        <v>100</v>
      </c>
      <c r="M68" s="58">
        <f>IF((B68=G68),1,2)</f>
        <v>2</v>
      </c>
    </row>
    <row r="69" spans="2:13" ht="15" hidden="1" customHeight="1">
      <c r="B69" s="49" t="str">
        <f>IF(($E63&gt;0),B63,B61)</f>
        <v>per 100 arrests</v>
      </c>
      <c r="C69" s="49">
        <f>IF(($E63&gt;0),C63,C62)</f>
        <v>0.18</v>
      </c>
      <c r="D69" s="49">
        <f>IF(($E63&gt;0),D63,D62)</f>
        <v>0</v>
      </c>
      <c r="E69" s="49">
        <f>MAX(C69:D69)</f>
        <v>0.18</v>
      </c>
      <c r="G69" s="1" t="str">
        <f>G63</f>
        <v>per 100 youth petitioned</v>
      </c>
      <c r="L69" s="58">
        <f>IF(($E63&gt;0),L63,L62)</f>
        <v>100</v>
      </c>
      <c r="M69" s="58">
        <f>IF((B69=G69),1,2)</f>
        <v>2</v>
      </c>
    </row>
    <row r="70" spans="2:13" ht="15" hidden="1" customHeight="1">
      <c r="B70" s="49" t="str">
        <f>IF(($E64&gt;0),B64,B63)</f>
        <v>per 100 arrests</v>
      </c>
      <c r="C70" s="49">
        <f>IF(($E64&gt;0),C64,C63)</f>
        <v>0.18</v>
      </c>
      <c r="D70" s="49">
        <f>IF(($E64&gt;0),D64,D63)</f>
        <v>0</v>
      </c>
      <c r="E70" s="56">
        <f>MAX(C70:D70)</f>
        <v>0.18</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Osceola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2341</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7.6890217855617253</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18</v>
      </c>
      <c r="Q7" s="42">
        <f>C6-C7</f>
        <v>2323</v>
      </c>
      <c r="R7" s="42">
        <f t="shared" ref="R7:R15" si="5">SUM(N7:Q7)</f>
        <v>2341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18</v>
      </c>
      <c r="R8" s="42">
        <f t="shared" si="5"/>
        <v>18.05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18</v>
      </c>
      <c r="R9" s="42">
        <f t="shared" si="5"/>
        <v>18</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18</v>
      </c>
      <c r="R10" s="42">
        <f t="shared" si="5"/>
        <v>18</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18</v>
      </c>
      <c r="R11" s="42">
        <f t="shared" si="5"/>
        <v>18</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18</v>
      </c>
      <c r="R12" s="42">
        <f t="shared" si="5"/>
        <v>18</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18</v>
      </c>
      <c r="R13" s="42">
        <f t="shared" si="5"/>
        <v>18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18</v>
      </c>
      <c r="R14" s="42">
        <f t="shared" si="5"/>
        <v>18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18</v>
      </c>
      <c r="R15" s="42">
        <f t="shared" si="5"/>
        <v>18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2.3410000000000002</v>
      </c>
      <c r="D42" s="56">
        <f>E6/1000</f>
        <v>0</v>
      </c>
      <c r="E42" s="56">
        <f>MAX(C42:D42)</f>
        <v>2.3410000000000002</v>
      </c>
      <c r="G42" s="1" t="str">
        <f>B42</f>
        <v>per 1000 youth</v>
      </c>
      <c r="L42" s="57">
        <v>1000</v>
      </c>
      <c r="M42" s="57"/>
      <c r="R42" s="49"/>
    </row>
    <row r="43" spans="2:18" ht="15" hidden="1" customHeight="1">
      <c r="B43" s="49" t="s">
        <v>87</v>
      </c>
      <c r="C43" s="56">
        <f>C7/100</f>
        <v>0.18</v>
      </c>
      <c r="D43" s="56">
        <f>E7/100</f>
        <v>0</v>
      </c>
      <c r="E43" s="56">
        <f>MAX(C43:D43,0)</f>
        <v>0.18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2.3410000000000002</v>
      </c>
      <c r="D48" s="56">
        <f>D42</f>
        <v>0</v>
      </c>
      <c r="E48" s="56">
        <f>MAX(C48:D48)</f>
        <v>2.3410000000000002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0.18</v>
      </c>
      <c r="D49" s="49">
        <f t="shared" si="9"/>
        <v>0</v>
      </c>
      <c r="E49" s="49">
        <f>MAX(C49:D49)</f>
        <v>0.18</v>
      </c>
      <c r="G49" s="1" t="str">
        <f>G43</f>
        <v>per 100 arrests</v>
      </c>
      <c r="L49" s="58">
        <f>IF(($E43&gt;0),L43,L42)</f>
        <v>100</v>
      </c>
      <c r="M49" s="58"/>
      <c r="N49" s="21"/>
      <c r="O49" s="21"/>
      <c r="P49" s="21"/>
      <c r="Q49" s="21"/>
      <c r="R49" s="21"/>
    </row>
    <row r="50" spans="2:18" ht="15" hidden="1" customHeight="1">
      <c r="B50" s="49" t="str">
        <f t="shared" si="9"/>
        <v>per 100 arrests</v>
      </c>
      <c r="C50" s="49">
        <f t="shared" si="9"/>
        <v>0.18</v>
      </c>
      <c r="D50" s="49">
        <f t="shared" si="9"/>
        <v>0</v>
      </c>
      <c r="E50" s="49">
        <f>MAX(C50:D50)</f>
        <v>0.18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2.3410000000000002</v>
      </c>
      <c r="D54" s="56">
        <f>D48</f>
        <v>0</v>
      </c>
      <c r="E54" s="56">
        <f>MAX(C54:D54)</f>
        <v>2.3410000000000002</v>
      </c>
      <c r="G54" s="1" t="str">
        <f>G48</f>
        <v>per 1000 youth</v>
      </c>
      <c r="L54" s="58">
        <f>L48</f>
        <v>1000</v>
      </c>
      <c r="M54" s="58"/>
    </row>
    <row r="55" spans="2:18" ht="15" hidden="1" customHeight="1">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c r="B56" s="49" t="str">
        <f t="shared" si="10"/>
        <v>per 100 arrests</v>
      </c>
      <c r="C56" s="49">
        <f t="shared" si="10"/>
        <v>0.18</v>
      </c>
      <c r="D56" s="49">
        <f t="shared" si="10"/>
        <v>0</v>
      </c>
      <c r="E56" s="49">
        <f>MAX(C56:D56)</f>
        <v>0.18</v>
      </c>
      <c r="G56" s="1" t="str">
        <f>G50</f>
        <v>per 100 referrals</v>
      </c>
      <c r="L56" s="58">
        <f>IF(($E50&gt;0),L50,L49)</f>
        <v>100</v>
      </c>
      <c r="M56" s="58"/>
    </row>
    <row r="57" spans="2:18" ht="15" hidden="1" customHeight="1">
      <c r="B57" s="49" t="str">
        <f>IF(($E51&gt;0),B51,B49)</f>
        <v>per 100 arrests</v>
      </c>
      <c r="C57" s="49">
        <f>IF(($E51&gt;0),C51,C50)</f>
        <v>0.18</v>
      </c>
      <c r="D57" s="49">
        <f>IF(($E51&gt;0),D51,D50)</f>
        <v>0</v>
      </c>
      <c r="E57" s="49">
        <f>MAX(C57:D57)</f>
        <v>0.18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2.3410000000000002</v>
      </c>
      <c r="D60" s="56">
        <f>D54</f>
        <v>0</v>
      </c>
      <c r="E60" s="56">
        <f>MAX(C60:D60)</f>
        <v>2.3410000000000002</v>
      </c>
      <c r="G60" s="1" t="str">
        <f>G54</f>
        <v>per 1000 youth</v>
      </c>
      <c r="L60" s="58">
        <f>L54</f>
        <v>1000</v>
      </c>
      <c r="M60" s="58"/>
    </row>
    <row r="61" spans="2:18" ht="15" hidden="1" customHeight="1">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c r="B62" s="49" t="str">
        <f t="shared" si="11"/>
        <v>per 100 arrests</v>
      </c>
      <c r="C62" s="49">
        <f t="shared" si="11"/>
        <v>0.18</v>
      </c>
      <c r="D62" s="49">
        <f t="shared" si="11"/>
        <v>0</v>
      </c>
      <c r="E62" s="49">
        <f>MAX(C62:D62)</f>
        <v>0.18</v>
      </c>
      <c r="G62" s="1" t="str">
        <f>G56</f>
        <v>per 100 referrals</v>
      </c>
      <c r="L62" s="58">
        <f>IF(($E56&gt;0),L56,L55)</f>
        <v>100</v>
      </c>
      <c r="M62" s="58"/>
    </row>
    <row r="63" spans="2:18" ht="15" hidden="1" customHeight="1">
      <c r="B63" s="49" t="str">
        <f>IF(($E57&gt;0),B57,B55)</f>
        <v>per 100 arrests</v>
      </c>
      <c r="C63" s="49">
        <f>IF(($E57&gt;0),C57,C56)</f>
        <v>0.18</v>
      </c>
      <c r="D63" s="49">
        <f>IF(($E57&gt;0),D57,D56)</f>
        <v>0</v>
      </c>
      <c r="E63" s="49">
        <f>MAX(C63:D63)</f>
        <v>0.18</v>
      </c>
      <c r="G63" s="1" t="str">
        <f>G57</f>
        <v>per 100 youth petitioned</v>
      </c>
      <c r="L63" s="58">
        <f>IF(($E57&gt;0),L57,L56)</f>
        <v>100</v>
      </c>
      <c r="M63" s="58"/>
    </row>
    <row r="64" spans="2:18" ht="15" hidden="1" customHeight="1">
      <c r="B64" s="49" t="str">
        <f>IF(($E58&gt;0),B58,B57)</f>
        <v>per 100 arrests</v>
      </c>
      <c r="C64" s="49">
        <f>IF(($E58&gt;0),C58,C57)</f>
        <v>0.18</v>
      </c>
      <c r="D64" s="49">
        <f>IF(($E58&gt;0),D58,D57)</f>
        <v>0</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2.3410000000000002</v>
      </c>
      <c r="D66" s="56">
        <f>D60</f>
        <v>0</v>
      </c>
      <c r="E66" s="56">
        <f>MAX(C66:D66)</f>
        <v>2.3410000000000002</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c r="B68" s="49" t="str">
        <f t="shared" si="12"/>
        <v>per 100 arrests</v>
      </c>
      <c r="C68" s="49">
        <f t="shared" si="12"/>
        <v>0.18</v>
      </c>
      <c r="D68" s="49">
        <f t="shared" si="12"/>
        <v>0</v>
      </c>
      <c r="E68" s="49">
        <f>MAX(C68:D68)</f>
        <v>0.18</v>
      </c>
      <c r="G68" s="1" t="str">
        <f>G62</f>
        <v>per 100 referrals</v>
      </c>
      <c r="L68" s="58">
        <f>IF(($E62&gt;0),L62,L61)</f>
        <v>100</v>
      </c>
      <c r="M68" s="58">
        <f>IF((B68=G68),1,2)</f>
        <v>2</v>
      </c>
    </row>
    <row r="69" spans="2:13" ht="15" hidden="1" customHeight="1">
      <c r="B69" s="49" t="str">
        <f>IF(($E63&gt;0),B63,B61)</f>
        <v>per 100 arrests</v>
      </c>
      <c r="C69" s="49">
        <f>IF(($E63&gt;0),C63,C62)</f>
        <v>0.18</v>
      </c>
      <c r="D69" s="49">
        <f>IF(($E63&gt;0),D63,D62)</f>
        <v>0</v>
      </c>
      <c r="E69" s="49">
        <f>MAX(C69:D69)</f>
        <v>0.18</v>
      </c>
      <c r="G69" s="1" t="str">
        <f>G63</f>
        <v>per 100 youth petitioned</v>
      </c>
      <c r="L69" s="58">
        <f>IF(($E63&gt;0),L63,L62)</f>
        <v>100</v>
      </c>
      <c r="M69" s="58">
        <f>IF((B69=G69),1,2)</f>
        <v>2</v>
      </c>
    </row>
    <row r="70" spans="2:13" ht="15" hidden="1" customHeight="1">
      <c r="B70" s="49" t="str">
        <f>IF(($E64&gt;0),B64,B63)</f>
        <v>per 100 arrests</v>
      </c>
      <c r="C70" s="49">
        <f>IF(($E64&gt;0),C64,C63)</f>
        <v>0.18</v>
      </c>
      <c r="D70" s="49">
        <f>IF(($E64&gt;0),D64,D63)</f>
        <v>0</v>
      </c>
      <c r="E70" s="56">
        <f>MAX(C70:D70)</f>
        <v>0.18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Osceola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2341</v>
      </c>
      <c r="D6" s="34"/>
      <c r="E6" s="33">
        <f>'Data Entry'!H6</f>
        <v>19</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7.6890217855617253</v>
      </c>
      <c r="E7" s="33">
        <f>'Data Entry'!H7</f>
        <v>1</v>
      </c>
      <c r="F7" s="34">
        <f>IF((AND($E$7&gt;0,$D$66&gt;0)),($E$7/$D$66),0)</f>
        <v>52.631578947368425</v>
      </c>
      <c r="G7" s="39" t="str">
        <f t="shared" ref="G7:G15" si="0">IF(L$6=100,"*",IF(M7=FALSE,"--",IF(K7=20,"**",($F7/$D7))))</f>
        <v>*</v>
      </c>
      <c r="H7" s="40"/>
      <c r="I7" s="41"/>
      <c r="J7" s="40">
        <f>IF((ABS($U7)&gt;Defaults!D$7),1,2)</f>
        <v>1</v>
      </c>
      <c r="K7" s="39">
        <f>IF((AND(N7&gt;Defaults!B$12,(N7+O7)&gt;Defaults!B$13, P7 &gt; Defaults!B$12, (P7+Q7) &gt; Defaults!B$13)),1,20)</f>
        <v>20</v>
      </c>
      <c r="L7" s="1">
        <f t="shared" ref="L7:L15" si="1">(J7*K7+L$6)-1</f>
        <v>119</v>
      </c>
      <c r="M7" s="1" t="b">
        <f t="shared" ref="M7:M15" si="2">(ISNUMBER(J7))</f>
        <v>1</v>
      </c>
      <c r="N7" s="42">
        <f t="shared" ref="N7:N15" si="3">E7</f>
        <v>1</v>
      </c>
      <c r="O7" s="42">
        <f>E6-E7</f>
        <v>18</v>
      </c>
      <c r="P7" s="42">
        <f t="shared" ref="P7:P15" si="4">C7</f>
        <v>18</v>
      </c>
      <c r="Q7" s="42">
        <f>C6-C7</f>
        <v>2323</v>
      </c>
      <c r="R7" s="42">
        <f t="shared" ref="R7:R15" si="5">SUM(N7:Q7)</f>
        <v>2360</v>
      </c>
      <c r="S7" s="30">
        <f t="shared" ref="S7:S15" si="6">R7*((((N7*Q7)-(O7*P7))^2))</f>
        <v>9430562360</v>
      </c>
      <c r="T7" s="30">
        <f t="shared" ref="T7:T15" si="7">(N7+O7)*(P7+Q7)*(N7+P7)*(O7+Q7)</f>
        <v>1978381441</v>
      </c>
      <c r="U7" s="31">
        <f t="shared" ref="U7:U15" si="8">IF((S7&gt;0),S7/T7,"- -")</f>
        <v>4.7668069284117394</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18</v>
      </c>
      <c r="R8" s="42">
        <f t="shared" si="5"/>
        <v>19.05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18</v>
      </c>
      <c r="R9" s="42">
        <f t="shared" si="5"/>
        <v>19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18</v>
      </c>
      <c r="R10" s="42">
        <f t="shared" si="5"/>
        <v>19</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18</v>
      </c>
      <c r="R11" s="42">
        <f t="shared" si="5"/>
        <v>19</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18</v>
      </c>
      <c r="R12" s="42">
        <f t="shared" si="5"/>
        <v>19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18</v>
      </c>
      <c r="R13" s="42">
        <f t="shared" si="5"/>
        <v>19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18</v>
      </c>
      <c r="R14" s="42">
        <f t="shared" si="5"/>
        <v>19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18</v>
      </c>
      <c r="R15" s="42">
        <f t="shared" si="5"/>
        <v>19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2.3410000000000002</v>
      </c>
      <c r="D42" s="56">
        <f>E6/1000</f>
        <v>1.9E-2</v>
      </c>
      <c r="E42" s="56">
        <f>MAX(C42:D42)</f>
        <v>2.3410000000000002</v>
      </c>
      <c r="G42" s="1" t="str">
        <f>B42</f>
        <v>per 1000 youth</v>
      </c>
      <c r="L42" s="57">
        <v>1000</v>
      </c>
      <c r="M42" s="57"/>
      <c r="R42" s="49"/>
    </row>
    <row r="43" spans="2:18" ht="15" hidden="1" customHeight="1">
      <c r="B43" s="49" t="s">
        <v>87</v>
      </c>
      <c r="C43" s="56">
        <f>C7/100</f>
        <v>0.18</v>
      </c>
      <c r="D43" s="56">
        <f>E7/100</f>
        <v>0.01</v>
      </c>
      <c r="E43" s="56">
        <f>MAX(C43:D43,0)</f>
        <v>0.18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2.3410000000000002</v>
      </c>
      <c r="D48" s="56">
        <f>D42</f>
        <v>1.9E-2</v>
      </c>
      <c r="E48" s="56">
        <f>MAX(C48:D48)</f>
        <v>2.3410000000000002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0.18</v>
      </c>
      <c r="D49" s="49">
        <f t="shared" si="9"/>
        <v>0.01</v>
      </c>
      <c r="E49" s="49">
        <f>MAX(C49:D49)</f>
        <v>0.18</v>
      </c>
      <c r="G49" s="1" t="str">
        <f>G43</f>
        <v>per 100 arrests</v>
      </c>
      <c r="L49" s="58">
        <f>IF(($E43&gt;0),L43,L42)</f>
        <v>100</v>
      </c>
      <c r="M49" s="58"/>
      <c r="N49" s="21"/>
      <c r="O49" s="21"/>
      <c r="P49" s="21"/>
      <c r="Q49" s="21"/>
      <c r="R49" s="21"/>
    </row>
    <row r="50" spans="2:18" ht="15" hidden="1" customHeight="1">
      <c r="B50" s="49" t="str">
        <f t="shared" si="9"/>
        <v>per 100 arrests</v>
      </c>
      <c r="C50" s="49">
        <f t="shared" si="9"/>
        <v>0.18</v>
      </c>
      <c r="D50" s="49">
        <f t="shared" si="9"/>
        <v>0.01</v>
      </c>
      <c r="E50" s="49">
        <f>MAX(C50:D50)</f>
        <v>0.18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2.3410000000000002</v>
      </c>
      <c r="D54" s="56">
        <f>D48</f>
        <v>1.9E-2</v>
      </c>
      <c r="E54" s="56">
        <f>MAX(C54:D54)</f>
        <v>2.3410000000000002</v>
      </c>
      <c r="G54" s="1" t="str">
        <f>G48</f>
        <v>per 1000 youth</v>
      </c>
      <c r="L54" s="58">
        <f>L48</f>
        <v>1000</v>
      </c>
      <c r="M54" s="58"/>
    </row>
    <row r="55" spans="2:18" ht="15" hidden="1" customHeight="1">
      <c r="B55" s="49" t="str">
        <f t="shared" ref="B55:D56" si="10">IF(($E49&gt;0),B49,B48)</f>
        <v>per 100 arrests</v>
      </c>
      <c r="C55" s="49">
        <f t="shared" si="10"/>
        <v>0.18</v>
      </c>
      <c r="D55" s="49">
        <f t="shared" si="10"/>
        <v>0.01</v>
      </c>
      <c r="E55" s="49">
        <f>MAX(C55:D55)</f>
        <v>0.18</v>
      </c>
      <c r="G55" s="1" t="str">
        <f>G49</f>
        <v>per 100 arrests</v>
      </c>
      <c r="L55" s="58">
        <f>IF(($E49&gt;0),L49,L48)</f>
        <v>100</v>
      </c>
      <c r="M55" s="58"/>
    </row>
    <row r="56" spans="2:18" ht="15" hidden="1" customHeight="1">
      <c r="B56" s="49" t="str">
        <f t="shared" si="10"/>
        <v>per 100 arrests</v>
      </c>
      <c r="C56" s="49">
        <f t="shared" si="10"/>
        <v>0.18</v>
      </c>
      <c r="D56" s="49">
        <f t="shared" si="10"/>
        <v>0.01</v>
      </c>
      <c r="E56" s="49">
        <f>MAX(C56:D56)</f>
        <v>0.18</v>
      </c>
      <c r="G56" s="1" t="str">
        <f>G50</f>
        <v>per 100 referrals</v>
      </c>
      <c r="L56" s="58">
        <f>IF(($E50&gt;0),L50,L49)</f>
        <v>100</v>
      </c>
      <c r="M56" s="58"/>
    </row>
    <row r="57" spans="2:18" ht="15" hidden="1" customHeight="1">
      <c r="B57" s="49" t="str">
        <f>IF(($E51&gt;0),B51,B49)</f>
        <v>per 100 arrests</v>
      </c>
      <c r="C57" s="49">
        <f>IF(($E51&gt;0),C51,C50)</f>
        <v>0.18</v>
      </c>
      <c r="D57" s="49">
        <f>IF(($E51&gt;0),D51,D50)</f>
        <v>0.01</v>
      </c>
      <c r="E57" s="49">
        <f>MAX(C57:D57)</f>
        <v>0.18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2.3410000000000002</v>
      </c>
      <c r="D60" s="56">
        <f>D54</f>
        <v>1.9E-2</v>
      </c>
      <c r="E60" s="56">
        <f>MAX(C60:D60)</f>
        <v>2.3410000000000002</v>
      </c>
      <c r="G60" s="1" t="str">
        <f>G54</f>
        <v>per 1000 youth</v>
      </c>
      <c r="L60" s="58">
        <f>L54</f>
        <v>1000</v>
      </c>
      <c r="M60" s="58"/>
    </row>
    <row r="61" spans="2:18" ht="15" hidden="1" customHeight="1">
      <c r="B61" s="49" t="str">
        <f t="shared" ref="B61:D62" si="11">IF(($E55&gt;0),B55,B54)</f>
        <v>per 100 arrests</v>
      </c>
      <c r="C61" s="49">
        <f t="shared" si="11"/>
        <v>0.18</v>
      </c>
      <c r="D61" s="49">
        <f t="shared" si="11"/>
        <v>0.01</v>
      </c>
      <c r="E61" s="49">
        <f>MAX(C61:D61)</f>
        <v>0.18</v>
      </c>
      <c r="G61" s="1" t="str">
        <f>G55</f>
        <v>per 100 arrests</v>
      </c>
      <c r="L61" s="58">
        <f>IF(($E55&gt;0),L55,L54)</f>
        <v>100</v>
      </c>
      <c r="M61" s="58"/>
    </row>
    <row r="62" spans="2:18" ht="15" hidden="1" customHeight="1">
      <c r="B62" s="49" t="str">
        <f t="shared" si="11"/>
        <v>per 100 arrests</v>
      </c>
      <c r="C62" s="49">
        <f t="shared" si="11"/>
        <v>0.18</v>
      </c>
      <c r="D62" s="49">
        <f t="shared" si="11"/>
        <v>0.01</v>
      </c>
      <c r="E62" s="49">
        <f>MAX(C62:D62)</f>
        <v>0.18</v>
      </c>
      <c r="G62" s="1" t="str">
        <f>G56</f>
        <v>per 100 referrals</v>
      </c>
      <c r="L62" s="58">
        <f>IF(($E56&gt;0),L56,L55)</f>
        <v>100</v>
      </c>
      <c r="M62" s="58"/>
    </row>
    <row r="63" spans="2:18" ht="15" hidden="1" customHeight="1">
      <c r="B63" s="49" t="str">
        <f>IF(($E57&gt;0),B57,B55)</f>
        <v>per 100 arrests</v>
      </c>
      <c r="C63" s="49">
        <f>IF(($E57&gt;0),C57,C56)</f>
        <v>0.18</v>
      </c>
      <c r="D63" s="49">
        <f>IF(($E57&gt;0),D57,D56)</f>
        <v>0.01</v>
      </c>
      <c r="E63" s="49">
        <f>MAX(C63:D63)</f>
        <v>0.18</v>
      </c>
      <c r="G63" s="1" t="str">
        <f>G57</f>
        <v>per 100 youth petitioned</v>
      </c>
      <c r="L63" s="58">
        <f>IF(($E57&gt;0),L57,L56)</f>
        <v>100</v>
      </c>
      <c r="M63" s="58"/>
    </row>
    <row r="64" spans="2:18" ht="15" hidden="1" customHeight="1">
      <c r="B64" s="49" t="str">
        <f>IF(($E58&gt;0),B58,B57)</f>
        <v>per 100 arrests</v>
      </c>
      <c r="C64" s="49">
        <f>IF(($E58&gt;0),C58,C57)</f>
        <v>0.18</v>
      </c>
      <c r="D64" s="49">
        <f>IF(($E58&gt;0),D58,D57)</f>
        <v>0.01</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2.3410000000000002</v>
      </c>
      <c r="D66" s="56">
        <f>D60</f>
        <v>1.9E-2</v>
      </c>
      <c r="E66" s="56">
        <f>MAX(C66:D66)</f>
        <v>2.3410000000000002</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0.01</v>
      </c>
      <c r="E67" s="49">
        <f>MAX(C67:D67)</f>
        <v>0.18</v>
      </c>
      <c r="G67" s="1" t="str">
        <f>G61</f>
        <v>per 100 arrests</v>
      </c>
      <c r="L67" s="58">
        <f>IF(($E61&gt;0),L61,L60)</f>
        <v>100</v>
      </c>
      <c r="M67" s="58">
        <f>IF((B67=G67),1,2)</f>
        <v>1</v>
      </c>
    </row>
    <row r="68" spans="2:13" ht="15" hidden="1" customHeight="1">
      <c r="B68" s="49" t="str">
        <f t="shared" si="12"/>
        <v>per 100 arrests</v>
      </c>
      <c r="C68" s="49">
        <f t="shared" si="12"/>
        <v>0.18</v>
      </c>
      <c r="D68" s="49">
        <f t="shared" si="12"/>
        <v>0.01</v>
      </c>
      <c r="E68" s="49">
        <f>MAX(C68:D68)</f>
        <v>0.18</v>
      </c>
      <c r="G68" s="1" t="str">
        <f>G62</f>
        <v>per 100 referrals</v>
      </c>
      <c r="L68" s="58">
        <f>IF(($E62&gt;0),L62,L61)</f>
        <v>100</v>
      </c>
      <c r="M68" s="58">
        <f>IF((B68=G68),1,2)</f>
        <v>2</v>
      </c>
    </row>
    <row r="69" spans="2:13" ht="15" hidden="1" customHeight="1">
      <c r="B69" s="49" t="str">
        <f>IF(($E63&gt;0),B63,B61)</f>
        <v>per 100 arrests</v>
      </c>
      <c r="C69" s="49">
        <f>IF(($E63&gt;0),C63,C62)</f>
        <v>0.18</v>
      </c>
      <c r="D69" s="49">
        <f>IF(($E63&gt;0),D63,D62)</f>
        <v>0.01</v>
      </c>
      <c r="E69" s="49">
        <f>MAX(C69:D69)</f>
        <v>0.18</v>
      </c>
      <c r="G69" s="1" t="str">
        <f>G63</f>
        <v>per 100 youth petitioned</v>
      </c>
      <c r="L69" s="58">
        <f>IF(($E63&gt;0),L63,L62)</f>
        <v>100</v>
      </c>
      <c r="M69" s="58">
        <f>IF((B69=G69),1,2)</f>
        <v>2</v>
      </c>
    </row>
    <row r="70" spans="2:13" ht="15" hidden="1" customHeight="1">
      <c r="B70" s="49" t="str">
        <f>IF(($E64&gt;0),B64,B63)</f>
        <v>per 100 arrests</v>
      </c>
      <c r="C70" s="49">
        <f>IF(($E64&gt;0),C64,C63)</f>
        <v>0.18</v>
      </c>
      <c r="D70" s="49">
        <f>IF(($E64&gt;0),D64,D63)</f>
        <v>0.01</v>
      </c>
      <c r="E70" s="56">
        <f>MAX(C70:D70)</f>
        <v>0.18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U47JMPN4QEAR-1806752177-30496</_dlc_DocId>
    <_dlc_DocIdUrl xmlns="ac3811b5-0f3e-49e2-ba69-f2ffa0c782af">
      <Url>https://michiganphi.sharepoint.com/sites/CMDMC/_layouts/15/DocIdRedir.aspx?ID=U47JMPN4QEAR-1806752177-30496</Url>
      <Description>U47JMPN4QEAR-1806752177-30496</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A30C7C2-F1EB-459E-B394-4F0EE6072E47}">
  <ds:schemaRefs>
    <ds:schemaRef ds:uri="http://schemas.microsoft.com/sharepoint/v3/contenttype/forms"/>
  </ds:schemaRefs>
</ds:datastoreItem>
</file>

<file path=customXml/itemProps2.xml><?xml version="1.0" encoding="utf-8"?>
<ds:datastoreItem xmlns:ds="http://schemas.openxmlformats.org/officeDocument/2006/customXml" ds:itemID="{4F2A779F-E8B2-4B7F-9D0F-A6FC1A96EE5E}"/>
</file>

<file path=customXml/itemProps3.xml><?xml version="1.0" encoding="utf-8"?>
<ds:datastoreItem xmlns:ds="http://schemas.openxmlformats.org/officeDocument/2006/customXml" ds:itemID="{2DAD63D1-BA9A-4B71-BE80-4C58A80FD735}">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571FE8B4-5440-47F1-B465-2F85F6AA7D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5bebac4f-dfa8-4424-a614-6b1a4a6d8fa5</vt:lpwstr>
  </property>
</Properties>
</file>