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1" documentId="8_{DEF0E9B4-6C5F-42F1-9776-F524C266AA39}" xr6:coauthVersionLast="47" xr6:coauthVersionMax="47" xr10:uidLastSave="{435C3D20-15D5-49AC-A2C9-3461CBDB9027}"/>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1" i="2"/>
  <c r="G57" i="2"/>
  <c r="G63" i="2" s="1"/>
  <c r="G69" i="2" s="1"/>
  <c r="G55" i="2"/>
  <c r="G61" i="2"/>
  <c r="G67" i="2"/>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51" i="3" s="1"/>
  <c r="G57" i="3" s="1"/>
  <c r="G63" i="3" s="1"/>
  <c r="G69" i="3" s="1"/>
  <c r="G46" i="3"/>
  <c r="G48" i="3"/>
  <c r="G54" i="3"/>
  <c r="G60" i="3" s="1"/>
  <c r="G66" i="3" s="1"/>
  <c r="L48" i="3"/>
  <c r="G52" i="3"/>
  <c r="G58" i="3"/>
  <c r="G64" i="3" s="1"/>
  <c r="G70" i="3" s="1"/>
  <c r="L54" i="3"/>
  <c r="L60" i="3"/>
  <c r="L66" i="3" s="1"/>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s="1"/>
  <c r="G56" i="5" s="1"/>
  <c r="G62" i="5" s="1"/>
  <c r="G68" i="5" s="1"/>
  <c r="G45" i="5"/>
  <c r="G46" i="5"/>
  <c r="G52" i="5" s="1"/>
  <c r="G58" i="5" s="1"/>
  <c r="G64" i="5" s="1"/>
  <c r="G70" i="5" s="1"/>
  <c r="G48" i="5"/>
  <c r="G54" i="5" s="1"/>
  <c r="G60" i="5" s="1"/>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c r="G62" i="7"/>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c r="G48" i="8"/>
  <c r="G54" i="8" s="1"/>
  <c r="G60" i="8" s="1"/>
  <c r="G66" i="8" s="1"/>
  <c r="L48" i="8"/>
  <c r="G49" i="8"/>
  <c r="G55" i="8"/>
  <c r="G51" i="8"/>
  <c r="G57" i="8"/>
  <c r="G63" i="8" s="1"/>
  <c r="G69" i="8" s="1"/>
  <c r="L54" i="8"/>
  <c r="L60" i="8" s="1"/>
  <c r="L66" i="8" s="1"/>
  <c r="G58" i="8"/>
  <c r="G64" i="8"/>
  <c r="G70" i="8" s="1"/>
  <c r="G61" i="8"/>
  <c r="G67" i="8"/>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3" l="1"/>
  <c r="M66" i="3"/>
  <c r="F27" i="2"/>
  <c r="M66" i="2"/>
  <c r="M66" i="8"/>
  <c r="F27" i="8"/>
  <c r="F27" i="7"/>
  <c r="M66" i="7"/>
  <c r="F27" i="6"/>
  <c r="M66" i="6"/>
  <c r="F27" i="5"/>
  <c r="M66" i="5"/>
  <c r="F27" i="4"/>
  <c r="M66"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D46" i="7"/>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6" l="1"/>
  <c r="E44" i="6"/>
  <c r="B50" i="6" s="1"/>
  <c r="E43" i="7"/>
  <c r="E46" i="3"/>
  <c r="L52" i="3"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7"/>
  <c r="B52" i="7"/>
  <c r="D52" i="7"/>
  <c r="C45" i="6"/>
  <c r="E45" i="6" s="1"/>
  <c r="P11" i="6"/>
  <c r="P11" i="8"/>
  <c r="C45" i="8"/>
  <c r="L52" i="5"/>
  <c r="B52" i="5"/>
  <c r="D52" i="5"/>
  <c r="C48" i="6"/>
  <c r="E42" i="6"/>
  <c r="R7" i="6"/>
  <c r="S7" i="6" s="1"/>
  <c r="D21" i="10"/>
  <c r="C4" i="10"/>
  <c r="C7" i="10"/>
  <c r="C5" i="10"/>
  <c r="C10" i="10"/>
  <c r="C11" i="10"/>
  <c r="C6" i="10"/>
  <c r="C9" i="10"/>
  <c r="C12" i="10"/>
  <c r="C8" i="10"/>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6" l="1"/>
  <c r="D52" i="3"/>
  <c r="D50" i="5"/>
  <c r="B52" i="3"/>
  <c r="L50" i="6"/>
  <c r="C50" i="6"/>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C54" i="7"/>
  <c r="E48" i="7"/>
  <c r="E49" i="6"/>
  <c r="E49" i="7"/>
  <c r="E48" i="5"/>
  <c r="C54" i="5"/>
  <c r="C54" i="6"/>
  <c r="E48" i="6"/>
  <c r="B51" i="6"/>
  <c r="D51" i="6"/>
  <c r="C51" i="6"/>
  <c r="L51" i="6"/>
  <c r="E50" i="6" l="1"/>
  <c r="L51" i="2"/>
  <c r="L56" i="5"/>
  <c r="E52" i="3"/>
  <c r="D58" i="3" s="1"/>
  <c r="D51" i="2"/>
  <c r="E49" i="5"/>
  <c r="L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L7" i="4"/>
  <c r="O8" i="16" s="1"/>
  <c r="E50" i="2"/>
  <c r="D56" i="2" s="1"/>
  <c r="L55" i="3"/>
  <c r="C55" i="3"/>
  <c r="E55" i="3" s="1"/>
  <c r="L51" i="8"/>
  <c r="B58" i="4"/>
  <c r="B55" i="4"/>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3" l="1"/>
  <c r="D55" i="5"/>
  <c r="B55" i="5"/>
  <c r="C55" i="5"/>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L64" i="5"/>
  <c r="B56" i="8"/>
  <c r="E58" i="8"/>
  <c r="L64" i="8" s="1"/>
  <c r="L56" i="8"/>
  <c r="D64" i="5"/>
  <c r="C64" i="5"/>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B64" i="8"/>
  <c r="C64" i="8"/>
  <c r="E64" i="5"/>
  <c r="Q8" i="13"/>
  <c r="I7" i="9"/>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B70" i="5" s="1"/>
  <c r="F33" i="5" s="1"/>
  <c r="L63" i="5"/>
  <c r="F8" i="5"/>
  <c r="D70" i="5" l="1"/>
  <c r="F14" i="5" s="1"/>
  <c r="L70" i="5"/>
  <c r="C70" i="5"/>
  <c r="D13" i="5" s="1"/>
  <c r="D63" i="8"/>
  <c r="D70" i="8" s="1"/>
  <c r="F13" i="8" s="1"/>
  <c r="E63" i="3"/>
  <c r="C69" i="3" s="1"/>
  <c r="D15" i="3" s="1"/>
  <c r="C63" i="8"/>
  <c r="L63" i="8"/>
  <c r="L70" i="8" s="1"/>
  <c r="L69" i="7"/>
  <c r="C69" i="7"/>
  <c r="D12" i="7" s="1"/>
  <c r="B70" i="3"/>
  <c r="M70" i="3" s="1"/>
  <c r="D70" i="6"/>
  <c r="F13" i="6"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M70" i="5"/>
  <c r="Q13" i="5"/>
  <c r="D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13" i="5" l="1"/>
  <c r="E70" i="5"/>
  <c r="D15" i="7"/>
  <c r="D12" i="3"/>
  <c r="E63" i="8"/>
  <c r="D69" i="8" s="1"/>
  <c r="D69" i="3"/>
  <c r="E69" i="3" s="1"/>
  <c r="Q14" i="5"/>
  <c r="O14" i="5"/>
  <c r="K14" i="5" s="1"/>
  <c r="L69" i="3"/>
  <c r="Q12" i="3" s="1"/>
  <c r="B69" i="3"/>
  <c r="M69" i="3" s="1"/>
  <c r="C70" i="8"/>
  <c r="E70" i="8" s="1"/>
  <c r="O13" i="5"/>
  <c r="T13" i="5" s="1"/>
  <c r="F33" i="3"/>
  <c r="Q12" i="7"/>
  <c r="Q15" i="7"/>
  <c r="E70" i="6"/>
  <c r="F34" i="3"/>
  <c r="O14" i="6"/>
  <c r="C69" i="6"/>
  <c r="D12" i="6" s="1"/>
  <c r="B69" i="6"/>
  <c r="M69" i="6" s="1"/>
  <c r="O13" i="6"/>
  <c r="F14" i="6"/>
  <c r="D13" i="3"/>
  <c r="E69" i="7"/>
  <c r="D13" i="6"/>
  <c r="O13" i="3"/>
  <c r="F14" i="3"/>
  <c r="Q14" i="3"/>
  <c r="F12" i="7"/>
  <c r="O12" i="7"/>
  <c r="T12" i="7" s="1"/>
  <c r="D14" i="6"/>
  <c r="O15" i="7"/>
  <c r="Q13" i="3"/>
  <c r="Q13" i="6"/>
  <c r="Q14" i="6"/>
  <c r="E70" i="3"/>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F34" i="8"/>
  <c r="R14" i="5"/>
  <c r="S14" i="5" s="1"/>
  <c r="U14" i="5" s="1"/>
  <c r="J14" i="5" s="1"/>
  <c r="M14" i="5" s="1"/>
  <c r="F33" i="8"/>
  <c r="C70" i="2"/>
  <c r="D14" i="2" s="1"/>
  <c r="D70" i="2"/>
  <c r="O14" i="2" s="1"/>
  <c r="M67" i="2"/>
  <c r="Q13" i="7"/>
  <c r="E70" i="7"/>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12" i="3" l="1"/>
  <c r="F15" i="3"/>
  <c r="T14" i="5"/>
  <c r="Q15" i="3"/>
  <c r="O15" i="3"/>
  <c r="O12" i="3"/>
  <c r="R12" i="3" s="1"/>
  <c r="S12" i="3" s="1"/>
  <c r="F32" i="3"/>
  <c r="D14" i="8"/>
  <c r="Q13" i="8"/>
  <c r="R13" i="8" s="1"/>
  <c r="S13" i="8" s="1"/>
  <c r="U13" i="8" s="1"/>
  <c r="J13" i="8" s="1"/>
  <c r="M13" i="8" s="1"/>
  <c r="G13" i="8" s="1"/>
  <c r="K14" i="16" s="1"/>
  <c r="Q14" i="8"/>
  <c r="R14" i="8" s="1"/>
  <c r="S14" i="8" s="1"/>
  <c r="D13" i="8"/>
  <c r="K13" i="5"/>
  <c r="F35" i="3"/>
  <c r="R13" i="5"/>
  <c r="S13" i="5" s="1"/>
  <c r="U13" i="5" s="1"/>
  <c r="J13" i="5" s="1"/>
  <c r="M13" i="5" s="1"/>
  <c r="K13" i="6"/>
  <c r="R15" i="7"/>
  <c r="S15" i="7" s="1"/>
  <c r="U15" i="7" s="1"/>
  <c r="J15" i="7" s="1"/>
  <c r="M15" i="7" s="1"/>
  <c r="K15" i="7"/>
  <c r="D15" i="6"/>
  <c r="F32" i="6"/>
  <c r="Q12" i="6"/>
  <c r="Q15" i="6"/>
  <c r="T13" i="6"/>
  <c r="T14" i="6"/>
  <c r="K12" i="7"/>
  <c r="O15" i="6"/>
  <c r="R12" i="7"/>
  <c r="S12" i="7" s="1"/>
  <c r="U12" i="7" s="1"/>
  <c r="J12" i="7" s="1"/>
  <c r="M12" i="7" s="1"/>
  <c r="E69" i="6"/>
  <c r="O12" i="6"/>
  <c r="F35" i="6"/>
  <c r="R14" i="6"/>
  <c r="S14" i="6" s="1"/>
  <c r="U14" i="6" s="1"/>
  <c r="J14" i="6" s="1"/>
  <c r="M14" i="6" s="1"/>
  <c r="G14" i="6" s="1"/>
  <c r="M15" i="13" s="1"/>
  <c r="K14" i="6"/>
  <c r="R14" i="3"/>
  <c r="S14" i="3" s="1"/>
  <c r="U14" i="3" s="1"/>
  <c r="J14" i="3" s="1"/>
  <c r="M14" i="3" s="1"/>
  <c r="G14" i="3" s="1"/>
  <c r="I15" i="16" s="1"/>
  <c r="R13" i="6"/>
  <c r="S13" i="6" s="1"/>
  <c r="U13" i="6" s="1"/>
  <c r="J13" i="6" s="1"/>
  <c r="M13" i="6" s="1"/>
  <c r="G13" i="6" s="1"/>
  <c r="G13" i="9" s="1"/>
  <c r="K13" i="3"/>
  <c r="T13" i="3"/>
  <c r="K14" i="3"/>
  <c r="T14" i="3"/>
  <c r="R13" i="3"/>
  <c r="S13" i="3" s="1"/>
  <c r="U13" i="3" s="1"/>
  <c r="J13" i="3" s="1"/>
  <c r="T15" i="7"/>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R15" i="3"/>
  <c r="S15" i="3" s="1"/>
  <c r="U15" i="3" s="1"/>
  <c r="J15" i="3" s="1"/>
  <c r="M15" i="3" s="1"/>
  <c r="G15" i="3" s="1"/>
  <c r="I16" i="16" s="1"/>
  <c r="I12" i="16"/>
  <c r="E11" i="9"/>
  <c r="I12" i="13"/>
  <c r="D13" i="2"/>
  <c r="E70" i="2"/>
  <c r="Q14" i="2"/>
  <c r="K14" i="2" s="1"/>
  <c r="M13" i="4"/>
  <c r="G13" i="4" s="1"/>
  <c r="G14" i="16" s="1"/>
  <c r="L9" i="4"/>
  <c r="O10" i="16" s="1"/>
  <c r="R13" i="7"/>
  <c r="S13" i="7" s="1"/>
  <c r="U13" i="7" s="1"/>
  <c r="J13" i="7" s="1"/>
  <c r="M13" i="7" s="1"/>
  <c r="Q13" i="2"/>
  <c r="U9" i="3"/>
  <c r="J9" i="3" s="1"/>
  <c r="L9" i="3" s="1"/>
  <c r="K15" i="3"/>
  <c r="T15" i="3"/>
  <c r="N30" i="5"/>
  <c r="L14" i="5"/>
  <c r="Q15"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K13" i="8" l="1"/>
  <c r="K12" i="3"/>
  <c r="T12" i="3"/>
  <c r="T14" i="8"/>
  <c r="K14" i="8"/>
  <c r="T13" i="8"/>
  <c r="L13" i="5"/>
  <c r="Q14" i="16" s="1"/>
  <c r="L15" i="7"/>
  <c r="S16" i="16" s="1"/>
  <c r="I13" i="9"/>
  <c r="L13" i="8"/>
  <c r="T14" i="16" s="1"/>
  <c r="Q14" i="13"/>
  <c r="T15" i="6"/>
  <c r="R15" i="6"/>
  <c r="S15" i="6" s="1"/>
  <c r="U15" i="6" s="1"/>
  <c r="J15" i="6" s="1"/>
  <c r="M15" i="6" s="1"/>
  <c r="G15" i="6" s="1"/>
  <c r="K15" i="6"/>
  <c r="R12" i="6"/>
  <c r="S12" i="6" s="1"/>
  <c r="U12" i="6" s="1"/>
  <c r="J12" i="6" s="1"/>
  <c r="M12" i="6" s="1"/>
  <c r="G12" i="6" s="1"/>
  <c r="K12" i="6"/>
  <c r="L12" i="7"/>
  <c r="S13" i="16" s="1"/>
  <c r="U14" i="8"/>
  <c r="J14" i="8" s="1"/>
  <c r="N30" i="8" s="1"/>
  <c r="L13" i="6"/>
  <c r="R14" i="16" s="1"/>
  <c r="I15" i="13"/>
  <c r="T12" i="6"/>
  <c r="N30" i="3"/>
  <c r="M14" i="13"/>
  <c r="L13" i="3"/>
  <c r="P14" i="16" s="1"/>
  <c r="E14" i="9"/>
  <c r="L14" i="3"/>
  <c r="P15" i="16" s="1"/>
  <c r="M13" i="3"/>
  <c r="G13" i="3" s="1"/>
  <c r="E13" i="9" s="1"/>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R10" i="7"/>
  <c r="S10" i="7" s="1"/>
  <c r="U10" i="7" s="1"/>
  <c r="J10" i="7" s="1"/>
  <c r="T11" i="7"/>
  <c r="T10" i="7"/>
  <c r="L8" i="2"/>
  <c r="N9" i="16" s="1"/>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L15" i="3"/>
  <c r="P16" i="16" s="1"/>
  <c r="L13" i="7"/>
  <c r="S14" i="16" s="1"/>
  <c r="M9" i="3"/>
  <c r="G9" i="3" s="1"/>
  <c r="I10" i="13" s="1"/>
  <c r="G12" i="13"/>
  <c r="G12" i="16"/>
  <c r="N9" i="9"/>
  <c r="P10" i="16"/>
  <c r="M14" i="7"/>
  <c r="N30" i="7"/>
  <c r="L14" i="7"/>
  <c r="S15" i="16" s="1"/>
  <c r="L8" i="7"/>
  <c r="S9" i="16" s="1"/>
  <c r="M9" i="9"/>
  <c r="M10" i="9"/>
  <c r="O14" i="9"/>
  <c r="V10" i="13"/>
  <c r="Z14" i="13"/>
  <c r="W15" i="13"/>
  <c r="U12" i="2"/>
  <c r="J12" i="2" s="1"/>
  <c r="L12" i="2" s="1"/>
  <c r="N13" i="16" s="1"/>
  <c r="D11"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Q15" i="9" l="1"/>
  <c r="Y16" i="13"/>
  <c r="W14" i="13"/>
  <c r="R13" i="9"/>
  <c r="O13" i="9"/>
  <c r="L12" i="6"/>
  <c r="R13" i="16" s="1"/>
  <c r="Q12" i="9"/>
  <c r="L15" i="6"/>
  <c r="R16" i="16" s="1"/>
  <c r="N13" i="9"/>
  <c r="P13" i="9"/>
  <c r="Y13" i="13"/>
  <c r="L14" i="8"/>
  <c r="T15" i="16" s="1"/>
  <c r="I14" i="13"/>
  <c r="M14" i="8"/>
  <c r="G14" i="8" s="1"/>
  <c r="K15" i="16" s="1"/>
  <c r="X14" i="13"/>
  <c r="V15" i="13"/>
  <c r="V14" i="13"/>
  <c r="N14" i="9"/>
  <c r="I14" i="16"/>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X13" i="13" l="1"/>
  <c r="P12" i="9"/>
  <c r="X16" i="13"/>
  <c r="P15" i="9"/>
  <c r="Z15" i="13"/>
  <c r="R14" i="9"/>
  <c r="I14" i="9"/>
  <c r="Q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<sst xmlns="http://schemas.openxmlformats.org/spreadsheetml/2006/main" count="654" uniqueCount="141">
  <si>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</si>
  <si>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</si>
  <si>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</si>
  <si>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</si>
  <si>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</si>
  <si>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</si>
  <si>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</si>
  <si>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</si>
  <si>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</si>
  <si>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</si>
  <si>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</si>
  <si>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</si>
  <si>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</si>
  <si>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</si>
  <si>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</si>
  <si>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</si>
  <si>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</si>
  <si>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</si>
  <si>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</si>
  <si>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</si>
  <si>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</si>
  <si>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</si>
  <si>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</si>
  <si>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</si>
  <si>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</si>
  <si>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</si>
  <si>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</si>
  <si>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</si>
  <si>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</si>
  <si>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</si>
  <si>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</si>
  <si>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</si>
  <si>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</si>
  <si>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</si>
  <si>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</si>
  <si>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</si>
  <si>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</si>
  <si>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</si>
  <si>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</si>
  <si>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</si>
  <si>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</si>
  <si>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</si>
  <si>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</si>
  <si>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</si>
  <si>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</si>
  <si>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</si>
  <si>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</si>
  <si>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</si>
  <si>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</si>
  <si>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</si>
  <si>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</si>
  <si>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</si>
  <si>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</si>
  <si>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</si>
  <si>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</si>
  <si>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</si>
  <si>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</si>
  <si>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</si>
  <si>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</si>
  <si>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</si>
  <si>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</si>
  <si>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</si>
  <si>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</si>
  <si>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</si>
  <si>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</si>
  <si>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</si>
  <si>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</si>
  <si>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</si>
  <si>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</si>
  <si>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</si>
  <si>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</si>
  <si>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</si>
  <si>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</si>
  <si>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</si>
  <si>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</si>
  <si>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</si>
  <si>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</si>
  <si>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</si>
  <si>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</si>
  <si>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</si>
  <si>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</si>
  <si>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</si>
  <si>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</si>
  <si>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</si>
  <si>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</si>
  <si>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</si>
  <si>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</si>
  <si>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</si>
  <si>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</si>
  <si>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</si>
  <si>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</si>
  <si>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</si>
  <si>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</si>
  <si>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</si>
  <si>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</si>
  <si>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</si>
  <si>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</si>
  <si>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</si>
  <si>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</si>
  <si>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</si>
  <si>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</si>
  <si>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</si>
  <si>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</si>
  <si>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</si>
  <si>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</si>
  <si>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</si>
  <si>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</si>
  <si>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</si>
  <si>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</si>
  <si>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</si>
  <si>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</si>
  <si>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</si>
  <si>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</si>
  <si>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</si>
  <si>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</si>
  <si>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</si>
  <si>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</si>
  <si>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</si>
  <si>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</si>
  <si>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</si>
  <si>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</si>
  <si>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</si>
  <si>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</si>
  <si>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</si>
  <si>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</si>
  <si>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</si>
  <si>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</si>
  <si>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</si>
  <si>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</si>
  <si>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</si>
  <si>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</si>
  <si>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</si>
  <si>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</si>
  <si>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</si>
  <si>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</si>
  <si>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</si>
  <si>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Ontonagon</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</si>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</sst>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Ontonagon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N=3</c:v>
                </c:pt>
                <c:pt idx="4">
                  <c:v>Detentions, total N=0</c:v>
                </c:pt>
                <c:pt idx="5">
                  <c:v>Referrals, total N=3</c:v>
                </c:pt>
                <c:pt idx="6">
                  <c:v>Arrests, total N=1</c:v>
                </c:pt>
                <c:pt idx="7">
                  <c:v>Population, total N=392</c:v>
                </c:pt>
              </c:strCache>
            </c:strRef>
          </c:cat>
          <c:val>
            <c:numRef>
              <c:f>'Stacked 100%'!$B$7:$B$14</c:f>
              <c:numCache>
                <c:formatCode>0%</c:formatCode>
                <c:ptCount val="8"/>
                <c:pt idx="0">
                  <c:v>0</c:v>
                </c:pt>
                <c:pt idx="1">
                  <c:v>0</c:v>
                </c:pt>
                <c:pt idx="2">
                  <c:v>0</c:v>
                </c:pt>
                <c:pt idx="3">
                  <c:v>0</c:v>
                </c:pt>
                <c:pt idx="4">
                  <c:v>0</c:v>
                </c:pt>
                <c:pt idx="5">
                  <c:v>0</c:v>
                </c:pt>
                <c:pt idx="6">
                  <c:v>0</c:v>
                </c:pt>
                <c:pt idx="7">
                  <c:v>2.0408163265306121E-2</c:v>
                </c:pt>
              </c:numCache>
            </c:numRef>
          </c:val>
          <c:extLst>
            <c:ext xmlns:c16="http://schemas.microsoft.com/office/drawing/2014/chart" uri="{C3380CC4-5D6E-409C-BE32-E72D297353CC}">
              <c16:uniqueId val="{00000000-CC8D-4393-B77E-1F81811590E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N=3</c:v>
                </c:pt>
                <c:pt idx="4">
                  <c:v>Detentions, total N=0</c:v>
                </c:pt>
                <c:pt idx="5">
                  <c:v>Referrals, total N=3</c:v>
                </c:pt>
                <c:pt idx="6">
                  <c:v>Arrests, total N=1</c:v>
                </c:pt>
                <c:pt idx="7">
                  <c:v>Population, total N=392</c:v>
                </c:pt>
              </c:strCache>
            </c:strRef>
          </c:cat>
          <c:val>
            <c:numRef>
              <c:f>'Stacked 100%'!$C$7:$C$14</c:f>
              <c:numCache>
                <c:formatCode>0%</c:formatCode>
                <c:ptCount val="8"/>
                <c:pt idx="0">
                  <c:v>0</c:v>
                </c:pt>
                <c:pt idx="1">
                  <c:v>0</c:v>
                </c:pt>
                <c:pt idx="2">
                  <c:v>0</c:v>
                </c:pt>
                <c:pt idx="3">
                  <c:v>0</c:v>
                </c:pt>
                <c:pt idx="4">
                  <c:v>0</c:v>
                </c:pt>
                <c:pt idx="5">
                  <c:v>0</c:v>
                </c:pt>
                <c:pt idx="6">
                  <c:v>0</c:v>
                </c:pt>
                <c:pt idx="7">
                  <c:v>4.8469387755102039E-2</c:v>
                </c:pt>
              </c:numCache>
            </c:numRef>
          </c:val>
          <c:extLst>
            <c:ext xmlns:c16="http://schemas.microsoft.com/office/drawing/2014/chart" uri="{C3380CC4-5D6E-409C-BE32-E72D297353CC}">
              <c16:uniqueId val="{00000001-CC8D-4393-B77E-1F81811590E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N=3</c:v>
                </c:pt>
                <c:pt idx="4">
                  <c:v>Detentions, total N=0</c:v>
                </c:pt>
                <c:pt idx="5">
                  <c:v>Referrals, total N=3</c:v>
                </c:pt>
                <c:pt idx="6">
                  <c:v>Arrests, total N=1</c:v>
                </c:pt>
                <c:pt idx="7">
                  <c:v>Population, total N=392</c:v>
                </c:pt>
              </c:strCache>
            </c:strRef>
          </c:cat>
          <c:val>
            <c:numRef>
              <c:f>'Stacked 100%'!$H$7:$H$14</c:f>
              <c:numCache>
                <c:formatCode>0%</c:formatCode>
                <c:ptCount val="8"/>
                <c:pt idx="0">
                  <c:v>0</c:v>
                </c:pt>
                <c:pt idx="1">
                  <c:v>0</c:v>
                </c:pt>
                <c:pt idx="2">
                  <c:v>0</c:v>
                </c:pt>
                <c:pt idx="3">
                  <c:v>0</c:v>
                </c:pt>
                <c:pt idx="4">
                  <c:v>0</c:v>
                </c:pt>
                <c:pt idx="5">
                  <c:v>0</c:v>
                </c:pt>
                <c:pt idx="6">
                  <c:v>0</c:v>
                </c:pt>
                <c:pt idx="7">
                  <c:v>1.3015410245730946E-4</c:v>
                </c:pt>
              </c:numCache>
            </c:numRef>
          </c:val>
          <c:extLst>
            <c:ext xmlns:c16="http://schemas.microsoft.com/office/drawing/2014/chart" uri="{C3380CC4-5D6E-409C-BE32-E72D297353CC}">
              <c16:uniqueId val="{00000002-CC8D-4393-B77E-1F81811590E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N=3</c:v>
                </c:pt>
                <c:pt idx="4">
                  <c:v>Detentions, total N=0</c:v>
                </c:pt>
                <c:pt idx="5">
                  <c:v>Referrals, total N=3</c:v>
                </c:pt>
                <c:pt idx="6">
                  <c:v>Arrests, total N=1</c:v>
                </c:pt>
                <c:pt idx="7">
                  <c:v>Population, total N=392</c:v>
                </c:pt>
              </c:strCache>
            </c:strRef>
          </c:cat>
          <c:val>
            <c:numRef>
              <c:f>'Stacked 100%'!$I$7:$I$14</c:f>
              <c:numCache>
                <c:formatCode>0%</c:formatCode>
                <c:ptCount val="8"/>
                <c:pt idx="0">
                  <c:v>0</c:v>
                </c:pt>
                <c:pt idx="1">
                  <c:v>0</c:v>
                </c:pt>
                <c:pt idx="2">
                  <c:v>0</c:v>
                </c:pt>
                <c:pt idx="3">
                  <c:v>1</c:v>
                </c:pt>
                <c:pt idx="4">
                  <c:v>0</c:v>
                </c:pt>
                <c:pt idx="5">
                  <c:v>1</c:v>
                </c:pt>
                <c:pt idx="6">
                  <c:v>1</c:v>
                </c:pt>
                <c:pt idx="7">
                  <c:v>0.88010204081632648</c:v>
                </c:pt>
              </c:numCache>
            </c:numRef>
          </c:val>
          <c:extLst>
            <c:ext xmlns:c16="http://schemas.microsoft.com/office/drawing/2014/chart" uri="{C3380CC4-5D6E-409C-BE32-E72D297353CC}">
              <c16:uniqueId val="{00000003-CC8D-4393-B77E-1F81811590E9}"/>
            </c:ext>
          </c:extLst>
        </c:ser>
        <c:dLbls>
          <c:showLegendKey val="0"/>
          <c:showVal val="0"/>
          <c:showCatName val="0"/>
          <c:showSerName val="0"/>
          <c:showPercent val="0"/>
          <c:showBubbleSize val="0"/>
        </c:dLbls>
        <c:gapWidth val="150"/>
        <c:overlap val="100"/>
        <c:axId val="72964352"/>
        <c:axId val="73050752"/>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N=3</c:v>
                </c:pt>
                <c:pt idx="4">
                  <c:v>Detentions, total N=0</c:v>
                </c:pt>
                <c:pt idx="5">
                  <c:v>Referrals, total N=3</c:v>
                </c:pt>
                <c:pt idx="6">
                  <c:v>Arrests, total N=1</c:v>
                </c:pt>
                <c:pt idx="7">
                  <c:v>Population, total N=392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CC8D-4393-B77E-1F81811590E9}"/>
            </c:ext>
          </c:extLst>
        </c:ser>
        <c:dLbls>
          <c:showLegendKey val="0"/>
          <c:showVal val="0"/>
          <c:showCatName val="0"/>
          <c:showSerName val="0"/>
          <c:showPercent val="0"/>
          <c:showBubbleSize val="0"/>
        </c:dLbls>
        <c:gapWidth val="150"/>
        <c:overlap val="100"/>
        <c:axId val="73440256"/>
        <c:axId val="73438336"/>
      </c:barChart>
      <c:catAx>
        <c:axId val="72964352"/>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73050752"/>
        <c:crosses val="autoZero"/>
        <c:auto val="1"/>
        <c:lblAlgn val="ctr"/>
        <c:lblOffset val="100"/>
        <c:noMultiLvlLbl val="0"/>
      </c:catAx>
      <c:valAx>
        <c:axId val="73050752"/>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72964352"/>
        <c:crosses val="autoZero"/>
        <c:crossBetween val="between"/>
      </c:valAx>
      <c:valAx>
        <c:axId val="73438336"/>
        <c:scaling>
          <c:orientation val="minMax"/>
        </c:scaling>
        <c:delete val="1"/>
        <c:axPos val="t"/>
        <c:numFmt formatCode="0%" sourceLinked="1"/>
        <c:majorTickMark val="out"/>
        <c:minorTickMark val="none"/>
        <c:tickLblPos val="nextTo"/>
        <c:crossAx val="73440256"/>
        <c:crosses val="max"/>
        <c:crossBetween val="between"/>
      </c:valAx>
      <c:catAx>
        <c:axId val="73440256"/>
        <c:scaling>
          <c:orientation val="minMax"/>
        </c:scaling>
        <c:delete val="1"/>
        <c:axPos val="l"/>
        <c:numFmt formatCode="General" sourceLinked="1"/>
        <c:majorTickMark val="out"/>
        <c:minorTickMark val="none"/>
        <c:tickLblPos val="nextTo"/>
        <c:crossAx val="734383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persons/person.xml><?xml version="1.0" encoding="utf-8"?>
<personList xmlns="http://schemas.microsoft.com/office/spreadsheetml/2018/threadedcomments" xmlns:x="http://schemas.openxmlformats.org/spreadsheetml/2006/main"/>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4" sqref="C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392</v>
      </c>
      <c r="C6" s="11">
        <v>345</v>
      </c>
      <c r="D6" s="11">
        <v>8</v>
      </c>
      <c r="E6" s="11">
        <v>19</v>
      </c>
      <c r="F6" s="11">
        <v>9</v>
      </c>
      <c r="G6" s="11"/>
      <c r="H6" s="11">
        <v>11</v>
      </c>
      <c r="I6" s="11"/>
      <c r="J6" s="91">
        <f>SUM(D6:I6)</f>
        <v>47</v>
      </c>
      <c r="K6" s="92"/>
    </row>
    <row r="7" spans="1:11" ht="15.75" customHeight="1" thickBot="1">
      <c r="A7" s="10" t="s">
        <v>8</v>
      </c>
      <c r="B7" s="11">
        <f t="shared" ref="B7:B15" si="0">SUM(C7:I7)+K7</f>
        <v>1</v>
      </c>
      <c r="C7" s="11">
        <v>1</v>
      </c>
      <c r="D7" s="11">
        <v>0</v>
      </c>
      <c r="E7" s="11">
        <v>0</v>
      </c>
      <c r="F7" s="11">
        <v>0</v>
      </c>
      <c r="G7" s="11">
        <v>0</v>
      </c>
      <c r="H7" s="11">
        <v>0</v>
      </c>
      <c r="I7" s="11"/>
      <c r="J7" s="91">
        <f t="shared" ref="J7:J15" si="1">SUM(D7:I7)</f>
        <v>0</v>
      </c>
      <c r="K7" s="92">
        <v>0</v>
      </c>
    </row>
    <row r="8" spans="1:11" ht="15.75" customHeight="1" thickBot="1">
      <c r="A8" s="10" t="s">
        <v>9</v>
      </c>
      <c r="B8" s="11">
        <f t="shared" si="0"/>
        <v>3</v>
      </c>
      <c r="C8" s="11">
        <v>3</v>
      </c>
      <c r="D8" s="11"/>
      <c r="E8" s="11"/>
      <c r="F8" s="11"/>
      <c r="G8" s="11"/>
      <c r="H8" s="11"/>
      <c r="I8" s="11"/>
      <c r="J8" s="91">
        <f t="shared" si="1"/>
        <v>0</v>
      </c>
      <c r="K8" s="92"/>
    </row>
    <row r="9" spans="1:11" ht="15.75" customHeight="1" thickBot="1">
      <c r="A9" s="10" t="s">
        <v>10</v>
      </c>
      <c r="B9" s="11">
        <f t="shared" si="0"/>
        <v>3</v>
      </c>
      <c r="C9" s="11">
        <v>3</v>
      </c>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3</v>
      </c>
      <c r="C11" s="11">
        <v>3</v>
      </c>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Ontonagon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345</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2.8985507246376816</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v>
      </c>
      <c r="Q7" s="42">
        <f>C6-C7</f>
        <v>344</v>
      </c>
      <c r="R7" s="42">
        <f t="shared" ref="R7:R15" si="5">SUM(N7:Q7)</f>
        <v>345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3</v>
      </c>
      <c r="D8" s="34">
        <f>IF((AND(C67&gt;0,C8&gt;0)),(C8/C67),0)</f>
        <v>300</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v>
      </c>
      <c r="Q8" s="42">
        <f>(C$67*L67)-C8</f>
        <v>-2</v>
      </c>
      <c r="R8" s="42">
        <f t="shared" si="5"/>
        <v>1.0499999999999998</v>
      </c>
      <c r="S8" s="30">
        <f t="shared" si="6"/>
        <v>2.3625000000000004E-2</v>
      </c>
      <c r="T8" s="30">
        <f t="shared" si="7"/>
        <v>-0.29250000000000004</v>
      </c>
      <c r="U8" s="31">
        <f t="shared" si="8"/>
        <v>-8.0769230769230774E-2</v>
      </c>
    </row>
    <row r="9" spans="2:21" ht="18" customHeight="1">
      <c r="B9" s="32" t="str">
        <f>'Data Entry'!A9</f>
        <v xml:space="preserve">4. Cases Diverted </v>
      </c>
      <c r="C9" s="33">
        <f>'Data Entry'!C9</f>
        <v>3</v>
      </c>
      <c r="D9" s="34">
        <f>IF((AND(C68&gt;0,C9&gt;0)),((C9/C68)),0)</f>
        <v>100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0</v>
      </c>
      <c r="R9" s="42">
        <f t="shared" si="5"/>
        <v>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v>
      </c>
      <c r="R10" s="42">
        <f t="shared" si="5"/>
        <v>3</v>
      </c>
      <c r="S10" s="30">
        <f t="shared" si="6"/>
        <v>0</v>
      </c>
      <c r="T10" s="30">
        <f t="shared" si="7"/>
        <v>0</v>
      </c>
      <c r="U10" s="31" t="str">
        <f t="shared" si="8"/>
        <v>- -</v>
      </c>
    </row>
    <row r="11" spans="2:21" ht="18" customHeight="1">
      <c r="B11" s="32" t="str">
        <f>'Data Entry'!A11</f>
        <v>6. Cases Petitioned (Charge Filed)</v>
      </c>
      <c r="C11" s="33">
        <f>'Data Entry'!C11</f>
        <v>3</v>
      </c>
      <c r="D11" s="34">
        <f>IF(((AND(C68&gt;0,C11&gt;0))),(C11/(C68)),0)</f>
        <v>100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v>
      </c>
      <c r="Q11" s="42">
        <f>(C$68*L68)-C11</f>
        <v>0</v>
      </c>
      <c r="R11" s="42">
        <f t="shared" si="5"/>
        <v>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v>
      </c>
      <c r="R12" s="42">
        <f t="shared" si="5"/>
        <v>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petitioned</v>
      </c>
      <c r="G33" s="52"/>
      <c r="H33" s="52"/>
      <c r="I33" s="52"/>
      <c r="J33" s="52"/>
      <c r="K33" s="52"/>
      <c r="L33" s="53"/>
      <c r="R33" s="49"/>
    </row>
    <row r="34" spans="2:18" ht="15" customHeight="1">
      <c r="B34" s="52" t="s">
        <v>77</v>
      </c>
      <c r="C34" s="52"/>
      <c r="D34" s="52"/>
      <c r="E34" s="52"/>
      <c r="F34" s="52" t="str">
        <f>B70</f>
        <v>per 100 youth petitioned</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0.34499999999999997</v>
      </c>
      <c r="D42" s="56">
        <f>E6/1000</f>
        <v>0</v>
      </c>
      <c r="E42" s="56">
        <f>MAX(C42:D42)</f>
        <v>0.34499999999999997</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0.03</v>
      </c>
      <c r="D44" s="56">
        <f>E8/100</f>
        <v>0</v>
      </c>
      <c r="E44" s="56">
        <f>MAX(C44:D44,0)</f>
        <v>0.03</v>
      </c>
      <c r="G44" s="1" t="str">
        <f>B44</f>
        <v>per 100 referrals</v>
      </c>
      <c r="L44" s="57">
        <v>100</v>
      </c>
      <c r="M44" s="57"/>
      <c r="R44" s="49"/>
    </row>
    <row r="45" spans="2:18" ht="15" hidden="1" customHeight="1">
      <c r="B45" s="49" t="s">
        <v>89</v>
      </c>
      <c r="C45" s="49">
        <f>C11/100</f>
        <v>0.03</v>
      </c>
      <c r="D45" s="49">
        <f>E11/100</f>
        <v>0</v>
      </c>
      <c r="E45" s="56">
        <f>MAX(C45:D45,0)</f>
        <v>0.03</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0.34499999999999997</v>
      </c>
      <c r="D48" s="56">
        <f>D42</f>
        <v>0</v>
      </c>
      <c r="E48" s="56">
        <f>MAX(C48:D48)</f>
        <v>0.34499999999999997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referrals</v>
      </c>
      <c r="C50" s="49">
        <f t="shared" si="9"/>
        <v>0.03</v>
      </c>
      <c r="D50" s="49">
        <f t="shared" si="9"/>
        <v>0</v>
      </c>
      <c r="E50" s="49">
        <f>MAX(C50:D50)</f>
        <v>0.03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v>
      </c>
      <c r="E51" s="49">
        <f>MAX(C51:D51)</f>
        <v>0.03</v>
      </c>
      <c r="G51" s="1" t="str">
        <f>G45</f>
        <v>per 100 youth petitioned</v>
      </c>
      <c r="L51" s="58">
        <f>IF(($E45&gt;0),L45,L44)</f>
        <v>100</v>
      </c>
      <c r="M51" s="58"/>
    </row>
    <row r="52" spans="2:18" ht="15" hidden="1" customHeight="1">
      <c r="B52" s="49" t="str">
        <f>IF(($E46&gt;0),B46,B45)</f>
        <v>per 100 youth petitioned</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0.34499999999999997</v>
      </c>
      <c r="D54" s="56">
        <f>D48</f>
        <v>0</v>
      </c>
      <c r="E54" s="56">
        <f>MAX(C54:D54)</f>
        <v>0.34499999999999997</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referrals</v>
      </c>
      <c r="C56" s="49">
        <f t="shared" si="10"/>
        <v>0.03</v>
      </c>
      <c r="D56" s="49">
        <f t="shared" si="10"/>
        <v>0</v>
      </c>
      <c r="E56" s="49">
        <f>MAX(C56:D56)</f>
        <v>0.03</v>
      </c>
      <c r="G56" s="1" t="str">
        <f>G50</f>
        <v>per 100 referrals</v>
      </c>
      <c r="L56" s="58">
        <f>IF(($E50&gt;0),L50,L49)</f>
        <v>100</v>
      </c>
      <c r="M56" s="58"/>
    </row>
    <row r="57" spans="2:18" ht="15" hidden="1" customHeight="1">
      <c r="B57" s="49" t="str">
        <f>IF(($E51&gt;0),B51,B49)</f>
        <v>per 100 youth petitioned</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youth petitioned</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0.34499999999999997</v>
      </c>
      <c r="D60" s="56">
        <f>D54</f>
        <v>0</v>
      </c>
      <c r="E60" s="56">
        <f>MAX(C60:D60)</f>
        <v>0.34499999999999997</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referrals</v>
      </c>
      <c r="C62" s="49">
        <f t="shared" si="11"/>
        <v>0.03</v>
      </c>
      <c r="D62" s="49">
        <f t="shared" si="11"/>
        <v>0</v>
      </c>
      <c r="E62" s="49">
        <f>MAX(C62:D62)</f>
        <v>0.03</v>
      </c>
      <c r="G62" s="1" t="str">
        <f>G56</f>
        <v>per 100 referrals</v>
      </c>
      <c r="L62" s="58">
        <f>IF(($E56&gt;0),L56,L55)</f>
        <v>100</v>
      </c>
      <c r="M62" s="58"/>
    </row>
    <row r="63" spans="2:18" ht="15" hidden="1" customHeight="1">
      <c r="B63" s="49" t="str">
        <f>IF(($E57&gt;0),B57,B55)</f>
        <v>per 100 youth petitioned</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youth petitioned</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0.34499999999999997</v>
      </c>
      <c r="D66" s="56">
        <f>D60</f>
        <v>0</v>
      </c>
      <c r="E66" s="56">
        <f>MAX(C66:D66)</f>
        <v>0.34499999999999997</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referrals</v>
      </c>
      <c r="C68" s="49">
        <f t="shared" si="12"/>
        <v>0.03</v>
      </c>
      <c r="D68" s="49">
        <f t="shared" si="12"/>
        <v>0</v>
      </c>
      <c r="E68" s="49">
        <f>MAX(C68:D68)</f>
        <v>0.03</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v>
      </c>
      <c r="E69" s="49">
        <f>MAX(C69:D69)</f>
        <v>0.03</v>
      </c>
      <c r="G69" s="1" t="str">
        <f>G63</f>
        <v>per 100 youth petitioned</v>
      </c>
      <c r="L69" s="58">
        <f>IF(($E63&gt;0),L63,L62)</f>
        <v>100</v>
      </c>
      <c r="M69" s="58">
        <f>IF((B69=G69),1,2)</f>
        <v>1</v>
      </c>
    </row>
    <row r="70" spans="2:13" ht="15" hidden="1" customHeight="1">
      <c r="B70" s="49" t="str">
        <f>IF(($E64&gt;0),B64,B63)</f>
        <v>per 100 youth petitioned</v>
      </c>
      <c r="C70" s="49">
        <f>IF(($E64&gt;0),C64,C63)</f>
        <v>0.03</v>
      </c>
      <c r="D70" s="49">
        <f>IF(($E64&gt;0),D64,D63)</f>
        <v>0</v>
      </c>
      <c r="E70" s="56">
        <f>MAX(C70:D70)</f>
        <v>0.03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Ontonagon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345</v>
      </c>
      <c r="D6" s="34"/>
      <c r="E6" s="33">
        <f>'Data Entry'!J6</f>
        <v>47</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2.8985507246376816</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47</v>
      </c>
      <c r="P7" s="42">
        <f t="shared" ref="P7:P15" si="4">C7</f>
        <v>1</v>
      </c>
      <c r="Q7" s="42">
        <f>C6-C7</f>
        <v>344</v>
      </c>
      <c r="R7" s="42">
        <f t="shared" ref="R7:R15" si="5">SUM(N7:Q7)</f>
        <v>392</v>
      </c>
      <c r="S7" s="30">
        <f t="shared" ref="S7:S15" si="6">R7*((((N7*Q7)-(O7*P7))^2))</f>
        <v>865928</v>
      </c>
      <c r="T7" s="30">
        <f t="shared" ref="T7:T15" si="7">(N7+O7)*(P7+Q7)*(N7+P7)*(O7+Q7)</f>
        <v>6340065</v>
      </c>
      <c r="U7" s="31">
        <f t="shared" ref="U7:U15" si="8">IF((S7&gt;0),S7/T7,"- -")</f>
        <v>0.13658030319878425</v>
      </c>
    </row>
    <row r="8" spans="2:21" ht="18" customHeight="1">
      <c r="B8" s="32" t="str">
        <f>'Data Entry'!A8</f>
        <v>3. Refer to Juvenile Court</v>
      </c>
      <c r="C8" s="33">
        <f>'Data Entry'!C8</f>
        <v>3</v>
      </c>
      <c r="D8" s="34">
        <f>IF((AND(C67&gt;0,C8&gt;0)),(C8/C67),0)</f>
        <v>300</v>
      </c>
      <c r="E8" s="33">
        <f>'Data Entry'!J8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3</v>
      </c>
      <c r="Q8" s="42">
        <f>(C$67*L67)-C8</f>
        <v>-2</v>
      </c>
      <c r="R8" s="42">
        <f t="shared" si="5"/>
        <v>1.0499999999999998</v>
      </c>
      <c r="S8" s="30">
        <f t="shared" si="6"/>
        <v>2.3625000000000004E-2</v>
      </c>
      <c r="T8" s="30">
        <f t="shared" si="7"/>
        <v>-0.29250000000000004</v>
      </c>
      <c r="U8" s="31">
        <f t="shared" si="8"/>
        <v>-8.0769230769230774E-2</v>
      </c>
    </row>
    <row r="9" spans="2:21" ht="18" customHeight="1">
      <c r="B9" s="32" t="str">
        <f>'Data Entry'!A9</f>
        <v xml:space="preserve">4. Cases Diverted </v>
      </c>
      <c r="C9" s="33">
        <f>'Data Entry'!C9</f>
        <v>3</v>
      </c>
      <c r="D9" s="34">
        <f>IF((AND(C68&gt;0,C9&gt;0)),((C9/C68)),0)</f>
        <v>100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0</v>
      </c>
      <c r="R9" s="42">
        <f t="shared" si="5"/>
        <v>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v>
      </c>
      <c r="R10" s="42">
        <f t="shared" si="5"/>
        <v>3</v>
      </c>
      <c r="S10" s="30">
        <f t="shared" si="6"/>
        <v>0</v>
      </c>
      <c r="T10" s="30">
        <f t="shared" si="7"/>
        <v>0</v>
      </c>
      <c r="U10" s="31" t="str">
        <f t="shared" si="8"/>
        <v>- -</v>
      </c>
    </row>
    <row r="11" spans="2:21" ht="18" customHeight="1">
      <c r="B11" s="32" t="str">
        <f>'Data Entry'!A11</f>
        <v>6. Cases Petitioned (Charge Filed)</v>
      </c>
      <c r="C11" s="33">
        <f>'Data Entry'!C11</f>
        <v>3</v>
      </c>
      <c r="D11" s="34">
        <f>IF(((AND(C68&gt;0,C11&gt;0))),(C11/(C68)),0)</f>
        <v>100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v>
      </c>
      <c r="Q11" s="42">
        <f>(C$68*L68)-C11</f>
        <v>0</v>
      </c>
      <c r="R11" s="42">
        <f t="shared" si="5"/>
        <v>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v>
      </c>
      <c r="R12" s="42">
        <f t="shared" si="5"/>
        <v>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petitioned</v>
      </c>
      <c r="G33" s="52"/>
      <c r="H33" s="52"/>
      <c r="I33" s="52"/>
      <c r="J33" s="52"/>
      <c r="K33" s="52"/>
      <c r="L33" s="53"/>
      <c r="R33" s="49"/>
    </row>
    <row r="34" spans="2:18" ht="15" customHeight="1">
      <c r="B34" s="52" t="s">
        <v>77</v>
      </c>
      <c r="C34" s="52"/>
      <c r="D34" s="52"/>
      <c r="E34" s="52"/>
      <c r="F34" s="52" t="str">
        <f>B70</f>
        <v>per 100 youth petitioned</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0.34499999999999997</v>
      </c>
      <c r="D42" s="56">
        <f>E6/1000</f>
        <v>4.7E-2</v>
      </c>
      <c r="E42" s="56">
        <f>MAX(C42:D42)</f>
        <v>0.34499999999999997</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0.03</v>
      </c>
      <c r="D44" s="56">
        <f>E8/100</f>
        <v>0</v>
      </c>
      <c r="E44" s="56">
        <f>MAX(C44:D44,0)</f>
        <v>0.03</v>
      </c>
      <c r="G44" s="1" t="str">
        <f>B44</f>
        <v>per 100 referrals</v>
      </c>
      <c r="L44" s="57">
        <v>100</v>
      </c>
      <c r="M44" s="57"/>
      <c r="R44" s="49"/>
    </row>
    <row r="45" spans="2:18" ht="15" hidden="1" customHeight="1">
      <c r="B45" s="49" t="s">
        <v>89</v>
      </c>
      <c r="C45" s="49">
        <f>C11/100</f>
        <v>0.03</v>
      </c>
      <c r="D45" s="49">
        <f>E11/100</f>
        <v>0</v>
      </c>
      <c r="E45" s="56">
        <f>MAX(C45:D45,0)</f>
        <v>0.03</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0.34499999999999997</v>
      </c>
      <c r="D48" s="56">
        <f>D42</f>
        <v>4.7E-2</v>
      </c>
      <c r="E48" s="56">
        <f>MAX(C48:D48)</f>
        <v>0.34499999999999997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referrals</v>
      </c>
      <c r="C50" s="49">
        <f t="shared" si="9"/>
        <v>0.03</v>
      </c>
      <c r="D50" s="49">
        <f t="shared" si="9"/>
        <v>0</v>
      </c>
      <c r="E50" s="49">
        <f>MAX(C50:D50)</f>
        <v>0.03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v>
      </c>
      <c r="E51" s="49">
        <f>MAX(C51:D51)</f>
        <v>0.03</v>
      </c>
      <c r="G51" s="1" t="str">
        <f>G45</f>
        <v>per 100 youth petitioned</v>
      </c>
      <c r="L51" s="58">
        <f>IF(($E45&gt;0),L45,L44)</f>
        <v>100</v>
      </c>
      <c r="M51" s="58"/>
    </row>
    <row r="52" spans="2:18" ht="15" hidden="1" customHeight="1">
      <c r="B52" s="49" t="str">
        <f>IF(($E46&gt;0),B46,B45)</f>
        <v>per 100 youth petitioned</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0.34499999999999997</v>
      </c>
      <c r="D54" s="56">
        <f>D48</f>
        <v>4.7E-2</v>
      </c>
      <c r="E54" s="56">
        <f>MAX(C54:D54)</f>
        <v>0.34499999999999997</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referrals</v>
      </c>
      <c r="C56" s="49">
        <f t="shared" si="10"/>
        <v>0.03</v>
      </c>
      <c r="D56" s="49">
        <f t="shared" si="10"/>
        <v>0</v>
      </c>
      <c r="E56" s="49">
        <f>MAX(C56:D56)</f>
        <v>0.03</v>
      </c>
      <c r="G56" s="1" t="str">
        <f>G50</f>
        <v>per 100 referrals</v>
      </c>
      <c r="L56" s="58">
        <f>IF(($E50&gt;0),L50,L49)</f>
        <v>100</v>
      </c>
      <c r="M56" s="58"/>
    </row>
    <row r="57" spans="2:18" ht="15" hidden="1" customHeight="1">
      <c r="B57" s="49" t="str">
        <f>IF(($E51&gt;0),B51,B49)</f>
        <v>per 100 youth petitioned</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youth petitioned</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0.34499999999999997</v>
      </c>
      <c r="D60" s="56">
        <f>D54</f>
        <v>4.7E-2</v>
      </c>
      <c r="E60" s="56">
        <f>MAX(C60:D60)</f>
        <v>0.34499999999999997</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referrals</v>
      </c>
      <c r="C62" s="49">
        <f t="shared" si="11"/>
        <v>0.03</v>
      </c>
      <c r="D62" s="49">
        <f t="shared" si="11"/>
        <v>0</v>
      </c>
      <c r="E62" s="49">
        <f>MAX(C62:D62)</f>
        <v>0.03</v>
      </c>
      <c r="G62" s="1" t="str">
        <f>G56</f>
        <v>per 100 referrals</v>
      </c>
      <c r="L62" s="58">
        <f>IF(($E56&gt;0),L56,L55)</f>
        <v>100</v>
      </c>
      <c r="M62" s="58"/>
    </row>
    <row r="63" spans="2:18" ht="15" hidden="1" customHeight="1">
      <c r="B63" s="49" t="str">
        <f>IF(($E57&gt;0),B57,B55)</f>
        <v>per 100 youth petitioned</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youth petitioned</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0.34499999999999997</v>
      </c>
      <c r="D66" s="56">
        <f>D60</f>
        <v>4.7E-2</v>
      </c>
      <c r="E66" s="56">
        <f>MAX(C66:D66)</f>
        <v>0.34499999999999997</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referrals</v>
      </c>
      <c r="C68" s="49">
        <f t="shared" si="12"/>
        <v>0.03</v>
      </c>
      <c r="D68" s="49">
        <f t="shared" si="12"/>
        <v>0</v>
      </c>
      <c r="E68" s="49">
        <f>MAX(C68:D68)</f>
        <v>0.03</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v>
      </c>
      <c r="E69" s="49">
        <f>MAX(C69:D69)</f>
        <v>0.03</v>
      </c>
      <c r="G69" s="1" t="str">
        <f>G63</f>
        <v>per 100 youth petitioned</v>
      </c>
      <c r="L69" s="58">
        <f>IF(($E63&gt;0),L63,L62)</f>
        <v>100</v>
      </c>
      <c r="M69" s="58">
        <f>IF((B69=G69),1,2)</f>
        <v>1</v>
      </c>
    </row>
    <row r="70" spans="2:13" ht="15" hidden="1" customHeight="1">
      <c r="B70" s="49" t="str">
        <f>IF(($E64&gt;0),B64,B63)</f>
        <v>per 100 youth petitioned</v>
      </c>
      <c r="C70" s="49">
        <f>IF(($E64&gt;0),C64,C63)</f>
        <v>0.03</v>
      </c>
      <c r="D70" s="49">
        <f>IF(($E64&gt;0),D64,D63)</f>
        <v>0</v>
      </c>
      <c r="E70" s="56">
        <f>MAX(C70:D70)</f>
        <v>0.03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Ontonagon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40</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392</v>
      </c>
      <c r="D3" s="57">
        <f>'Data Entry'!C6</f>
        <v>345</v>
      </c>
      <c r="E3" s="57">
        <f>'Data Entry'!D6</f>
        <v>8</v>
      </c>
      <c r="F3" s="57">
        <f>'Data Entry'!E6</f>
        <v>19</v>
      </c>
      <c r="G3" s="57">
        <f>'Data Entry'!F6</f>
        <v>9</v>
      </c>
      <c r="H3" s="57">
        <f>'Data Entry'!G6</f>
        <v>0</v>
      </c>
      <c r="I3" s="57">
        <f>'Data Entry'!H6</f>
        <v>11</v>
      </c>
      <c r="J3" s="57">
        <f>'Data Entry'!I6</f>
        <v>0</v>
      </c>
      <c r="K3" s="57">
        <f>'Data Entry'!J6</f>
        <v>47</v>
      </c>
    </row>
    <row r="4" spans="2:11" ht="15" customHeight="1">
      <c r="B4" s="16" t="s">
        <v>8</v>
      </c>
      <c r="C4" s="1">
        <f>IF((C$3&gt;0),(1000*('Data Entry'!B7/'Data Entry'!B$6)), 0)</f>
        <v>2.5510204081632653</v>
      </c>
      <c r="D4" s="1">
        <f>IF((D$3&gt;0),(1000*('Data Entry'!C7/'Data Entry'!C$6)), 0)</f>
        <v>2.8985507246376812</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7.6530612244897958</v>
      </c>
      <c r="D5" s="1">
        <f>IF((D$3&gt;0),(1000*('Data Entry'!C8/'Data Entry'!C$6)), 0)</f>
        <v>8.695652173913043</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7.6530612244897958</v>
      </c>
      <c r="D6" s="1">
        <f>IF((D$3&gt;0),(1000*('Data Entry'!C9/'Data Entry'!C$6)), 0)</f>
        <v>8.695652173913043</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7.6530612244897958</v>
      </c>
      <c r="D8" s="1">
        <f>IF((D$3&gt;0),(1000*('Data Entry'!C11/'Data Entry'!C$6)), 0)</f>
        <v>8.695652173913043</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Ontonagon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Ontonagon</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345</v>
      </c>
      <c r="D7" s="104">
        <f>'Data Entry'!D6</f>
        <v>8</v>
      </c>
      <c r="E7" s="105"/>
      <c r="F7" s="106">
        <f>'Data Entry'!E6</f>
        <v>19</v>
      </c>
      <c r="G7" s="105"/>
      <c r="H7" s="106">
        <f>'Data Entry'!F6</f>
        <v>9</v>
      </c>
      <c r="I7" s="105"/>
      <c r="J7" s="106">
        <f>'Data Entry'!G6</f>
        <v>0</v>
      </c>
      <c r="K7" s="105"/>
      <c r="L7" s="106">
        <f>'Data Entry'!H6</f>
        <v>11</v>
      </c>
      <c r="M7" s="105"/>
      <c r="N7" s="106">
        <f>'Data Entry'!I6</f>
        <v>0</v>
      </c>
      <c r="O7" s="105"/>
      <c r="P7" s="106">
        <f>'Data Entry'!J6</f>
        <v>47</v>
      </c>
      <c r="Q7" s="107"/>
    </row>
    <row r="8" spans="2:26" s="1" customFormat="1" ht="15" customHeight="1">
      <c r="B8" s="142" t="s">
        <v>8</v>
      </c>
      <c r="C8" s="103">
        <f>'Data Entry'!C7</f>
        <v>1</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40</v>
      </c>
      <c r="W8" s="1" t="e">
        <f>Hawaiian!L7</f>
        <v>#VALUE!</v>
      </c>
      <c r="X8" s="1">
        <f>'Am Indian'!L7</f>
        <v>40</v>
      </c>
      <c r="Y8" s="1" t="e">
        <f>'Other - Mixed'!L7</f>
        <v>#VALUE!</v>
      </c>
      <c r="Z8" s="1">
        <f>'All Minorities'!L7</f>
        <v>40</v>
      </c>
    </row>
    <row r="9" spans="2:26" s="1" customFormat="1" ht="15" customHeight="1">
      <c r="B9" s="142" t="s">
        <v>134</v>
      </c>
      <c r="C9" s="103">
        <f>'Data Entry'!C8</f>
        <v>3</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f>'Black or African-American'!L8</f>
        <v>40</v>
      </c>
      <c r="U9" s="1">
        <f>Hispanic!L8</f>
        <v>40</v>
      </c>
      <c r="V9" s="1">
        <f>Asian!L8</f>
        <v>40</v>
      </c>
      <c r="W9" s="1">
        <f>Hawaiian!L8</f>
        <v>139</v>
      </c>
      <c r="X9" s="1">
        <f>'Am Indian'!L8</f>
        <v>40</v>
      </c>
      <c r="Y9" s="1">
        <f>'Other - Mixed'!L8</f>
        <v>139</v>
      </c>
      <c r="Z9" s="1">
        <f>'All Minorities'!L8</f>
        <v>40</v>
      </c>
    </row>
    <row r="10" spans="2:26" s="1" customFormat="1" ht="15" customHeight="1">
      <c r="B10" s="142" t="s">
        <v>10</v>
      </c>
      <c r="C10" s="103">
        <f>'Data Entry'!C9</f>
        <v>3</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3</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topLeftCell="A4" workbookViewId="0">
      <selection activeCell="A6" sqref="A6"/>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Ontonagon</v>
      </c>
    </row>
    <row r="6" spans="1:12">
      <c r="A6" s="135" t="str">
        <f>CONCATENATE("Percentage of Minorities at Stages of the Juvenile Justice System, ", A5, " 2024")</f>
        <v>Percentage of Minorities at Stages of the Juvenile Justice System, County: Ontonagon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7.3404255319148932</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7.3404255319148932</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7.3404255319148932</v>
      </c>
    </row>
    <row r="10" spans="1:12">
      <c r="A10" s="128" t="str">
        <f>CONCATENATE("Petitions, total N=", 'Data Entry'!B11)</f>
        <v>Petitions, total N=3</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1</v>
      </c>
      <c r="K10" s="96" t="str">
        <f t="shared" si="0"/>
        <v>Petitions, total N=3</v>
      </c>
      <c r="L10">
        <f>I14/(SUM(B14:G14))</f>
        <v>7.3404255319148932</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7.3404255319148932</v>
      </c>
    </row>
    <row r="12" spans="1:12">
      <c r="A12" s="128" t="str">
        <f>CONCATENATE("Referrals, total N=", 'Data Entry'!B8)</f>
        <v>Referrals, total N=3</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1</v>
      </c>
      <c r="K12" s="96" t="str">
        <f t="shared" si="0"/>
        <v>Referrals, total N=3</v>
      </c>
      <c r="L12">
        <f>I14/(SUM(B14:G14))</f>
        <v>7.3404255319148932</v>
      </c>
    </row>
    <row r="13" spans="1:12">
      <c r="A13" s="128" t="str">
        <f>CONCATENATE("Arrests, total N=", 'Data Entry'!B7)</f>
        <v>Arrests, total N=1</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1</v>
      </c>
      <c r="K13" s="96" t="str">
        <f t="shared" si="0"/>
        <v>Arrests, total N=1</v>
      </c>
      <c r="L13">
        <f>I14/(SUM(B14:G14))</f>
        <v>7.3404255319148932</v>
      </c>
    </row>
    <row r="14" spans="1:12">
      <c r="A14" s="128" t="str">
        <f>CONCATENATE("Population, total N=", 'Data Entry'!B6)</f>
        <v>Population, total N=392</v>
      </c>
      <c r="B14" s="150">
        <f>'Data Entry'!D6/'Data Entry'!B6</f>
        <v>2.0408163265306121E-2</v>
      </c>
      <c r="C14" s="150">
        <f>'Data Entry'!E6/'Data Entry'!B6</f>
        <v>4.8469387755102039E-2</v>
      </c>
      <c r="D14" s="150">
        <f>'Data Entry'!F6/'Data Entry'!B6</f>
        <v>2.2959183673469389E-2</v>
      </c>
      <c r="E14" s="150">
        <f>'Data Entry'!G6/'Data Entry'!B6</f>
        <v>0</v>
      </c>
      <c r="F14" s="150">
        <f>'Data Entry'!H6/'Data Entry'!B6</f>
        <v>2.8061224489795918E-2</v>
      </c>
      <c r="G14" s="150">
        <f>'Data Entry'!I6/'Data Entry'!B6</f>
        <v>0</v>
      </c>
      <c r="H14" s="150">
        <f>SUM(D14:G14)/'Data Entry'!B6</f>
        <v>1.3015410245730946E-4</v>
      </c>
      <c r="I14" s="150">
        <f>'Data Entry'!C6/'Data Entry'!B6</f>
        <v>0.88010204081632648</v>
      </c>
      <c r="K14" s="96" t="str">
        <f t="shared" si="0"/>
        <v>Population, total N=392</v>
      </c>
      <c r="L14">
        <f>I14/(SUM(B14:G14))</f>
        <v>7.3404255319148932</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Ontonagon</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345</v>
      </c>
      <c r="D7" s="104">
        <f>'Data Entry'!D6</f>
        <v>8</v>
      </c>
      <c r="E7" s="105"/>
      <c r="F7" s="106">
        <f>'Data Entry'!E6</f>
        <v>19</v>
      </c>
      <c r="G7" s="105"/>
      <c r="H7" s="106">
        <f>'Data Entry'!F6</f>
        <v>9</v>
      </c>
      <c r="I7" s="105"/>
      <c r="J7" s="106">
        <f>'Data Entry'!J6</f>
        <v>47</v>
      </c>
      <c r="K7" s="107"/>
    </row>
    <row r="8" spans="2:30" s="1" customFormat="1" ht="15" customHeight="1">
      <c r="B8" s="121" t="s">
        <v>8</v>
      </c>
      <c r="C8" s="103">
        <f>'Data Entry'!C7</f>
        <v>1</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40</v>
      </c>
      <c r="Q8" s="1" t="e">
        <f>Hawaiian!L7</f>
        <v>#VALUE!</v>
      </c>
      <c r="R8" s="1">
        <f>'Am Indian'!L7</f>
        <v>40</v>
      </c>
      <c r="S8" s="1" t="e">
        <f>'Other - Mixed'!L7</f>
        <v>#VALUE!</v>
      </c>
      <c r="T8" s="1">
        <f>'All Minorities'!L7</f>
        <v>40</v>
      </c>
    </row>
    <row r="9" spans="2:30" s="1" customFormat="1" ht="15" customHeight="1">
      <c r="B9" s="121" t="s">
        <v>134</v>
      </c>
      <c r="C9" s="103">
        <f>'Data Entry'!C8</f>
        <v>3</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f>'Black or African-American'!L8</f>
        <v>40</v>
      </c>
      <c r="O9" s="1">
        <f>Hispanic!L8</f>
        <v>40</v>
      </c>
      <c r="P9" s="1">
        <f>Asian!L8</f>
        <v>40</v>
      </c>
      <c r="Q9" s="1">
        <f>Hawaiian!L8</f>
        <v>139</v>
      </c>
      <c r="R9" s="1">
        <f>'Am Indian'!L8</f>
        <v>40</v>
      </c>
      <c r="S9" s="1">
        <f>'Other - Mixed'!L8</f>
        <v>139</v>
      </c>
      <c r="T9" s="1">
        <f>'All Minorities'!L8</f>
        <v>40</v>
      </c>
    </row>
    <row r="10" spans="2:30" s="1" customFormat="1" ht="15" customHeight="1">
      <c r="B10" s="121" t="s">
        <v>10</v>
      </c>
      <c r="C10" s="103">
        <f>'Data Entry'!C9</f>
        <v>3</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3</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Ontonagon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345</v>
      </c>
      <c r="D6" s="34"/>
      <c r="E6" s="33">
        <f>'Data Entry'!D6</f>
        <v>8</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2.8985507246376816</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8</v>
      </c>
      <c r="P7" s="42">
        <f t="shared" ref="P7:P15" si="2">C7</f>
        <v>1</v>
      </c>
      <c r="Q7" s="42">
        <f>C6-C7</f>
        <v>344</v>
      </c>
      <c r="R7" s="42">
        <f t="shared" ref="R7:R15" si="3">SUM(N7:Q7)</f>
        <v>353</v>
      </c>
      <c r="S7" s="30">
        <f t="shared" ref="S7:S15" si="4">R7*((((N7*Q7)-(O7*P7))^2))</f>
        <v>22592</v>
      </c>
      <c r="T7" s="30">
        <f t="shared" ref="T7:T15" si="5">(N7+O7)*(P7+Q7)*(N7+P7)*(O7+Q7)</f>
        <v>971520</v>
      </c>
      <c r="U7" s="31">
        <f t="shared" ref="U7:U15" si="6">IF((S7&gt;0),S7/T7,"- -")</f>
        <v>2.3254281949934123E-2</v>
      </c>
    </row>
    <row r="8" spans="2:21" ht="18" customHeight="1">
      <c r="B8" s="32" t="str">
        <f>'Data Entry'!A8</f>
        <v>3. Refer to Juvenile Court</v>
      </c>
      <c r="C8" s="33">
        <f>'Data Entry'!C8</f>
        <v>3</v>
      </c>
      <c r="D8" s="34">
        <f>IF((AND(C67&gt;0,C8&gt;0)),(C8/C67),0)</f>
        <v>300</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3</v>
      </c>
      <c r="Q8" s="42">
        <f>(C$67*L67)-C8</f>
        <v>-2</v>
      </c>
      <c r="R8" s="42">
        <f t="shared" si="3"/>
        <v>1.0499999999999998</v>
      </c>
      <c r="S8" s="30">
        <f t="shared" si="4"/>
        <v>2.3625000000000004E-2</v>
      </c>
      <c r="T8" s="30">
        <f t="shared" si="5"/>
        <v>-0.29250000000000004</v>
      </c>
      <c r="U8" s="31">
        <f t="shared" si="6"/>
        <v>-8.0769230769230774E-2</v>
      </c>
    </row>
    <row r="9" spans="2:21" ht="18" customHeight="1">
      <c r="B9" s="32" t="str">
        <f>'Data Entry'!A9</f>
        <v xml:space="preserve">4. Cases Diverted </v>
      </c>
      <c r="C9" s="33">
        <f>'Data Entry'!C9</f>
        <v>3</v>
      </c>
      <c r="D9" s="34">
        <f>IF((AND(C68&gt;0,C9&gt;0)),((C9/C68)),0)</f>
        <v>100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3</v>
      </c>
      <c r="Q9" s="42">
        <f>(C$68*L68)-C9</f>
        <v>0</v>
      </c>
      <c r="R9" s="42">
        <f t="shared" si="3"/>
        <v>3</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3</v>
      </c>
      <c r="R10" s="42">
        <f t="shared" si="3"/>
        <v>3</v>
      </c>
      <c r="S10" s="30">
        <f t="shared" si="4"/>
        <v>0</v>
      </c>
      <c r="T10" s="30">
        <f t="shared" si="5"/>
        <v>0</v>
      </c>
      <c r="U10" s="31" t="str">
        <f t="shared" si="6"/>
        <v>- -</v>
      </c>
    </row>
    <row r="11" spans="2:21" ht="18" customHeight="1">
      <c r="B11" s="32" t="str">
        <f>'Data Entry'!A11</f>
        <v>6. Cases Petitioned (Charge Filed)</v>
      </c>
      <c r="C11" s="33">
        <f>'Data Entry'!C11</f>
        <v>3</v>
      </c>
      <c r="D11" s="34">
        <f>IF(((AND(C68&gt;0,C11&gt;0))),(C11/(C68)),0)</f>
        <v>100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3</v>
      </c>
      <c r="Q11" s="42">
        <f>(C$68*L68)-C11</f>
        <v>0</v>
      </c>
      <c r="R11" s="42">
        <f t="shared" si="3"/>
        <v>3</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0</v>
      </c>
      <c r="Q12" s="42">
        <f>(C69*L69)-C12</f>
        <v>3</v>
      </c>
      <c r="R12" s="42">
        <f t="shared" si="3"/>
        <v>3</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3</v>
      </c>
      <c r="R13" s="42">
        <f t="shared" si="3"/>
        <v>3</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3</v>
      </c>
      <c r="R14" s="42">
        <f t="shared" si="3"/>
        <v>3</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3</v>
      </c>
      <c r="R15" s="42">
        <f t="shared" si="3"/>
        <v>3</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petitioned</v>
      </c>
      <c r="G33" s="52"/>
      <c r="H33" s="52"/>
      <c r="I33" s="52"/>
      <c r="J33" s="52"/>
      <c r="K33" s="52"/>
      <c r="L33" s="53"/>
      <c r="R33" s="49"/>
    </row>
    <row r="34" spans="2:18" ht="15" customHeight="1">
      <c r="B34" s="52" t="s">
        <v>77</v>
      </c>
      <c r="C34" s="52"/>
      <c r="D34" s="52"/>
      <c r="E34" s="52"/>
      <c r="F34" s="52" t="str">
        <f>B70</f>
        <v>per 100 youth petitioned</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0.34499999999999997</v>
      </c>
      <c r="D42" s="56">
        <f>E6/1000</f>
        <v>8.0000000000000002E-3</v>
      </c>
      <c r="E42" s="56">
        <f>MAX(C42:D42)</f>
        <v>0.34499999999999997</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0.03</v>
      </c>
      <c r="D44" s="56">
        <f>E8/100</f>
        <v>0</v>
      </c>
      <c r="E44" s="56">
        <f>MAX(C44:D44,0)</f>
        <v>0.03</v>
      </c>
      <c r="G44" s="1" t="str">
        <f>B44</f>
        <v>per 100 referrals</v>
      </c>
      <c r="L44" s="57">
        <v>100</v>
      </c>
      <c r="M44" s="57"/>
      <c r="R44" s="49"/>
    </row>
    <row r="45" spans="2:18" ht="15" hidden="1" customHeight="1">
      <c r="B45" s="49" t="s">
        <v>89</v>
      </c>
      <c r="C45" s="49">
        <f>C11/100</f>
        <v>0.03</v>
      </c>
      <c r="D45" s="49">
        <f>E11/100</f>
        <v>0</v>
      </c>
      <c r="E45" s="56">
        <f>MAX(C45:D45,0)</f>
        <v>0.03</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0.34499999999999997</v>
      </c>
      <c r="D48" s="56">
        <f>D42</f>
        <v>8.0000000000000002E-3</v>
      </c>
      <c r="E48" s="56">
        <f>MAX(C48:D48)</f>
        <v>0.34499999999999997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referrals</v>
      </c>
      <c r="C50" s="49">
        <f t="shared" si="9"/>
        <v>0.03</v>
      </c>
      <c r="D50" s="49">
        <f t="shared" si="9"/>
        <v>0</v>
      </c>
      <c r="E50" s="49">
        <f>MAX(C50:D50)</f>
        <v>0.03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v>
      </c>
      <c r="E51" s="49">
        <f>MAX(C51:D51)</f>
        <v>0.03</v>
      </c>
      <c r="G51" s="1" t="str">
        <f>G45</f>
        <v>per 100 youth petitioned</v>
      </c>
      <c r="L51" s="58">
        <f>IF(($E45&gt;0),L45,L44)</f>
        <v>100</v>
      </c>
      <c r="M51" s="58"/>
    </row>
    <row r="52" spans="2:18" ht="15" hidden="1" customHeight="1">
      <c r="B52" s="49" t="str">
        <f>IF(($E46&gt;0),B46,B45)</f>
        <v>per 100 youth petitioned</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0.34499999999999997</v>
      </c>
      <c r="D54" s="56">
        <f>D48</f>
        <v>8.0000000000000002E-3</v>
      </c>
      <c r="E54" s="56">
        <f>MAX(C54:D54)</f>
        <v>0.34499999999999997</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referrals</v>
      </c>
      <c r="C56" s="49">
        <f t="shared" si="10"/>
        <v>0.03</v>
      </c>
      <c r="D56" s="49">
        <f t="shared" si="10"/>
        <v>0</v>
      </c>
      <c r="E56" s="49">
        <f>MAX(C56:D56)</f>
        <v>0.03</v>
      </c>
      <c r="G56" s="1" t="str">
        <f>G50</f>
        <v>per 100 referrals</v>
      </c>
      <c r="L56" s="58">
        <f>IF(($E50&gt;0),L50,L49)</f>
        <v>100</v>
      </c>
      <c r="M56" s="58"/>
    </row>
    <row r="57" spans="2:18" ht="15" hidden="1" customHeight="1">
      <c r="B57" s="49" t="str">
        <f>IF(($E51&gt;0),B51,B49)</f>
        <v>per 100 youth petitioned</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youth petitioned</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0.34499999999999997</v>
      </c>
      <c r="D60" s="56">
        <f>D54</f>
        <v>8.0000000000000002E-3</v>
      </c>
      <c r="E60" s="56">
        <f>MAX(C60:D60)</f>
        <v>0.34499999999999997</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referrals</v>
      </c>
      <c r="C62" s="49">
        <f t="shared" si="11"/>
        <v>0.03</v>
      </c>
      <c r="D62" s="49">
        <f t="shared" si="11"/>
        <v>0</v>
      </c>
      <c r="E62" s="49">
        <f>MAX(C62:D62)</f>
        <v>0.03</v>
      </c>
      <c r="G62" s="1" t="str">
        <f>G56</f>
        <v>per 100 referrals</v>
      </c>
      <c r="L62" s="58">
        <f>IF(($E56&gt;0),L56,L55)</f>
        <v>100</v>
      </c>
      <c r="M62" s="58"/>
    </row>
    <row r="63" spans="2:18" ht="15" hidden="1" customHeight="1">
      <c r="B63" s="49" t="str">
        <f>IF(($E57&gt;0),B57,B55)</f>
        <v>per 100 youth petitioned</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youth petitioned</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0.34499999999999997</v>
      </c>
      <c r="D66" s="56">
        <f>D60</f>
        <v>8.0000000000000002E-3</v>
      </c>
      <c r="E66" s="56">
        <f>MAX(C66:D66)</f>
        <v>0.34499999999999997</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referrals</v>
      </c>
      <c r="C68" s="49">
        <f t="shared" si="12"/>
        <v>0.03</v>
      </c>
      <c r="D68" s="49">
        <f t="shared" si="12"/>
        <v>0</v>
      </c>
      <c r="E68" s="49">
        <f>MAX(C68:D68)</f>
        <v>0.03</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v>
      </c>
      <c r="E69" s="49">
        <f>MAX(C69:D69)</f>
        <v>0.03</v>
      </c>
      <c r="G69" s="1" t="str">
        <f>G63</f>
        <v>per 100 youth petitioned</v>
      </c>
      <c r="L69" s="58">
        <f>IF(($E63&gt;0),L63,L62)</f>
        <v>100</v>
      </c>
      <c r="M69" s="58">
        <f>IF((B69=G69),1,2)</f>
        <v>1</v>
      </c>
    </row>
    <row r="70" spans="2:13" ht="15" hidden="1" customHeight="1">
      <c r="B70" s="49" t="str">
        <f>IF(($E64&gt;0),B64,B63)</f>
        <v>per 100 youth petitioned</v>
      </c>
      <c r="C70" s="49">
        <f>IF(($E64&gt;0),C64,C63)</f>
        <v>0.03</v>
      </c>
      <c r="D70" s="49">
        <f>IF(($E64&gt;0),D64,D63)</f>
        <v>0</v>
      </c>
      <c r="E70" s="56">
        <f>MAX(C70:D70)</f>
        <v>0.03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Ontonagon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345</v>
      </c>
      <c r="D6" s="34"/>
      <c r="E6" s="33">
        <f>'Data Entry'!F6</f>
        <v>9</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2.8985507246376816</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9</v>
      </c>
      <c r="P7" s="42">
        <f t="shared" ref="P7:P15" si="4">C7</f>
        <v>1</v>
      </c>
      <c r="Q7" s="42">
        <f>C6-C7</f>
        <v>344</v>
      </c>
      <c r="R7" s="42">
        <f t="shared" ref="R7:R15" si="5">SUM(N7:Q7)</f>
        <v>354</v>
      </c>
      <c r="S7" s="30">
        <f t="shared" ref="S7:S15" si="6">R7*((((N7*Q7)-(O7*P7))^2))</f>
        <v>28674</v>
      </c>
      <c r="T7" s="30">
        <f t="shared" ref="T7:T15" si="7">(N7+O7)*(P7+Q7)*(N7+P7)*(O7+Q7)</f>
        <v>1096065</v>
      </c>
      <c r="U7" s="31">
        <f t="shared" ref="U7:U15" si="8">IF((S7&gt;0),S7/T7,"- -")</f>
        <v>2.6160857248429609E-2</v>
      </c>
    </row>
    <row r="8" spans="2:21" ht="18" customHeight="1">
      <c r="B8" s="32" t="str">
        <f>'Data Entry'!A8</f>
        <v>3. Refer to Juvenile Court</v>
      </c>
      <c r="C8" s="33">
        <f>'Data Entry'!C8</f>
        <v>3</v>
      </c>
      <c r="D8" s="34">
        <f>IF((AND(C67&gt;0,C8&gt;0)),(C8/C67),0)</f>
        <v>300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3</v>
      </c>
      <c r="Q8" s="42">
        <f>(C$67*L67)-C8</f>
        <v>-2</v>
      </c>
      <c r="R8" s="42">
        <f t="shared" si="5"/>
        <v>1.0499999999999998</v>
      </c>
      <c r="S8" s="30">
        <f t="shared" si="6"/>
        <v>2.3625000000000004E-2</v>
      </c>
      <c r="T8" s="30">
        <f t="shared" si="7"/>
        <v>-0.29250000000000004</v>
      </c>
      <c r="U8" s="31">
        <f t="shared" si="8"/>
        <v>-8.0769230769230774E-2</v>
      </c>
    </row>
    <row r="9" spans="2:21" ht="18" customHeight="1">
      <c r="B9" s="32" t="str">
        <f>'Data Entry'!A9</f>
        <v xml:space="preserve">4. Cases Diverted </v>
      </c>
      <c r="C9" s="33">
        <f>'Data Entry'!C9</f>
        <v>3</v>
      </c>
      <c r="D9" s="34">
        <f>IF((AND(C68&gt;0,C9&gt;0)),((C9/C68)),0)</f>
        <v>100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0</v>
      </c>
      <c r="R9" s="42">
        <f t="shared" si="5"/>
        <v>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v>
      </c>
      <c r="R10" s="42">
        <f t="shared" si="5"/>
        <v>3</v>
      </c>
      <c r="S10" s="30">
        <f t="shared" si="6"/>
        <v>0</v>
      </c>
      <c r="T10" s="30">
        <f t="shared" si="7"/>
        <v>0</v>
      </c>
      <c r="U10" s="31" t="str">
        <f t="shared" si="8"/>
        <v>- -</v>
      </c>
    </row>
    <row r="11" spans="2:21" ht="18" customHeight="1">
      <c r="B11" s="32" t="str">
        <f>'Data Entry'!A11</f>
        <v>6. Cases Petitioned (Charge Filed)</v>
      </c>
      <c r="C11" s="33">
        <f>'Data Entry'!C11</f>
        <v>3</v>
      </c>
      <c r="D11" s="34">
        <f>IF(((AND(C68&gt;0,C11&gt;0))),(C11/(C68)),0)</f>
        <v>100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v>
      </c>
      <c r="Q11" s="42">
        <f>(C$68*L68)-C11</f>
        <v>0</v>
      </c>
      <c r="R11" s="42">
        <f t="shared" si="5"/>
        <v>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v>
      </c>
      <c r="R12" s="42">
        <f t="shared" si="5"/>
        <v>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petitioned</v>
      </c>
      <c r="G33" s="52"/>
      <c r="H33" s="52"/>
      <c r="I33" s="52"/>
      <c r="J33" s="52"/>
      <c r="K33" s="52"/>
      <c r="L33" s="53"/>
      <c r="R33" s="49"/>
    </row>
    <row r="34" spans="2:18" ht="15" customHeight="1">
      <c r="B34" s="52" t="s">
        <v>77</v>
      </c>
      <c r="C34" s="52"/>
      <c r="D34" s="52"/>
      <c r="E34" s="52"/>
      <c r="F34" s="52" t="str">
        <f>B70</f>
        <v>per 100 youth petitioned</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0.34499999999999997</v>
      </c>
      <c r="D42" s="56">
        <f>E6/1000</f>
        <v>8.9999999999999993E-3</v>
      </c>
      <c r="E42" s="56">
        <f>MAX(C42:D42)</f>
        <v>0.34499999999999997</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0.03</v>
      </c>
      <c r="D44" s="56">
        <f>E8/100</f>
        <v>0</v>
      </c>
      <c r="E44" s="56">
        <f>MAX(C44:D44,0)</f>
        <v>0.03</v>
      </c>
      <c r="G44" s="1" t="str">
        <f>B44</f>
        <v>per 100 referrals</v>
      </c>
      <c r="L44" s="57">
        <v>100</v>
      </c>
      <c r="M44" s="57"/>
      <c r="R44" s="49"/>
    </row>
    <row r="45" spans="2:18" ht="15" hidden="1" customHeight="1">
      <c r="B45" s="49" t="s">
        <v>89</v>
      </c>
      <c r="C45" s="49">
        <f>C11/100</f>
        <v>0.03</v>
      </c>
      <c r="D45" s="49">
        <f>E11/100</f>
        <v>0</v>
      </c>
      <c r="E45" s="56">
        <f>MAX(C45:D45,0)</f>
        <v>0.03</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0.34499999999999997</v>
      </c>
      <c r="D48" s="56">
        <f>D42</f>
        <v>8.9999999999999993E-3</v>
      </c>
      <c r="E48" s="56">
        <f>MAX(C48:D48)</f>
        <v>0.34499999999999997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referrals</v>
      </c>
      <c r="C50" s="49">
        <f t="shared" si="9"/>
        <v>0.03</v>
      </c>
      <c r="D50" s="49">
        <f t="shared" si="9"/>
        <v>0</v>
      </c>
      <c r="E50" s="49">
        <f>MAX(C50:D50)</f>
        <v>0.03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v>
      </c>
      <c r="E51" s="49">
        <f>MAX(C51:D51)</f>
        <v>0.03</v>
      </c>
      <c r="G51" s="1" t="str">
        <f>G45</f>
        <v>per 100 youth petitioned</v>
      </c>
      <c r="L51" s="58">
        <f>IF(($E45&gt;0),L45,L44)</f>
        <v>100</v>
      </c>
      <c r="M51" s="58"/>
    </row>
    <row r="52" spans="2:18" ht="15" hidden="1" customHeight="1">
      <c r="B52" s="49" t="str">
        <f>IF(($E46&gt;0),B46,B45)</f>
        <v>per 100 youth petitioned</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0.34499999999999997</v>
      </c>
      <c r="D54" s="56">
        <f>D48</f>
        <v>8.9999999999999993E-3</v>
      </c>
      <c r="E54" s="56">
        <f>MAX(C54:D54)</f>
        <v>0.34499999999999997</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referrals</v>
      </c>
      <c r="C56" s="49">
        <f t="shared" si="10"/>
        <v>0.03</v>
      </c>
      <c r="D56" s="49">
        <f t="shared" si="10"/>
        <v>0</v>
      </c>
      <c r="E56" s="49">
        <f>MAX(C56:D56)</f>
        <v>0.03</v>
      </c>
      <c r="G56" s="1" t="str">
        <f>G50</f>
        <v>per 100 referrals</v>
      </c>
      <c r="L56" s="58">
        <f>IF(($E50&gt;0),L50,L49)</f>
        <v>100</v>
      </c>
      <c r="M56" s="58"/>
    </row>
    <row r="57" spans="2:18" ht="15" hidden="1" customHeight="1">
      <c r="B57" s="49" t="str">
        <f>IF(($E51&gt;0),B51,B49)</f>
        <v>per 100 youth petitioned</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youth petitioned</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0.34499999999999997</v>
      </c>
      <c r="D60" s="56">
        <f>D54</f>
        <v>8.9999999999999993E-3</v>
      </c>
      <c r="E60" s="56">
        <f>MAX(C60:D60)</f>
        <v>0.34499999999999997</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referrals</v>
      </c>
      <c r="C62" s="49">
        <f t="shared" si="11"/>
        <v>0.03</v>
      </c>
      <c r="D62" s="49">
        <f t="shared" si="11"/>
        <v>0</v>
      </c>
      <c r="E62" s="49">
        <f>MAX(C62:D62)</f>
        <v>0.03</v>
      </c>
      <c r="G62" s="1" t="str">
        <f>G56</f>
        <v>per 100 referrals</v>
      </c>
      <c r="L62" s="58">
        <f>IF(($E56&gt;0),L56,L55)</f>
        <v>100</v>
      </c>
      <c r="M62" s="58"/>
    </row>
    <row r="63" spans="2:18" ht="15" hidden="1" customHeight="1">
      <c r="B63" s="49" t="str">
        <f>IF(($E57&gt;0),B57,B55)</f>
        <v>per 100 youth petitioned</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youth petitioned</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0.34499999999999997</v>
      </c>
      <c r="D66" s="56">
        <f>D60</f>
        <v>8.9999999999999993E-3</v>
      </c>
      <c r="E66" s="56">
        <f>MAX(C66:D66)</f>
        <v>0.34499999999999997</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referrals</v>
      </c>
      <c r="C68" s="49">
        <f t="shared" si="12"/>
        <v>0.03</v>
      </c>
      <c r="D68" s="49">
        <f t="shared" si="12"/>
        <v>0</v>
      </c>
      <c r="E68" s="49">
        <f>MAX(C68:D68)</f>
        <v>0.03</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v>
      </c>
      <c r="E69" s="49">
        <f>MAX(C69:D69)</f>
        <v>0.03</v>
      </c>
      <c r="G69" s="1" t="str">
        <f>G63</f>
        <v>per 100 youth petitioned</v>
      </c>
      <c r="L69" s="58">
        <f>IF(($E63&gt;0),L63,L62)</f>
        <v>100</v>
      </c>
      <c r="M69" s="58">
        <f>IF((B69=G69),1,2)</f>
        <v>1</v>
      </c>
    </row>
    <row r="70" spans="2:13" ht="15" hidden="1" customHeight="1">
      <c r="B70" s="49" t="str">
        <f>IF(($E64&gt;0),B64,B63)</f>
        <v>per 100 youth petitioned</v>
      </c>
      <c r="C70" s="49">
        <f>IF(($E64&gt;0),C64,C63)</f>
        <v>0.03</v>
      </c>
      <c r="D70" s="49">
        <f>IF(($E64&gt;0),D64,D63)</f>
        <v>0</v>
      </c>
      <c r="E70" s="56">
        <f>MAX(C70:D70)</f>
        <v>0.03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Ontonagon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345</v>
      </c>
      <c r="D6" s="34"/>
      <c r="E6" s="33">
        <f>'Data Entry'!E6</f>
        <v>19</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2.8985507246376816</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19</v>
      </c>
      <c r="P7" s="42">
        <f t="shared" ref="P7:P15" si="4">C7</f>
        <v>1</v>
      </c>
      <c r="Q7" s="42">
        <f>C6-C7</f>
        <v>344</v>
      </c>
      <c r="R7" s="42">
        <f t="shared" ref="R7:R15" si="5">SUM(N7:Q7)</f>
        <v>364</v>
      </c>
      <c r="S7" s="30">
        <f t="shared" ref="S7:S15" si="6">R7*((((N7*Q7)-(O7*P7))^2))</f>
        <v>131404</v>
      </c>
      <c r="T7" s="30">
        <f t="shared" ref="T7:T15" si="7">(N7+O7)*(P7+Q7)*(N7+P7)*(O7+Q7)</f>
        <v>2379465</v>
      </c>
      <c r="U7" s="31">
        <f t="shared" ref="U7:U15" si="8">IF((S7&gt;0),S7/T7,"- -")</f>
        <v>5.5224178544336644E-2</v>
      </c>
    </row>
    <row r="8" spans="2:21" ht="18" customHeight="1">
      <c r="B8" s="32" t="str">
        <f>'Data Entry'!A8</f>
        <v>3. Refer to Juvenile Court</v>
      </c>
      <c r="C8" s="33">
        <f>'Data Entry'!C8</f>
        <v>3</v>
      </c>
      <c r="D8" s="34">
        <f>IF((AND(C67&gt;0,C8&gt;0)),(C8/C67),0)</f>
        <v>300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3</v>
      </c>
      <c r="Q8" s="42">
        <f>(C$67*L67)-C8</f>
        <v>-2</v>
      </c>
      <c r="R8" s="42">
        <f t="shared" si="5"/>
        <v>1.0499999999999998</v>
      </c>
      <c r="S8" s="30">
        <f t="shared" si="6"/>
        <v>2.3625000000000004E-2</v>
      </c>
      <c r="T8" s="30">
        <f t="shared" si="7"/>
        <v>-0.29250000000000004</v>
      </c>
      <c r="U8" s="31">
        <f t="shared" si="8"/>
        <v>-8.0769230769230774E-2</v>
      </c>
    </row>
    <row r="9" spans="2:21" ht="18" customHeight="1">
      <c r="B9" s="32" t="str">
        <f>'Data Entry'!A9</f>
        <v xml:space="preserve">4. Cases Diverted </v>
      </c>
      <c r="C9" s="33">
        <f>'Data Entry'!C9</f>
        <v>3</v>
      </c>
      <c r="D9" s="34">
        <f>IF((AND(C68&gt;0,C9&gt;0)),((C9/C68)),0)</f>
        <v>100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0</v>
      </c>
      <c r="R9" s="42">
        <f t="shared" si="5"/>
        <v>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v>
      </c>
      <c r="R10" s="42">
        <f t="shared" si="5"/>
        <v>3</v>
      </c>
      <c r="S10" s="30">
        <f t="shared" si="6"/>
        <v>0</v>
      </c>
      <c r="T10" s="30">
        <f t="shared" si="7"/>
        <v>0</v>
      </c>
      <c r="U10" s="31" t="str">
        <f t="shared" si="8"/>
        <v>- -</v>
      </c>
    </row>
    <row r="11" spans="2:21" ht="18" customHeight="1">
      <c r="B11" s="32" t="str">
        <f>'Data Entry'!A11</f>
        <v>6. Cases Petitioned (Charge Filed)</v>
      </c>
      <c r="C11" s="33">
        <f>'Data Entry'!C11</f>
        <v>3</v>
      </c>
      <c r="D11" s="34">
        <f>IF(((AND(C68&gt;0,C11&gt;0))),(C11/(C68)),0)</f>
        <v>100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v>
      </c>
      <c r="Q11" s="42">
        <f>(C$68*L68)-C11</f>
        <v>0</v>
      </c>
      <c r="R11" s="42">
        <f t="shared" si="5"/>
        <v>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v>
      </c>
      <c r="R12" s="42">
        <f t="shared" si="5"/>
        <v>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petitioned</v>
      </c>
      <c r="G33" s="52"/>
      <c r="H33" s="52"/>
      <c r="I33" s="52"/>
      <c r="J33" s="52"/>
      <c r="K33" s="52"/>
      <c r="L33" s="53"/>
      <c r="R33" s="49"/>
    </row>
    <row r="34" spans="2:18" ht="15" customHeight="1">
      <c r="B34" s="52" t="s">
        <v>77</v>
      </c>
      <c r="C34" s="52"/>
      <c r="D34" s="52"/>
      <c r="E34" s="52"/>
      <c r="F34" s="52" t="str">
        <f>B70</f>
        <v>per 100 youth petitioned</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0.34499999999999997</v>
      </c>
      <c r="D42" s="56">
        <f>E6/1000</f>
        <v>1.9E-2</v>
      </c>
      <c r="E42" s="56">
        <f>MAX(C42:D42)</f>
        <v>0.34499999999999997</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0.03</v>
      </c>
      <c r="D44" s="56">
        <f>E8/100</f>
        <v>0</v>
      </c>
      <c r="E44" s="56">
        <f>MAX(C44:D44,0)</f>
        <v>0.03</v>
      </c>
      <c r="G44" s="1" t="str">
        <f>B44</f>
        <v>per 100 referrals</v>
      </c>
      <c r="L44" s="57">
        <v>100</v>
      </c>
      <c r="M44" s="57"/>
      <c r="R44" s="49"/>
    </row>
    <row r="45" spans="2:18" ht="15" hidden="1" customHeight="1">
      <c r="B45" s="49" t="s">
        <v>89</v>
      </c>
      <c r="C45" s="49">
        <f>C11/100</f>
        <v>0.03</v>
      </c>
      <c r="D45" s="49">
        <f>E11/100</f>
        <v>0</v>
      </c>
      <c r="E45" s="56">
        <f>MAX(C45:D45,0)</f>
        <v>0.03</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0.34499999999999997</v>
      </c>
      <c r="D48" s="56">
        <f>D42</f>
        <v>1.9E-2</v>
      </c>
      <c r="E48" s="56">
        <f>MAX(C48:D48)</f>
        <v>0.34499999999999997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referrals</v>
      </c>
      <c r="C50" s="49">
        <f t="shared" si="9"/>
        <v>0.03</v>
      </c>
      <c r="D50" s="49">
        <f t="shared" si="9"/>
        <v>0</v>
      </c>
      <c r="E50" s="49">
        <f>MAX(C50:D50)</f>
        <v>0.03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v>
      </c>
      <c r="E51" s="49">
        <f>MAX(C51:D51)</f>
        <v>0.03</v>
      </c>
      <c r="G51" s="1" t="str">
        <f>G45</f>
        <v>per 100 youth petitioned</v>
      </c>
      <c r="L51" s="58">
        <f>IF(($E45&gt;0),L45,L44)</f>
        <v>100</v>
      </c>
      <c r="M51" s="58"/>
    </row>
    <row r="52" spans="2:18" ht="15" hidden="1" customHeight="1">
      <c r="B52" s="49" t="str">
        <f>IF(($E46&gt;0),B46,B45)</f>
        <v>per 100 youth petitioned</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0.34499999999999997</v>
      </c>
      <c r="D54" s="56">
        <f>D48</f>
        <v>1.9E-2</v>
      </c>
      <c r="E54" s="56">
        <f>MAX(C54:D54)</f>
        <v>0.34499999999999997</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referrals</v>
      </c>
      <c r="C56" s="49">
        <f t="shared" si="10"/>
        <v>0.03</v>
      </c>
      <c r="D56" s="49">
        <f t="shared" si="10"/>
        <v>0</v>
      </c>
      <c r="E56" s="49">
        <f>MAX(C56:D56)</f>
        <v>0.03</v>
      </c>
      <c r="G56" s="1" t="str">
        <f>G50</f>
        <v>per 100 referrals</v>
      </c>
      <c r="L56" s="58">
        <f>IF(($E50&gt;0),L50,L49)</f>
        <v>100</v>
      </c>
      <c r="M56" s="58"/>
    </row>
    <row r="57" spans="2:18" ht="15" hidden="1" customHeight="1">
      <c r="B57" s="49" t="str">
        <f>IF(($E51&gt;0),B51,B49)</f>
        <v>per 100 youth petitioned</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youth petitioned</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0.34499999999999997</v>
      </c>
      <c r="D60" s="56">
        <f>D54</f>
        <v>1.9E-2</v>
      </c>
      <c r="E60" s="56">
        <f>MAX(C60:D60)</f>
        <v>0.34499999999999997</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referrals</v>
      </c>
      <c r="C62" s="49">
        <f t="shared" si="11"/>
        <v>0.03</v>
      </c>
      <c r="D62" s="49">
        <f t="shared" si="11"/>
        <v>0</v>
      </c>
      <c r="E62" s="49">
        <f>MAX(C62:D62)</f>
        <v>0.03</v>
      </c>
      <c r="G62" s="1" t="str">
        <f>G56</f>
        <v>per 100 referrals</v>
      </c>
      <c r="L62" s="58">
        <f>IF(($E56&gt;0),L56,L55)</f>
        <v>100</v>
      </c>
      <c r="M62" s="58"/>
    </row>
    <row r="63" spans="2:18" ht="15" hidden="1" customHeight="1">
      <c r="B63" s="49" t="str">
        <f>IF(($E57&gt;0),B57,B55)</f>
        <v>per 100 youth petitioned</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youth petitioned</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0.34499999999999997</v>
      </c>
      <c r="D66" s="56">
        <f>D60</f>
        <v>1.9E-2</v>
      </c>
      <c r="E66" s="56">
        <f>MAX(C66:D66)</f>
        <v>0.34499999999999997</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referrals</v>
      </c>
      <c r="C68" s="49">
        <f t="shared" si="12"/>
        <v>0.03</v>
      </c>
      <c r="D68" s="49">
        <f t="shared" si="12"/>
        <v>0</v>
      </c>
      <c r="E68" s="49">
        <f>MAX(C68:D68)</f>
        <v>0.03</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v>
      </c>
      <c r="E69" s="49">
        <f>MAX(C69:D69)</f>
        <v>0.03</v>
      </c>
      <c r="G69" s="1" t="str">
        <f>G63</f>
        <v>per 100 youth petitioned</v>
      </c>
      <c r="L69" s="58">
        <f>IF(($E63&gt;0),L63,L62)</f>
        <v>100</v>
      </c>
      <c r="M69" s="58">
        <f>IF((B69=G69),1,2)</f>
        <v>1</v>
      </c>
    </row>
    <row r="70" spans="2:13" ht="15" hidden="1" customHeight="1">
      <c r="B70" s="49" t="str">
        <f>IF(($E64&gt;0),B64,B63)</f>
        <v>per 100 youth petitioned</v>
      </c>
      <c r="C70" s="49">
        <f>IF(($E64&gt;0),C64,C63)</f>
        <v>0.03</v>
      </c>
      <c r="D70" s="49">
        <f>IF(($E64&gt;0),D64,D63)</f>
        <v>0</v>
      </c>
      <c r="E70" s="56">
        <f>MAX(C70:D70)</f>
        <v>0.03</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Ontonagon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345</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2.8985507246376816</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v>
      </c>
      <c r="Q7" s="42">
        <f>C6-C7</f>
        <v>344</v>
      </c>
      <c r="R7" s="42">
        <f t="shared" ref="R7:R15" si="5">SUM(N7:Q7)</f>
        <v>345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3</v>
      </c>
      <c r="D8" s="34">
        <f>IF((AND(C67&gt;0,C8&gt;0)),(C8/C67),0)</f>
        <v>300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v>
      </c>
      <c r="Q8" s="42">
        <f>(C$67*L67)-C8</f>
        <v>-2</v>
      </c>
      <c r="R8" s="42">
        <f t="shared" si="5"/>
        <v>1.0499999999999998</v>
      </c>
      <c r="S8" s="30">
        <f t="shared" si="6"/>
        <v>2.3625000000000004E-2</v>
      </c>
      <c r="T8" s="30">
        <f t="shared" si="7"/>
        <v>-0.29250000000000004</v>
      </c>
      <c r="U8" s="31">
        <f t="shared" si="8"/>
        <v>-8.0769230769230774E-2</v>
      </c>
    </row>
    <row r="9" spans="2:21" ht="18" customHeight="1">
      <c r="B9" s="32" t="str">
        <f>'Data Entry'!A9</f>
        <v xml:space="preserve">4. Cases Diverted </v>
      </c>
      <c r="C9" s="33">
        <f>'Data Entry'!C9</f>
        <v>3</v>
      </c>
      <c r="D9" s="34">
        <f>IF((AND(C68&gt;0,C9&gt;0)),((C9/C68)),0)</f>
        <v>100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0</v>
      </c>
      <c r="R9" s="42">
        <f t="shared" si="5"/>
        <v>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v>
      </c>
      <c r="R10" s="42">
        <f t="shared" si="5"/>
        <v>3</v>
      </c>
      <c r="S10" s="30">
        <f t="shared" si="6"/>
        <v>0</v>
      </c>
      <c r="T10" s="30">
        <f t="shared" si="7"/>
        <v>0</v>
      </c>
      <c r="U10" s="31" t="str">
        <f t="shared" si="8"/>
        <v>- -</v>
      </c>
    </row>
    <row r="11" spans="2:21" ht="18" customHeight="1">
      <c r="B11" s="32" t="str">
        <f>'Data Entry'!A11</f>
        <v>6. Cases Petitioned (Charge Filed)</v>
      </c>
      <c r="C11" s="33">
        <f>'Data Entry'!C11</f>
        <v>3</v>
      </c>
      <c r="D11" s="34">
        <f>IF(((AND(C68&gt;0,C11&gt;0))),(C11/(C68)),0)</f>
        <v>100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v>
      </c>
      <c r="Q11" s="42">
        <f>(C$68*L68)-C11</f>
        <v>0</v>
      </c>
      <c r="R11" s="42">
        <f t="shared" si="5"/>
        <v>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v>
      </c>
      <c r="R12" s="42">
        <f t="shared" si="5"/>
        <v>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petitioned</v>
      </c>
      <c r="G33" s="52"/>
      <c r="H33" s="52"/>
      <c r="I33" s="52"/>
      <c r="J33" s="52"/>
      <c r="K33" s="52"/>
      <c r="L33" s="53"/>
      <c r="R33" s="49"/>
    </row>
    <row r="34" spans="2:18" ht="15" customHeight="1">
      <c r="B34" s="52" t="s">
        <v>77</v>
      </c>
      <c r="C34" s="52"/>
      <c r="D34" s="52"/>
      <c r="E34" s="52"/>
      <c r="F34" s="52" t="str">
        <f>B70</f>
        <v>per 100 youth petitioned</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0.34499999999999997</v>
      </c>
      <c r="D42" s="56">
        <f>E6/1000</f>
        <v>0</v>
      </c>
      <c r="E42" s="56">
        <f>MAX(C42:D42)</f>
        <v>0.34499999999999997</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0.03</v>
      </c>
      <c r="D44" s="56">
        <f>E8/100</f>
        <v>0</v>
      </c>
      <c r="E44" s="56">
        <f>MAX(C44:D44,0)</f>
        <v>0.03</v>
      </c>
      <c r="G44" s="1" t="str">
        <f>B44</f>
        <v>per 100 referrals</v>
      </c>
      <c r="L44" s="57">
        <v>100</v>
      </c>
      <c r="M44" s="57"/>
      <c r="R44" s="49"/>
    </row>
    <row r="45" spans="2:18" ht="15" hidden="1" customHeight="1">
      <c r="B45" s="49" t="s">
        <v>89</v>
      </c>
      <c r="C45" s="49">
        <f>C11/100</f>
        <v>0.03</v>
      </c>
      <c r="D45" s="49">
        <f>E11/100</f>
        <v>0</v>
      </c>
      <c r="E45" s="56">
        <f>MAX(C45:D45,0)</f>
        <v>0.03</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0.34499999999999997</v>
      </c>
      <c r="D48" s="56">
        <f>D42</f>
        <v>0</v>
      </c>
      <c r="E48" s="56">
        <f>MAX(C48:D48)</f>
        <v>0.34499999999999997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referrals</v>
      </c>
      <c r="C50" s="49">
        <f t="shared" si="9"/>
        <v>0.03</v>
      </c>
      <c r="D50" s="49">
        <f t="shared" si="9"/>
        <v>0</v>
      </c>
      <c r="E50" s="49">
        <f>MAX(C50:D50)</f>
        <v>0.03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v>
      </c>
      <c r="E51" s="49">
        <f>MAX(C51:D51)</f>
        <v>0.03</v>
      </c>
      <c r="G51" s="1" t="str">
        <f>G45</f>
        <v>per 100 youth petitioned</v>
      </c>
      <c r="L51" s="58">
        <f>IF(($E45&gt;0),L45,L44)</f>
        <v>100</v>
      </c>
      <c r="M51" s="58"/>
    </row>
    <row r="52" spans="2:18" ht="15" hidden="1" customHeight="1">
      <c r="B52" s="49" t="str">
        <f>IF(($E46&gt;0),B46,B45)</f>
        <v>per 100 youth petitioned</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0.34499999999999997</v>
      </c>
      <c r="D54" s="56">
        <f>D48</f>
        <v>0</v>
      </c>
      <c r="E54" s="56">
        <f>MAX(C54:D54)</f>
        <v>0.34499999999999997</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referrals</v>
      </c>
      <c r="C56" s="49">
        <f t="shared" si="10"/>
        <v>0.03</v>
      </c>
      <c r="D56" s="49">
        <f t="shared" si="10"/>
        <v>0</v>
      </c>
      <c r="E56" s="49">
        <f>MAX(C56:D56)</f>
        <v>0.03</v>
      </c>
      <c r="G56" s="1" t="str">
        <f>G50</f>
        <v>per 100 referrals</v>
      </c>
      <c r="L56" s="58">
        <f>IF(($E50&gt;0),L50,L49)</f>
        <v>100</v>
      </c>
      <c r="M56" s="58"/>
    </row>
    <row r="57" spans="2:18" ht="15" hidden="1" customHeight="1">
      <c r="B57" s="49" t="str">
        <f>IF(($E51&gt;0),B51,B49)</f>
        <v>per 100 youth petitioned</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youth petitioned</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0.34499999999999997</v>
      </c>
      <c r="D60" s="56">
        <f>D54</f>
        <v>0</v>
      </c>
      <c r="E60" s="56">
        <f>MAX(C60:D60)</f>
        <v>0.34499999999999997</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referrals</v>
      </c>
      <c r="C62" s="49">
        <f t="shared" si="11"/>
        <v>0.03</v>
      </c>
      <c r="D62" s="49">
        <f t="shared" si="11"/>
        <v>0</v>
      </c>
      <c r="E62" s="49">
        <f>MAX(C62:D62)</f>
        <v>0.03</v>
      </c>
      <c r="G62" s="1" t="str">
        <f>G56</f>
        <v>per 100 referrals</v>
      </c>
      <c r="L62" s="58">
        <f>IF(($E56&gt;0),L56,L55)</f>
        <v>100</v>
      </c>
      <c r="M62" s="58"/>
    </row>
    <row r="63" spans="2:18" ht="15" hidden="1" customHeight="1">
      <c r="B63" s="49" t="str">
        <f>IF(($E57&gt;0),B57,B55)</f>
        <v>per 100 youth petitioned</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youth petitioned</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0.34499999999999997</v>
      </c>
      <c r="D66" s="56">
        <f>D60</f>
        <v>0</v>
      </c>
      <c r="E66" s="56">
        <f>MAX(C66:D66)</f>
        <v>0.34499999999999997</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referrals</v>
      </c>
      <c r="C68" s="49">
        <f t="shared" si="12"/>
        <v>0.03</v>
      </c>
      <c r="D68" s="49">
        <f t="shared" si="12"/>
        <v>0</v>
      </c>
      <c r="E68" s="49">
        <f>MAX(C68:D68)</f>
        <v>0.03</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v>
      </c>
      <c r="E69" s="49">
        <f>MAX(C69:D69)</f>
        <v>0.03</v>
      </c>
      <c r="G69" s="1" t="str">
        <f>G63</f>
        <v>per 100 youth petitioned</v>
      </c>
      <c r="L69" s="58">
        <f>IF(($E63&gt;0),L63,L62)</f>
        <v>100</v>
      </c>
      <c r="M69" s="58">
        <f>IF((B69=G69),1,2)</f>
        <v>1</v>
      </c>
    </row>
    <row r="70" spans="2:13" ht="15" hidden="1" customHeight="1">
      <c r="B70" s="49" t="str">
        <f>IF(($E64&gt;0),B64,B63)</f>
        <v>per 100 youth petitioned</v>
      </c>
      <c r="C70" s="49">
        <f>IF(($E64&gt;0),C64,C63)</f>
        <v>0.03</v>
      </c>
      <c r="D70" s="49">
        <f>IF(($E64&gt;0),D64,D63)</f>
        <v>0</v>
      </c>
      <c r="E70" s="56">
        <f>MAX(C70:D70)</f>
        <v>0.03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Ontonagon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345</v>
      </c>
      <c r="D6" s="34"/>
      <c r="E6" s="33">
        <f>'Data Entry'!H6</f>
        <v>11</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2.8985507246376816</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11</v>
      </c>
      <c r="P7" s="42">
        <f t="shared" ref="P7:P15" si="4">C7</f>
        <v>1</v>
      </c>
      <c r="Q7" s="42">
        <f>C6-C7</f>
        <v>344</v>
      </c>
      <c r="R7" s="42">
        <f t="shared" ref="R7:R15" si="5">SUM(N7:Q7)</f>
        <v>356</v>
      </c>
      <c r="S7" s="30">
        <f t="shared" ref="S7:S15" si="6">R7*((((N7*Q7)-(O7*P7))^2))</f>
        <v>43076</v>
      </c>
      <c r="T7" s="30">
        <f t="shared" ref="T7:T15" si="7">(N7+O7)*(P7+Q7)*(N7+P7)*(O7+Q7)</f>
        <v>1347225</v>
      </c>
      <c r="U7" s="31">
        <f t="shared" ref="U7:U15" si="8">IF((S7&gt;0),S7/T7,"- -")</f>
        <v>3.1973872218820171E-2</v>
      </c>
    </row>
    <row r="8" spans="2:21" ht="18" customHeight="1">
      <c r="B8" s="32" t="str">
        <f>'Data Entry'!A8</f>
        <v>3. Refer to Juvenile Court</v>
      </c>
      <c r="C8" s="33">
        <f>'Data Entry'!C8</f>
        <v>3</v>
      </c>
      <c r="D8" s="34">
        <f>IF((AND(C67&gt;0,C8&gt;0)),(C8/C67),0)</f>
        <v>300</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3</v>
      </c>
      <c r="Q8" s="42">
        <f>(C$67*L67)-C8</f>
        <v>-2</v>
      </c>
      <c r="R8" s="42">
        <f t="shared" si="5"/>
        <v>1.0499999999999998</v>
      </c>
      <c r="S8" s="30">
        <f t="shared" si="6"/>
        <v>2.3625000000000004E-2</v>
      </c>
      <c r="T8" s="30">
        <f t="shared" si="7"/>
        <v>-0.29250000000000004</v>
      </c>
      <c r="U8" s="31">
        <f t="shared" si="8"/>
        <v>-8.0769230769230774E-2</v>
      </c>
    </row>
    <row r="9" spans="2:21" ht="18" customHeight="1">
      <c r="B9" s="32" t="str">
        <f>'Data Entry'!A9</f>
        <v xml:space="preserve">4. Cases Diverted </v>
      </c>
      <c r="C9" s="33">
        <f>'Data Entry'!C9</f>
        <v>3</v>
      </c>
      <c r="D9" s="34">
        <f>IF((AND(C68&gt;0,C9&gt;0)),((C9/C68)),0)</f>
        <v>100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0</v>
      </c>
      <c r="R9" s="42">
        <f t="shared" si="5"/>
        <v>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v>
      </c>
      <c r="R10" s="42">
        <f t="shared" si="5"/>
        <v>3</v>
      </c>
      <c r="S10" s="30">
        <f t="shared" si="6"/>
        <v>0</v>
      </c>
      <c r="T10" s="30">
        <f t="shared" si="7"/>
        <v>0</v>
      </c>
      <c r="U10" s="31" t="str">
        <f t="shared" si="8"/>
        <v>- -</v>
      </c>
    </row>
    <row r="11" spans="2:21" ht="18" customHeight="1">
      <c r="B11" s="32" t="str">
        <f>'Data Entry'!A11</f>
        <v>6. Cases Petitioned (Charge Filed)</v>
      </c>
      <c r="C11" s="33">
        <f>'Data Entry'!C11</f>
        <v>3</v>
      </c>
      <c r="D11" s="34">
        <f>IF(((AND(C68&gt;0,C11&gt;0))),(C11/(C68)),0)</f>
        <v>100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v>
      </c>
      <c r="Q11" s="42">
        <f>(C$68*L68)-C11</f>
        <v>0</v>
      </c>
      <c r="R11" s="42">
        <f t="shared" si="5"/>
        <v>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v>
      </c>
      <c r="R12" s="42">
        <f t="shared" si="5"/>
        <v>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petitioned</v>
      </c>
      <c r="G33" s="52"/>
      <c r="H33" s="52"/>
      <c r="I33" s="52"/>
      <c r="J33" s="52"/>
      <c r="K33" s="52"/>
      <c r="L33" s="53"/>
      <c r="R33" s="49"/>
    </row>
    <row r="34" spans="2:18" ht="15" customHeight="1">
      <c r="B34" s="52" t="s">
        <v>77</v>
      </c>
      <c r="C34" s="52"/>
      <c r="D34" s="52"/>
      <c r="E34" s="52"/>
      <c r="F34" s="52" t="str">
        <f>B70</f>
        <v>per 100 youth petitioned</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0.34499999999999997</v>
      </c>
      <c r="D42" s="56">
        <f>E6/1000</f>
        <v>1.0999999999999999E-2</v>
      </c>
      <c r="E42" s="56">
        <f>MAX(C42:D42)</f>
        <v>0.34499999999999997</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0.03</v>
      </c>
      <c r="D44" s="56">
        <f>E8/100</f>
        <v>0</v>
      </c>
      <c r="E44" s="56">
        <f>MAX(C44:D44,0)</f>
        <v>0.03</v>
      </c>
      <c r="G44" s="1" t="str">
        <f>B44</f>
        <v>per 100 referrals</v>
      </c>
      <c r="L44" s="57">
        <v>100</v>
      </c>
      <c r="M44" s="57"/>
      <c r="R44" s="49"/>
    </row>
    <row r="45" spans="2:18" ht="15" hidden="1" customHeight="1">
      <c r="B45" s="49" t="s">
        <v>89</v>
      </c>
      <c r="C45" s="49">
        <f>C11/100</f>
        <v>0.03</v>
      </c>
      <c r="D45" s="49">
        <f>E11/100</f>
        <v>0</v>
      </c>
      <c r="E45" s="56">
        <f>MAX(C45:D45,0)</f>
        <v>0.03</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0.34499999999999997</v>
      </c>
      <c r="D48" s="56">
        <f>D42</f>
        <v>1.0999999999999999E-2</v>
      </c>
      <c r="E48" s="56">
        <f>MAX(C48:D48)</f>
        <v>0.34499999999999997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referrals</v>
      </c>
      <c r="C50" s="49">
        <f t="shared" si="9"/>
        <v>0.03</v>
      </c>
      <c r="D50" s="49">
        <f t="shared" si="9"/>
        <v>0</v>
      </c>
      <c r="E50" s="49">
        <f>MAX(C50:D50)</f>
        <v>0.03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v>
      </c>
      <c r="E51" s="49">
        <f>MAX(C51:D51)</f>
        <v>0.03</v>
      </c>
      <c r="G51" s="1" t="str">
        <f>G45</f>
        <v>per 100 youth petitioned</v>
      </c>
      <c r="L51" s="58">
        <f>IF(($E45&gt;0),L45,L44)</f>
        <v>100</v>
      </c>
      <c r="M51" s="58"/>
    </row>
    <row r="52" spans="2:18" ht="15" hidden="1" customHeight="1">
      <c r="B52" s="49" t="str">
        <f>IF(($E46&gt;0),B46,B45)</f>
        <v>per 100 youth petitioned</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0.34499999999999997</v>
      </c>
      <c r="D54" s="56">
        <f>D48</f>
        <v>1.0999999999999999E-2</v>
      </c>
      <c r="E54" s="56">
        <f>MAX(C54:D54)</f>
        <v>0.34499999999999997</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referrals</v>
      </c>
      <c r="C56" s="49">
        <f t="shared" si="10"/>
        <v>0.03</v>
      </c>
      <c r="D56" s="49">
        <f t="shared" si="10"/>
        <v>0</v>
      </c>
      <c r="E56" s="49">
        <f>MAX(C56:D56)</f>
        <v>0.03</v>
      </c>
      <c r="G56" s="1" t="str">
        <f>G50</f>
        <v>per 100 referrals</v>
      </c>
      <c r="L56" s="58">
        <f>IF(($E50&gt;0),L50,L49)</f>
        <v>100</v>
      </c>
      <c r="M56" s="58"/>
    </row>
    <row r="57" spans="2:18" ht="15" hidden="1" customHeight="1">
      <c r="B57" s="49" t="str">
        <f>IF(($E51&gt;0),B51,B49)</f>
        <v>per 100 youth petitioned</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youth petitioned</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0.34499999999999997</v>
      </c>
      <c r="D60" s="56">
        <f>D54</f>
        <v>1.0999999999999999E-2</v>
      </c>
      <c r="E60" s="56">
        <f>MAX(C60:D60)</f>
        <v>0.34499999999999997</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referrals</v>
      </c>
      <c r="C62" s="49">
        <f t="shared" si="11"/>
        <v>0.03</v>
      </c>
      <c r="D62" s="49">
        <f t="shared" si="11"/>
        <v>0</v>
      </c>
      <c r="E62" s="49">
        <f>MAX(C62:D62)</f>
        <v>0.03</v>
      </c>
      <c r="G62" s="1" t="str">
        <f>G56</f>
        <v>per 100 referrals</v>
      </c>
      <c r="L62" s="58">
        <f>IF(($E56&gt;0),L56,L55)</f>
        <v>100</v>
      </c>
      <c r="M62" s="58"/>
    </row>
    <row r="63" spans="2:18" ht="15" hidden="1" customHeight="1">
      <c r="B63" s="49" t="str">
        <f>IF(($E57&gt;0),B57,B55)</f>
        <v>per 100 youth petitioned</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youth petitioned</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0.34499999999999997</v>
      </c>
      <c r="D66" s="56">
        <f>D60</f>
        <v>1.0999999999999999E-2</v>
      </c>
      <c r="E66" s="56">
        <f>MAX(C66:D66)</f>
        <v>0.34499999999999997</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referrals</v>
      </c>
      <c r="C68" s="49">
        <f t="shared" si="12"/>
        <v>0.03</v>
      </c>
      <c r="D68" s="49">
        <f t="shared" si="12"/>
        <v>0</v>
      </c>
      <c r="E68" s="49">
        <f>MAX(C68:D68)</f>
        <v>0.03</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v>
      </c>
      <c r="E69" s="49">
        <f>MAX(C69:D69)</f>
        <v>0.03</v>
      </c>
      <c r="G69" s="1" t="str">
        <f>G63</f>
        <v>per 100 youth petitioned</v>
      </c>
      <c r="L69" s="58">
        <f>IF(($E63&gt;0),L63,L62)</f>
        <v>100</v>
      </c>
      <c r="M69" s="58">
        <f>IF((B69=G69),1,2)</f>
        <v>1</v>
      </c>
    </row>
    <row r="70" spans="2:13" ht="15" hidden="1" customHeight="1">
      <c r="B70" s="49" t="str">
        <f>IF(($E64&gt;0),B64,B63)</f>
        <v>per 100 youth petitioned</v>
      </c>
      <c r="C70" s="49">
        <f>IF(($E64&gt;0),C64,C63)</f>
        <v>0.03</v>
      </c>
      <c r="D70" s="49">
        <f>IF(($E64&gt;0),D64,D63)</f>
        <v>0</v>
      </c>
      <c r="E70" s="56">
        <f>MAX(C70:D70)</f>
        <v>0.03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U47JMPN4QEAR-1806752177-35385</_dlc_DocId>
    <_dlc_DocIdUrl xmlns="ac3811b5-0f3e-49e2-ba69-f2ffa0c782af">
      <Url>https://michiganphi.sharepoint.com/sites/CMDMC/_layouts/15/DocIdRedir.aspx?ID=U47JMPN4QEAR-1806752177-35385</Url>
      <Description>U47JMPN4QEAR-1806752177-35385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2E60D04-1335-4ED5-9D09-3B9B1EBDB5E4}"/>
</file>

<file path=customXml/itemProps2.xml><?xml version="1.0" encoding="utf-8"?>
<ds:datastoreItem xmlns:ds="http://schemas.openxmlformats.org/officeDocument/2006/customXml" ds:itemID="{498D93D3-A2F7-4C35-B95D-1FBB60040DE0}">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3.xml><?xml version="1.0" encoding="utf-8"?>
<ds:datastoreItem xmlns:ds="http://schemas.openxmlformats.org/officeDocument/2006/customXml" ds:itemID="{4CE9C919-A0AD-4D65-8E7B-E18003E0C674}">
  <ds:schemaRefs>
    <ds:schemaRef ds:uri="http://schemas.microsoft.com/sharepoint/v3/contenttype/forms"/>
  </ds:schemaRefs>
</ds:datastoreItem>
</file>

<file path=customXml/itemProps4.xml><?xml version="1.0" encoding="utf-8"?>
<ds:datastoreItem xmlns:ds="http://schemas.openxmlformats.org/officeDocument/2006/customXml" ds:itemID="{5BC8F3F9-C91F-4BC3-A2B9-E5145A0D29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2025-11-13T19:13:21Z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764e3a92-e9d7-457a-9a37-8c2aa48e62e5</vt:lpwstr>
  </property>
</Properties>
</file>