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D09CBAC-1D1D-4EC1-BD9E-E57EE274B0E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c r="G63" i="8" s="1"/>
  <c r="G69" i="8" s="1"/>
  <c r="L54" i="8"/>
  <c r="L60" i="8" s="1"/>
  <c r="L66" i="8" s="1"/>
  <c r="G58" i="8"/>
  <c r="G64" i="8"/>
  <c r="G70" i="8" s="1"/>
  <c r="G61" i="8"/>
  <c r="G67"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2"/>
  <c r="M66" i="2"/>
  <c r="M66" i="8"/>
  <c r="F27" i="8"/>
  <c r="F27" i="7"/>
  <c r="M66" i="7"/>
  <c r="F27" i="6"/>
  <c r="M66" i="6"/>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B50" i="6" s="1"/>
  <c r="E43" i="7"/>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D50" i="5"/>
  <c r="B52" i="3"/>
  <c r="L50" i="6"/>
  <c r="C50" i="6"/>
  <c r="E50" i="6"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C54" i="7"/>
  <c r="E48" i="7"/>
  <c r="E49" i="6"/>
  <c r="E49" i="7"/>
  <c r="E48" i="5"/>
  <c r="C54" i="5"/>
  <c r="C54" i="6"/>
  <c r="E48" i="6"/>
  <c r="B51" i="6"/>
  <c r="D51" i="6"/>
  <c r="C51" i="6"/>
  <c r="L51" i="6"/>
  <c r="E52" i="3" l="1"/>
  <c r="D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C57" i="5"/>
  <c r="C66" i="6"/>
  <c r="E60" i="6"/>
  <c r="C66" i="2"/>
  <c r="E60" i="2"/>
  <c r="E56" i="6"/>
  <c r="E55" i="6"/>
  <c r="E55" i="7"/>
  <c r="E58" i="7"/>
  <c r="B56" i="8" l="1"/>
  <c r="E58" i="8"/>
  <c r="L64" i="8" s="1"/>
  <c r="L56" i="8"/>
  <c r="D64" i="5"/>
  <c r="C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5"/>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E63" i="3"/>
  <c r="C69" i="3" s="1"/>
  <c r="C63" i="8"/>
  <c r="L63" i="8"/>
  <c r="L70" i="8" s="1"/>
  <c r="L69" i="7"/>
  <c r="C69" i="7"/>
  <c r="D12" i="7" s="1"/>
  <c r="B70" i="3"/>
  <c r="M70"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3" i="8" l="1"/>
  <c r="Q12" i="7"/>
  <c r="Q15" i="7"/>
  <c r="E70" i="6"/>
  <c r="F34" i="3"/>
  <c r="O14" i="6"/>
  <c r="C69" i="6"/>
  <c r="D12" i="6" s="1"/>
  <c r="B69" i="6"/>
  <c r="M69" i="6" s="1"/>
  <c r="O13" i="6"/>
  <c r="F14" i="6"/>
  <c r="D13" i="3"/>
  <c r="E69" i="7"/>
  <c r="D13" i="6"/>
  <c r="O13" i="3"/>
  <c r="F14" i="3"/>
  <c r="Q14" i="3"/>
  <c r="F12" i="7"/>
  <c r="O12" i="7"/>
  <c r="T12" i="7" s="1"/>
  <c r="D14" i="6"/>
  <c r="O15" i="7"/>
  <c r="Q13" i="3"/>
  <c r="Q13" i="6"/>
  <c r="Q14" i="6"/>
  <c r="E70" i="3"/>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3" i="6" l="1"/>
  <c r="R15" i="7"/>
  <c r="S15" i="7" s="1"/>
  <c r="U15" i="7" s="1"/>
  <c r="J15" i="7" s="1"/>
  <c r="K15" i="7"/>
  <c r="D15" i="6"/>
  <c r="F32" i="6"/>
  <c r="R14" i="8"/>
  <c r="S14" i="8" s="1"/>
  <c r="Q12" i="6"/>
  <c r="Q15" i="6"/>
  <c r="T13" i="6"/>
  <c r="T14" i="6"/>
  <c r="K12" i="7"/>
  <c r="O15" i="6"/>
  <c r="R12" i="7"/>
  <c r="S12" i="7" s="1"/>
  <c r="U12" i="7" s="1"/>
  <c r="J12" i="7" s="1"/>
  <c r="M12" i="7" s="1"/>
  <c r="E69" i="6"/>
  <c r="O12" i="6"/>
  <c r="F35" i="6"/>
  <c r="R14" i="6"/>
  <c r="S14" i="6" s="1"/>
  <c r="U14" i="6" s="1"/>
  <c r="J14" i="6" s="1"/>
  <c r="M14" i="6" s="1"/>
  <c r="G14" i="6" s="1"/>
  <c r="M15" i="13" s="1"/>
  <c r="K14" i="6"/>
  <c r="R14" i="3"/>
  <c r="S14" i="3" s="1"/>
  <c r="U14" i="3" s="1"/>
  <c r="J14" i="3" s="1"/>
  <c r="M14" i="3" s="1"/>
  <c r="G14" i="3" s="1"/>
  <c r="I15" i="16" s="1"/>
  <c r="R13" i="6"/>
  <c r="S13" i="6" s="1"/>
  <c r="U13" i="6" s="1"/>
  <c r="J13" i="6" s="1"/>
  <c r="M13" i="6" s="1"/>
  <c r="G13" i="6" s="1"/>
  <c r="G13" i="9" s="1"/>
  <c r="K13" i="3"/>
  <c r="T13" i="8"/>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5" i="6" l="1"/>
  <c r="R15" i="6"/>
  <c r="S15" i="6" s="1"/>
  <c r="U15" i="6" s="1"/>
  <c r="J15" i="6" s="1"/>
  <c r="M15" i="6" s="1"/>
  <c r="G15" i="6" s="1"/>
  <c r="K15" i="6"/>
  <c r="R12" i="6"/>
  <c r="S12" i="6" s="1"/>
  <c r="U12" i="6" s="1"/>
  <c r="J12" i="6" s="1"/>
  <c r="K12" i="6"/>
  <c r="L12" i="7"/>
  <c r="S13" i="16" s="1"/>
  <c r="U14" i="8"/>
  <c r="J14" i="8" s="1"/>
  <c r="N30" i="8" s="1"/>
  <c r="L13" i="6"/>
  <c r="R14" i="16" s="1"/>
  <c r="I15" i="13"/>
  <c r="T12" i="6"/>
  <c r="N30" i="3"/>
  <c r="M14" i="13"/>
  <c r="L13" i="3"/>
  <c r="P14" i="16" s="1"/>
  <c r="E14" i="9"/>
  <c r="L14" i="3"/>
  <c r="P15" i="16" s="1"/>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G12" i="13"/>
  <c r="G12" i="16"/>
  <c r="N9" i="9"/>
  <c r="P10" i="16"/>
  <c r="M14" i="7"/>
  <c r="N30" i="7"/>
  <c r="L14" i="7"/>
  <c r="S15" i="16" s="1"/>
  <c r="L8" i="7"/>
  <c r="S9" i="16" s="1"/>
  <c r="O13" i="9"/>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L12" i="6"/>
  <c r="R13" i="16"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5" i="6" l="1"/>
  <c r="R16" i="16" s="1"/>
  <c r="N13" i="9"/>
  <c r="P13" i="9"/>
  <c r="Y13" i="13"/>
  <c r="L14" i="8"/>
  <c r="T15" i="16" s="1"/>
  <c r="I14" i="13"/>
  <c r="M14" i="8"/>
  <c r="G14" i="8" s="1"/>
  <c r="K15" i="16" s="1"/>
  <c r="X14" i="13"/>
  <c r="V15" i="13"/>
  <c r="V14" i="13"/>
  <c r="N14" i="9"/>
  <c r="I14" i="16"/>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Z15" i="13" l="1"/>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<sst xmlns="http://schemas.openxmlformats.org/spreadsheetml/2006/main" count="654" uniqueCount="141">
  <si>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</si>
  <si>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</si>
  <si>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</si>
  <si>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</si>
  <si>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</si>
  <si>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</si>
  <si>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</si>
  <si>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</si>
  <si>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</si>
  <si>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</si>
  <si>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</si>
  <si>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</si>
  <si>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</si>
  <si>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</si>
  <si>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</si>
  <si>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</si>
  <si>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</si>
  <si>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</si>
  <si>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</si>
  <si>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</si>
  <si>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</si>
  <si>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</si>
  <si>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</si>
  <si>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</si>
  <si>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</si>
  <si>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</si>
  <si>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</si>
  <si>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</si>
  <si>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</si>
  <si>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</si>
  <si>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</si>
  <si>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</si>
  <si>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</si>
  <si>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</si>
  <si>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</si>
  <si>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</si>
  <si>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</si>
  <si>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</si>
  <si>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</si>
  <si>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</si>
  <si>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</si>
  <si>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</si>
  <si>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</si>
  <si>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</si>
  <si>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</si>
  <si>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</si>
  <si>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</si>
  <si>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</si>
  <si>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</si>
  <si>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</si>
  <si>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</si>
  <si>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</si>
  <si>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</si>
  <si>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</si>
  <si>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</si>
  <si>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</si>
  <si>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</si>
  <si>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</si>
  <si>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</si>
  <si>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</si>
  <si>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</si>
  <si>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</si>
  <si>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</si>
  <si>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</si>
  <si>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</si>
  <si>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</si>
  <si>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</si>
  <si>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</si>
  <si>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</si>
  <si>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</si>
  <si>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</si>
  <si>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</si>
  <si>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</si>
  <si>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</si>
  <si>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</si>
  <si>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</si>
  <si>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</si>
  <si>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</si>
  <si>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</si>
  <si>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</si>
  <si>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</si>
  <si>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</si>
  <si>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</si>
  <si>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</si>
  <si>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</si>
  <si>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</si>
  <si>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</si>
  <si>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</si>
  <si>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</si>
  <si>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</si>
  <si>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</si>
  <si>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</si>
  <si>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</si>
  <si>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</si>
  <si>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</si>
  <si>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</si>
  <si>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</si>
  <si>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</si>
  <si>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</si>
  <si>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</si>
  <si>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</si>
  <si>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</si>
  <si>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</si>
  <si>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</si>
  <si>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</si>
  <si>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</si>
  <si>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</si>
  <si>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</si>
  <si>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</si>
  <si>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</si>
  <si>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</si>
  <si>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</si>
  <si>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</si>
  <si>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</si>
  <si>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</si>
  <si>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</si>
  <si>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</si>
  <si>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</si>
  <si>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</si>
  <si>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</si>
  <si>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</si>
  <si>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</si>
  <si>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</si>
  <si>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</si>
  <si>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</si>
  <si>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</si>
  <si>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</si>
  <si>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</si>
  <si>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</si>
  <si>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</si>
  <si>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</si>
  <si>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</si>
  <si>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</si>
  <si>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</si>
  <si>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</si>
  <si>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</si>
  <si>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</si>
  <si>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Ontonagon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</si>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</sst>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Ontonagon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N=2</c:v>
                </c:pt>
                <c:pt idx="4">
                  <c:v>Detentions, total N=0</c:v>
                </c:pt>
                <c:pt idx="5">
                  <c:v>Referrals, total N=2</c:v>
                </c:pt>
                <c:pt idx="6">
                  <c:v>Arrests, total N=0</c:v>
                </c:pt>
                <c:pt idx="7">
                  <c:v>Population, total N=322</c:v>
                </c:pt>
              </c:strCache>
            </c:strRef>
          </c:cat>
          <c:val>
            <c:numRef>
              <c:f>'Stacked 100%'!$B$7:$B$14</c:f>
              <c:numCache>
                <c:formatCode>0%</c:formatCode>
                <c:ptCount val="8"/>
                <c:pt idx="0">
                  <c:v>0</c:v>
                </c:pt>
                <c:pt idx="1">
                  <c:v>0</c:v>
                </c:pt>
                <c:pt idx="2">
                  <c:v>0</c:v>
                </c:pt>
                <c:pt idx="3">
                  <c:v>0</c:v>
                </c:pt>
                <c:pt idx="4">
                  <c:v>0</c:v>
                </c:pt>
                <c:pt idx="5">
                  <c:v>0</c:v>
                </c:pt>
                <c:pt idx="6">
                  <c:v>0</c:v>
                </c:pt>
                <c:pt idx="7">
                  <c:v>1.8633540372670808E-2</c:v>
                </c:pt>
              </c:numCache>
            </c:numRef>
          </c:val>
          <c:extLst>
            <c:ext xmlns:c16="http://schemas.microsoft.com/office/drawing/2014/chart" uri="{C3380CC4-5D6E-409C-BE32-E72D297353CC}">
              <c16:uniqueId val="{00000000-CC8D-4393-B77E-1F81811590E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N=2</c:v>
                </c:pt>
                <c:pt idx="4">
                  <c:v>Detentions, total N=0</c:v>
                </c:pt>
                <c:pt idx="5">
                  <c:v>Referrals, total N=2</c:v>
                </c:pt>
                <c:pt idx="6">
                  <c:v>Arrests, total N=0</c:v>
                </c:pt>
                <c:pt idx="7">
                  <c:v>Population, total N=322</c:v>
                </c:pt>
              </c:strCache>
            </c:strRef>
          </c:cat>
          <c:val>
            <c:numRef>
              <c:f>'Stacked 100%'!$C$7:$C$14</c:f>
              <c:numCache>
                <c:formatCode>0%</c:formatCode>
                <c:ptCount val="8"/>
                <c:pt idx="0">
                  <c:v>0</c:v>
                </c:pt>
                <c:pt idx="1">
                  <c:v>0</c:v>
                </c:pt>
                <c:pt idx="2">
                  <c:v>0</c:v>
                </c:pt>
                <c:pt idx="3">
                  <c:v>0</c:v>
                </c:pt>
                <c:pt idx="4">
                  <c:v>0</c:v>
                </c:pt>
                <c:pt idx="5">
                  <c:v>0</c:v>
                </c:pt>
                <c:pt idx="6">
                  <c:v>0</c:v>
                </c:pt>
                <c:pt idx="7">
                  <c:v>2.4844720496894408E-2</c:v>
                </c:pt>
              </c:numCache>
            </c:numRef>
          </c:val>
          <c:extLst>
            <c:ext xmlns:c16="http://schemas.microsoft.com/office/drawing/2014/chart" uri="{C3380CC4-5D6E-409C-BE32-E72D297353CC}">
              <c16:uniqueId val="{00000001-CC8D-4393-B77E-1F81811590E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c:v>
                </c:pt>
                <c:pt idx="3">
                  <c:v>Petitions, total N=2</c:v>
                </c:pt>
                <c:pt idx="4">
                  <c:v>Detentions, total N=0</c:v>
                </c:pt>
                <c:pt idx="5">
                  <c:v>Referrals, total N=2</c:v>
                </c:pt>
                <c:pt idx="6">
                  <c:v>Arrests, total N=0</c:v>
                </c:pt>
                <c:pt idx="7">
                  <c:v>Population, total N=322</c:v>
                </c:pt>
              </c:strCache>
            </c:strRef>
          </c:cat>
          <c:val>
            <c:numRef>
              <c:f>'Stacked 100%'!$H$7:$H$14</c:f>
              <c:numCache>
                <c:formatCode>0%</c:formatCode>
                <c:ptCount val="8"/>
                <c:pt idx="0">
                  <c:v>0</c:v>
                </c:pt>
                <c:pt idx="1">
                  <c:v>0</c:v>
                </c:pt>
                <c:pt idx="2">
                  <c:v>0</c:v>
                </c:pt>
                <c:pt idx="3">
                  <c:v>0</c:v>
                </c:pt>
                <c:pt idx="4">
                  <c:v>0</c:v>
                </c:pt>
                <c:pt idx="5">
                  <c:v>0</c:v>
                </c:pt>
                <c:pt idx="6">
                  <c:v>0</c:v>
                </c:pt>
                <c:pt idx="7">
                  <c:v>1.2538096524053856E-4</c:v>
                </c:pt>
              </c:numCache>
            </c:numRef>
          </c:val>
          <c:extLst>
            <c:ext xmlns:c16="http://schemas.microsoft.com/office/drawing/2014/chart" uri="{C3380CC4-5D6E-409C-BE32-E72D297353CC}">
              <c16:uniqueId val="{00000002-CC8D-4393-B77E-1F81811590E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N=2</c:v>
                </c:pt>
                <c:pt idx="4">
                  <c:v>Detentions, total N=0</c:v>
                </c:pt>
                <c:pt idx="5">
                  <c:v>Referrals, total N=2</c:v>
                </c:pt>
                <c:pt idx="6">
                  <c:v>Arrests, total N=0</c:v>
                </c:pt>
                <c:pt idx="7">
                  <c:v>Population, total N=322</c:v>
                </c:pt>
              </c:strCache>
            </c:strRef>
          </c:cat>
          <c:val>
            <c:numRef>
              <c:f>'Stacked 100%'!$I$7:$I$14</c:f>
              <c:numCache>
                <c:formatCode>0%</c:formatCode>
                <c:ptCount val="8"/>
                <c:pt idx="0">
                  <c:v>0</c:v>
                </c:pt>
                <c:pt idx="1">
                  <c:v>0</c:v>
                </c:pt>
                <c:pt idx="2">
                  <c:v>1</c:v>
                </c:pt>
                <c:pt idx="3">
                  <c:v>1</c:v>
                </c:pt>
                <c:pt idx="4">
                  <c:v>0</c:v>
                </c:pt>
                <c:pt idx="5">
                  <c:v>1</c:v>
                </c:pt>
                <c:pt idx="6">
                  <c:v>0</c:v>
                </c:pt>
                <c:pt idx="7">
                  <c:v>0.91614906832298137</c:v>
                </c:pt>
              </c:numCache>
            </c:numRef>
          </c:val>
          <c:extLst>
            <c:ext xmlns:c16="http://schemas.microsoft.com/office/drawing/2014/chart" uri="{C3380CC4-5D6E-409C-BE32-E72D297353CC}">
              <c16:uniqueId val="{00000003-CC8D-4393-B77E-1F81811590E9}"/>
            </c:ext>
          </c:extLst>
        </c:ser>
        <c:dLbls>
          <c:showLegendKey val="0"/>
          <c:showVal val="0"/>
          <c:showCatName val="0"/>
          <c:showSerName val="0"/>
          <c:showPercent val="0"/>
          <c:showBubbleSize val="0"/>
        </c:dLbls>
        <c:gapWidth val="150"/>
        <c:overlap val="100"/>
        <c:axId val="72964352"/>
        <c:axId val="7305075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c:v>
                </c:pt>
                <c:pt idx="3">
                  <c:v>Petitions, total N=2</c:v>
                </c:pt>
                <c:pt idx="4">
                  <c:v>Detentions, total N=0</c:v>
                </c:pt>
                <c:pt idx="5">
                  <c:v>Referrals, total N=2</c:v>
                </c:pt>
                <c:pt idx="6">
                  <c:v>Arrests, total N=0</c:v>
                </c:pt>
                <c:pt idx="7">
                  <c:v>Population, total N=322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C8D-4393-B77E-1F81811590E9}"/>
            </c:ext>
          </c:extLst>
        </c:ser>
        <c:dLbls>
          <c:showLegendKey val="0"/>
          <c:showVal val="0"/>
          <c:showCatName val="0"/>
          <c:showSerName val="0"/>
          <c:showPercent val="0"/>
          <c:showBubbleSize val="0"/>
        </c:dLbls>
        <c:gapWidth val="150"/>
        <c:overlap val="100"/>
        <c:axId val="73440256"/>
        <c:axId val="73438336"/>
      </c:barChart>
      <c:catAx>
        <c:axId val="729643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3050752"/>
        <c:crosses val="autoZero"/>
        <c:auto val="1"/>
        <c:lblAlgn val="ctr"/>
        <c:lblOffset val="100"/>
        <c:noMultiLvlLbl val="0"/>
      </c:catAx>
      <c:valAx>
        <c:axId val="7305075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2964352"/>
        <c:crosses val="autoZero"/>
        <c:crossBetween val="between"/>
      </c:valAx>
      <c:valAx>
        <c:axId val="73438336"/>
        <c:scaling>
          <c:orientation val="minMax"/>
        </c:scaling>
        <c:delete val="1"/>
        <c:axPos val="t"/>
        <c:numFmt formatCode="0%" sourceLinked="1"/>
        <c:majorTickMark val="out"/>
        <c:minorTickMark val="none"/>
        <c:tickLblPos val="nextTo"/>
        <c:crossAx val="73440256"/>
        <c:crosses val="max"/>
        <c:crossBetween val="between"/>
      </c:valAx>
      <c:catAx>
        <c:axId val="73440256"/>
        <c:scaling>
          <c:orientation val="minMax"/>
        </c:scaling>
        <c:delete val="1"/>
        <c:axPos val="l"/>
        <c:numFmt formatCode="General" sourceLinked="1"/>
        <c:majorTickMark val="out"/>
        <c:minorTickMark val="none"/>
        <c:tickLblPos val="nextTo"/>
        <c:crossAx val="734383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322</v>
      </c>
      <c r="C6" s="11">
        <v>295</v>
      </c>
      <c r="D6" s="11">
        <v>6</v>
      </c>
      <c r="E6" s="11">
        <v>8</v>
      </c>
      <c r="F6" s="11">
        <v>9</v>
      </c>
      <c r="G6" s="11"/>
      <c r="H6" s="11">
        <v>4</v>
      </c>
      <c r="I6" s="11"/>
      <c r="J6" s="91">
        <f>SUM(D6:I6)</f>
        <v>27</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2</v>
      </c>
      <c r="C8" s="11">
        <v>2</v>
      </c>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2</v>
      </c>
      <c r="C11" s="11">
        <v>2</v>
      </c>
      <c r="D11" s="11"/>
      <c r="E11" s="11"/>
      <c r="F11" s="11"/>
      <c r="G11" s="11"/>
      <c r="H11" s="11"/>
      <c r="I11" s="11"/>
      <c r="J11" s="91">
        <f t="shared" si="1"/>
        <v>0</v>
      </c>
      <c r="K11" s="92"/>
    </row>
    <row r="12" spans="1:11" ht="15.75" customHeight="1" thickBot="1" x14ac:dyDescent="0.25">
      <c r="A12" s="10" t="s">
        <v>13</v>
      </c>
      <c r="B12" s="11">
        <f t="shared" si="0"/>
        <v>2</v>
      </c>
      <c r="C12" s="11">
        <v>2</v>
      </c>
      <c r="D12" s="11"/>
      <c r="E12" s="11"/>
      <c r="F12" s="11"/>
      <c r="G12" s="11"/>
      <c r="H12" s="11"/>
      <c r="I12" s="11"/>
      <c r="J12" s="91">
        <f t="shared" si="1"/>
        <v>0</v>
      </c>
      <c r="K12" s="92"/>
    </row>
    <row r="13" spans="1:11" ht="15.75" customHeight="1" thickBot="1" x14ac:dyDescent="0.25">
      <c r="A13" s="10" t="s">
        <v>133</v>
      </c>
      <c r="B13" s="11">
        <f t="shared" si="0"/>
        <v>1</v>
      </c>
      <c r="C13" s="11">
        <v>1</v>
      </c>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Ontonagon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295</v>
      </c>
      <c r="R7" s="42">
        <f t="shared" ref="R7:R15" si="5">SUM(N7:Q7)</f>
        <v>295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6.7796610169491531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293</v>
      </c>
      <c r="R8" s="42">
        <f t="shared" si="5"/>
        <v>295.05</v>
      </c>
      <c r="S8" s="30">
        <f t="shared" si="6"/>
        <v>2.9505000000000008</v>
      </c>
      <c r="T8" s="30">
        <f t="shared" si="7"/>
        <v>8644.9750000000004</v>
      </c>
      <c r="U8" s="31">
        <f t="shared" si="8"/>
        <v>3.4129653353537755E-4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100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0</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0</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v>
      </c>
      <c r="D13" s="34">
        <f>IF(((AND(C70&gt;0,C13&gt;0))),(C13/(C70)),0)</f>
        <v>50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0</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0</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0.29499999999999998</v>
      </c>
      <c r="D49" s="49">
        <f t="shared" si="9"/>
        <v>0</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0</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0</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0</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0</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0</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0</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Ontonagon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Entry'!J6</f>
        <v>27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27</v>
      </c>
      <c r="P7" s="42">
        <f t="shared" ref="P7:P15" si="4">C7</f>
        <v>0</v>
      </c>
      <c r="Q7" s="42">
        <f>C6-C7</f>
        <v>295</v>
      </c>
      <c r="R7" s="42">
        <f t="shared" ref="R7:R15" si="5">SUM(N7:Q7)</f>
        <v>322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6.7796610169491531</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27.05</v>
      </c>
      <c r="P8" s="42">
        <f t="shared" si="4"/>
        <v>2</v>
      </c>
      <c r="Q8" s="42">
        <f>(C$67*L67)-C8</f>
        <v>293</v>
      </c>
      <c r="R8" s="42">
        <f t="shared" si="5"/>
        <v>322.05</v>
      </c>
      <c r="S8" s="30">
        <f t="shared" si="6"/>
        <v>942579.1605</v>
      </c>
      <c r="T8" s="30">
        <f t="shared" si="7"/>
        <v>5107837.9750000006</v>
      </c>
      <c r="U8" s="31">
        <f t="shared" si="8"/>
        <v>0.18453583788549985</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100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0</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0</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v>
      </c>
      <c r="D13" s="34">
        <f>IF(((AND(C70&gt;0,C13&gt;0))),(C13/(C70)),0)</f>
        <v>50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2.7E-2</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2.7E-2</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0.29499999999999998</v>
      </c>
      <c r="D49" s="49">
        <f t="shared" si="9"/>
        <v>2.7E-2</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2.7E-2</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2.7E-2</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2.7E-2</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2.7E-2</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2.7E-2</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2.7E-2</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Ontonagon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322</v>
      </c>
      <c r="D3" s="57">
        <f>'Data Entry'!C6</f>
        <v>295</v>
      </c>
      <c r="E3" s="57">
        <f>'Data Entry'!D6</f>
        <v>6</v>
      </c>
      <c r="F3" s="57">
        <f>'Data Entry'!E6</f>
        <v>8</v>
      </c>
      <c r="G3" s="57">
        <f>'Data Entry'!F6</f>
        <v>9</v>
      </c>
      <c r="H3" s="57">
        <f>'Data Entry'!G6</f>
        <v>0</v>
      </c>
      <c r="I3" s="57">
        <f>'Data Entry'!H6</f>
        <v>4</v>
      </c>
      <c r="J3" s="57">
        <f>'Data Entry'!I6</f>
        <v>0</v>
      </c>
      <c r="K3" s="57">
        <f>'Data Entry'!J6</f>
        <v>27</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6.2111801242236018</v>
      </c>
      <c r="D5" s="1">
        <f>IF((D$3&gt;0),(1000*('Data Entry'!C8/'Data Entry'!C$6)), 0)</f>
        <v>6.7796610169491522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6.2111801242236018</v>
      </c>
      <c r="D8" s="1">
        <f>IF((D$3&gt;0),(1000*('Data Entry'!C11/'Data Entry'!C$6)), 0)</f>
        <v>6.7796610169491522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6.2111801242236018</v>
      </c>
      <c r="D9" s="1">
        <f>IF((D$3&gt;0),(1000*('Data Entry'!C12/'Data Entry'!C$6)), 0)</f>
        <v>6.7796610169491522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3.1055900621118009</v>
      </c>
      <c r="D10" s="1">
        <f>IF((D$3&gt;0),(1000*('Data Entry'!C13/'Data Entry'!C$6)), 0)</f>
        <v>3.3898305084745761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Ontonagon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Ontonagon</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295</v>
      </c>
      <c r="D7" s="104">
        <f>'Data Entry'!D6</f>
        <v>6</v>
      </c>
      <c r="E7" s="105"/>
      <c r="F7" s="106">
        <f>'Data Entry'!E6</f>
        <v>8</v>
      </c>
      <c r="G7" s="105"/>
      <c r="H7" s="106">
        <f>'Data Entry'!F6</f>
        <v>9</v>
      </c>
      <c r="I7" s="105"/>
      <c r="J7" s="106">
        <f>'Data Entry'!G6</f>
        <v>0</v>
      </c>
      <c r="K7" s="105"/>
      <c r="L7" s="106">
        <f>'Data Entry'!H6</f>
        <v>4</v>
      </c>
      <c r="M7" s="105"/>
      <c r="N7" s="106">
        <f>'Data Entry'!I6</f>
        <v>0</v>
      </c>
      <c r="O7" s="105"/>
      <c r="P7" s="106">
        <f>'Data Entry'!J6</f>
        <v>27</v>
      </c>
      <c r="Q7" s="107"/>
    </row>
    <row r="8" spans="2:26" s="1" customFormat="1" ht="15" customHeight="1" x14ac:dyDescent="0.3">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2" t="s">
        <v>134</v>
      </c>
      <c r="C9" s="103">
        <f>'Data Entry'!C8</f>
        <v>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2" t="s">
        <v>95</v>
      </c>
      <c r="C12" s="103">
        <f>'Data Entry'!C11</f>
        <v>2</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2"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2" t="s">
        <v>133</v>
      </c>
      <c r="C14" s="103">
        <f>'Data Entry'!C13</f>
        <v>1</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6" sqref="A6"/>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Ontonagon</v>
      </c>
    </row>
    <row r="6" spans="1:12" x14ac:dyDescent="0.2">
      <c r="A6" s="135" t="str">
        <f>CONCATENATE("Percentage of Minorities at Stages of the Juvenile Justice System, ", A5, " 2021")</f>
        <v>Percentage of Minorities at Stages of the Juvenile Justice System, County: Ontonagon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10.925925925925927</v>
      </c>
    </row>
    <row r="8" spans="1:12" ht="25.5" customHeight="1" x14ac:dyDescent="0.2">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10.925925925925927</v>
      </c>
    </row>
    <row r="9" spans="1:12" x14ac:dyDescent="0.2">
      <c r="A9" s="128" t="str">
        <f>CONCATENATE("Delinquent Findings, total N=", 'Data Entry'!B12)</f>
        <v>Delinquent Findings, total N=2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N=2</v>
      </c>
      <c r="L9">
        <f>I14/(SUM(B14:G14))</f>
        <v>10.925925925925927</v>
      </c>
    </row>
    <row r="10" spans="1:12" x14ac:dyDescent="0.2">
      <c r="A10" s="128" t="str">
        <f>CONCATENATE("Petitions, total N=", 'Data Entry'!B11)</f>
        <v>Petitions, total N=2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N=2</v>
      </c>
      <c r="L10">
        <f>I14/(SUM(B14:G14))</f>
        <v>10.925925925925927</v>
      </c>
    </row>
    <row r="11" spans="1:12" x14ac:dyDescent="0.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10.925925925925927</v>
      </c>
    </row>
    <row r="12" spans="1:12" x14ac:dyDescent="0.2">
      <c r="A12" s="128" t="str">
        <f>CONCATENATE("Referrals, total N=", 'Data Entry'!B8)</f>
        <v>Referrals, total N=2</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N=2</v>
      </c>
      <c r="L12">
        <f>I14/(SUM(B14:G14))</f>
        <v>10.925925925925927</v>
      </c>
    </row>
    <row r="13" spans="1:12" x14ac:dyDescent="0.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10.925925925925927</v>
      </c>
    </row>
    <row r="14" spans="1:12" x14ac:dyDescent="0.2">
      <c r="A14" s="128" t="str">
        <f>CONCATENATE("Population, total N=", 'Data Entry'!B6)</f>
        <v>Population, total N=322</v>
      </c>
      <c r="B14" s="150">
        <f>'Data Entry'!D6/'Data Entry'!B6</f>
        <v>1.8633540372670808E-2</v>
      </c>
      <c r="C14" s="150">
        <f>'Data Entry'!E6/'Data Entry'!B6</f>
        <v>2.4844720496894408E-2</v>
      </c>
      <c r="D14" s="150">
        <f>'Data Entry'!F6/'Data Entry'!B6</f>
        <v>2.7950310559006212E-2</v>
      </c>
      <c r="E14" s="150">
        <f>'Data Entry'!G6/'Data Entry'!B6</f>
        <v>0</v>
      </c>
      <c r="F14" s="150">
        <f>'Data Entry'!H6/'Data Entry'!B6</f>
        <v>1.2422360248447204E-2</v>
      </c>
      <c r="G14" s="150">
        <f>'Data Entry'!I6/'Data Entry'!B6</f>
        <v>0</v>
      </c>
      <c r="H14" s="150">
        <f>SUM(D14:G14)/'Data Entry'!B6</f>
        <v>1.2538096524053856E-4</v>
      </c>
      <c r="I14" s="150">
        <f>'Data Entry'!C6/'Data Entry'!B6</f>
        <v>0.91614906832298137</v>
      </c>
      <c r="K14" s="96" t="str">
        <f t="shared" si="0"/>
        <v>Population, total N=322</v>
      </c>
      <c r="L14">
        <f>I14/(SUM(B14:G14))</f>
        <v>10.925925925925927</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Ontonagon</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295</v>
      </c>
      <c r="D7" s="104">
        <f>'Data Entry'!D6</f>
        <v>6</v>
      </c>
      <c r="E7" s="105"/>
      <c r="F7" s="106">
        <f>'Data Entry'!E6</f>
        <v>8</v>
      </c>
      <c r="G7" s="105"/>
      <c r="H7" s="106">
        <f>'Data Entry'!F6</f>
        <v>9</v>
      </c>
      <c r="I7" s="105"/>
      <c r="J7" s="106">
        <f>'Data Entry'!J6</f>
        <v>27</v>
      </c>
      <c r="K7" s="107"/>
    </row>
    <row r="8" spans="2:30" s="1" customFormat="1" ht="15" customHeight="1" x14ac:dyDescent="0.3">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1" t="s">
        <v>134</v>
      </c>
      <c r="C9" s="103">
        <f>'Data Entry'!C8</f>
        <v>2</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1" t="s">
        <v>95</v>
      </c>
      <c r="C12" s="103">
        <f>'Data Entry'!C11</f>
        <v>2</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1"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x14ac:dyDescent="0.3">
      <c r="B14" s="121" t="s">
        <v>14</v>
      </c>
      <c r="C14" s="103">
        <f>'Data Entry'!C13</f>
        <v>1</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Ontonagon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Entry'!D6</f>
        <v>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6</v>
      </c>
      <c r="P7" s="42">
        <f t="shared" ref="P7:P15" si="2">C7</f>
        <v>0</v>
      </c>
      <c r="Q7" s="42">
        <f>C6-C7</f>
        <v>295</v>
      </c>
      <c r="R7" s="42">
        <f t="shared" ref="R7:R15" si="3">SUM(N7:Q7)</f>
        <v>301</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2</v>
      </c>
      <c r="D8" s="34">
        <f>IF((AND(C67&gt;0,C8&gt;0)),(C8/C67),0)</f>
        <v>6.7796610169491531</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6.05</v>
      </c>
      <c r="P8" s="42">
        <f t="shared" si="2"/>
        <v>2</v>
      </c>
      <c r="Q8" s="42">
        <f>(C$67*L67)-C8</f>
        <v>293</v>
      </c>
      <c r="R8" s="42">
        <f t="shared" si="3"/>
        <v>301.05</v>
      </c>
      <c r="S8" s="30">
        <f t="shared" si="4"/>
        <v>44076.730499999998</v>
      </c>
      <c r="T8" s="30">
        <f t="shared" si="5"/>
        <v>1067458.9750000001</v>
      </c>
      <c r="U8" s="31">
        <f t="shared" si="6"/>
        <v>4.1291264144366763E-2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v>
      </c>
      <c r="R10" s="42">
        <f t="shared" si="3"/>
        <v>2</v>
      </c>
      <c r="S10" s="30">
        <f t="shared" si="4"/>
        <v>0</v>
      </c>
      <c r="T10" s="30">
        <f t="shared" si="5"/>
        <v>0</v>
      </c>
      <c r="U10" s="31" t="str">
        <f t="shared" si="6"/>
        <v>- -</v>
      </c>
    </row>
    <row r="11" spans="2:21" ht="18" customHeight="1" x14ac:dyDescent="0.25">
      <c r="B11" s="32" t="str">
        <f>'Data Entry'!A11</f>
        <v>6. Cases Petitioned (Charge Filed)</v>
      </c>
      <c r="C11" s="33">
        <f>'Data Entry'!C11</f>
        <v>2</v>
      </c>
      <c r="D11" s="34">
        <f>IF(((AND(C68&gt;0,C11&gt;0))),(C11/(C68)),0)</f>
        <v>100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v>
      </c>
      <c r="Q11" s="42">
        <f>(C$68*L68)-C11</f>
        <v>0</v>
      </c>
      <c r="R11" s="42">
        <f t="shared" si="3"/>
        <v>2</v>
      </c>
      <c r="S11" s="30">
        <f t="shared" si="4"/>
        <v>0</v>
      </c>
      <c r="T11" s="30">
        <f t="shared" si="5"/>
        <v>0</v>
      </c>
      <c r="U11" s="31" t="str">
        <f t="shared" si="6"/>
        <v>- -</v>
      </c>
    </row>
    <row r="12" spans="2:21" ht="18" customHeight="1" x14ac:dyDescent="0.25">
      <c r="B12" s="32" t="str">
        <f>'Data Entry'!A12</f>
        <v>7. Cases Resulting in Delinquent Findings</v>
      </c>
      <c r="C12" s="33">
        <f>'Data Entry'!C12</f>
        <v>2</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0</v>
      </c>
      <c r="R12" s="42">
        <f t="shared" si="3"/>
        <v>2</v>
      </c>
      <c r="S12" s="30">
        <f t="shared" si="4"/>
        <v>0</v>
      </c>
      <c r="T12" s="30">
        <f t="shared" si="5"/>
        <v>0</v>
      </c>
      <c r="U12" s="31" t="str">
        <f t="shared" si="6"/>
        <v>- -</v>
      </c>
    </row>
    <row r="13" spans="2:21" ht="18" customHeight="1" x14ac:dyDescent="0.25">
      <c r="B13" s="32" t="str">
        <f>'Data Entry'!A13</f>
        <v>8. Cases Resulting in Probation Placement</v>
      </c>
      <c r="C13" s="33">
        <f>'Data Entry'!C13</f>
        <v>1</v>
      </c>
      <c r="D13" s="34">
        <f>IF(((AND(C70&gt;0,C13&gt;0))),(C13/(C70)),0)</f>
        <v>50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v>
      </c>
      <c r="Q13" s="42">
        <f>(C70*L70)-C13</f>
        <v>1</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6.0000000000000001E-3</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6.0000000000000001E-3</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0.29499999999999998</v>
      </c>
      <c r="D49" s="49">
        <f t="shared" si="9"/>
        <v>6.0000000000000001E-3</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6.0000000000000001E-3</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6.0000000000000001E-3</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6.0000000000000001E-3</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6.0000000000000001E-3</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6.0000000000000001E-3</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6.0000000000000001E-3</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Ontonagon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Entry'!F6</f>
        <v>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9</v>
      </c>
      <c r="P7" s="42">
        <f t="shared" ref="P7:P15" si="4">C7</f>
        <v>0</v>
      </c>
      <c r="Q7" s="42">
        <f>C6-C7</f>
        <v>295</v>
      </c>
      <c r="R7" s="42">
        <f t="shared" ref="R7:R15" si="5">SUM(N7:Q7)</f>
        <v>304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6.7796610169491531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9.0500000000000007</v>
      </c>
      <c r="P8" s="42">
        <f t="shared" si="4"/>
        <v>2</v>
      </c>
      <c r="Q8" s="42">
        <f>(C$67*L67)-C8</f>
        <v>293</v>
      </c>
      <c r="R8" s="42">
        <f t="shared" si="5"/>
        <v>304.05</v>
      </c>
      <c r="S8" s="30">
        <f t="shared" si="6"/>
        <v>99609.820500000031</v>
      </c>
      <c r="T8" s="30">
        <f t="shared" si="7"/>
        <v>1612795.9750000001</v>
      </c>
      <c r="U8" s="31">
        <f t="shared" si="8"/>
        <v>6.176219561807874E-2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100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0</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0</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v>
      </c>
      <c r="D13" s="34">
        <f>IF(((AND(C70&gt;0,C13&gt;0))),(C13/(C70)),0)</f>
        <v>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8.9999999999999993E-3</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8.9999999999999993E-3</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0.29499999999999998</v>
      </c>
      <c r="D49" s="49">
        <f t="shared" si="9"/>
        <v>8.9999999999999993E-3</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8.9999999999999993E-3</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8.9999999999999993E-3</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8.9999999999999993E-3</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8.9999999999999993E-3</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8.9999999999999993E-3</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8.9999999999999993E-3</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Ontonagon</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Entry'!E6</f>
        <v>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8</v>
      </c>
      <c r="P7" s="42">
        <f t="shared" ref="P7:P15" si="4">C7</f>
        <v>0</v>
      </c>
      <c r="Q7" s="42">
        <f>C6-C7</f>
        <v>295</v>
      </c>
      <c r="R7" s="42">
        <f t="shared" ref="R7:R15" si="5">SUM(N7:Q7)</f>
        <v>303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6.7796610169491531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8.0500000000000007</v>
      </c>
      <c r="P8" s="42">
        <f t="shared" si="4"/>
        <v>2</v>
      </c>
      <c r="Q8" s="42">
        <f>(C$67*L67)-C8</f>
        <v>293</v>
      </c>
      <c r="R8" s="42">
        <f t="shared" si="5"/>
        <v>303.05</v>
      </c>
      <c r="S8" s="30">
        <f t="shared" si="6"/>
        <v>78553.59050000002</v>
      </c>
      <c r="T8" s="30">
        <f t="shared" si="7"/>
        <v>1429836.9750000001</v>
      </c>
      <c r="U8" s="31">
        <f t="shared" si="8"/>
        <v>5.4938843989539445E-2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100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0</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0</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v>
      </c>
      <c r="D13" s="34">
        <f>IF(((AND(C70&gt;0,C13&gt;0))),(C13/(C70)),0)</f>
        <v>50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8.0000000000000002E-3</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8.0000000000000002E-3</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0.29499999999999998</v>
      </c>
      <c r="D49" s="49">
        <f t="shared" si="9"/>
        <v>8.0000000000000002E-3</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8.0000000000000002E-3</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8.0000000000000002E-3</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8.0000000000000002E-3</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8.0000000000000002E-3</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8.0000000000000002E-3</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8.0000000000000002E-3</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Ontonagon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295</v>
      </c>
      <c r="R7" s="42">
        <f t="shared" ref="R7:R15" si="5">SUM(N7:Q7)</f>
        <v>295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6.7796610169491531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293</v>
      </c>
      <c r="R8" s="42">
        <f t="shared" si="5"/>
        <v>295.05</v>
      </c>
      <c r="S8" s="30">
        <f t="shared" si="6"/>
        <v>2.9505000000000008</v>
      </c>
      <c r="T8" s="30">
        <f t="shared" si="7"/>
        <v>8644.9750000000004</v>
      </c>
      <c r="U8" s="31">
        <f t="shared" si="8"/>
        <v>3.4129653353537755E-4</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0</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0</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v>
      </c>
      <c r="D13" s="34">
        <f>IF(((AND(C70&gt;0,C13&gt;0))),(C13/(C70)),0)</f>
        <v>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0</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0</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0.29499999999999998</v>
      </c>
      <c r="D49" s="49">
        <f t="shared" si="9"/>
        <v>0</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0</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0</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0</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0</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0</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0</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Ontonagon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295</v>
      </c>
      <c r="D6" s="34"/>
      <c r="E6" s="33">
        <f>'Data Entry'!H6</f>
        <v>4</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v>
      </c>
      <c r="P7" s="42">
        <f t="shared" ref="P7:P15" si="4">C7</f>
        <v>0</v>
      </c>
      <c r="Q7" s="42">
        <f>C6-C7</f>
        <v>295</v>
      </c>
      <c r="R7" s="42">
        <f t="shared" ref="R7:R15" si="5">SUM(N7:Q7)</f>
        <v>299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v>
      </c>
      <c r="D8" s="34">
        <f>IF((AND(C67&gt;0,C8&gt;0)),(C8/C67),0)</f>
        <v>6.7796610169491531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4.05</v>
      </c>
      <c r="P8" s="42">
        <f t="shared" si="4"/>
        <v>2</v>
      </c>
      <c r="Q8" s="42">
        <f>(C$67*L67)-C8</f>
        <v>293</v>
      </c>
      <c r="R8" s="42">
        <f t="shared" si="5"/>
        <v>299.05</v>
      </c>
      <c r="S8" s="30">
        <f t="shared" si="6"/>
        <v>19620.6705</v>
      </c>
      <c r="T8" s="30">
        <f t="shared" si="7"/>
        <v>709800.97499999998</v>
      </c>
      <c r="U8" s="31">
        <f t="shared" si="8"/>
        <v>2.7642495841880183E-2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100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0</v>
      </c>
      <c r="R11" s="42">
        <f t="shared" si="5"/>
        <v>2</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0</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v>
      </c>
      <c r="D13" s="34">
        <f>IF(((AND(C70&gt;0,C13&gt;0))),(C13/(C70)),0)</f>
        <v>50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1</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0.29499999999999998</v>
      </c>
      <c r="D42" s="56">
        <f>E6/1000</f>
        <v>4.0000000000000001E-3</v>
      </c>
      <c r="E42" s="56">
        <f>MAX(C42:D42)</f>
        <v>0.29499999999999998</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0.02</v>
      </c>
      <c r="D44" s="56">
        <f>E8/100</f>
        <v>0</v>
      </c>
      <c r="E44" s="56">
        <f>MAX(C44:D44,0)</f>
        <v>0.02</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0.29499999999999998</v>
      </c>
      <c r="D48" s="56">
        <f>D42</f>
        <v>4.0000000000000001E-3</v>
      </c>
      <c r="E48" s="56">
        <f>MAX(C48:D48)</f>
        <v>0.29499999999999998</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0.29499999999999998</v>
      </c>
      <c r="D49" s="49">
        <f t="shared" si="9"/>
        <v>4.0000000000000001E-3</v>
      </c>
      <c r="E49" s="49">
        <f>MAX(C49:D49)</f>
        <v>0.29499999999999998</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0.29499999999999998</v>
      </c>
      <c r="D54" s="56">
        <f>D48</f>
        <v>4.0000000000000001E-3</v>
      </c>
      <c r="E54" s="56">
        <f>MAX(C54:D54)</f>
        <v>0.29499999999999998</v>
      </c>
      <c r="G54" s="1" t="str">
        <f>G48</f>
        <v>per 1000 youth</v>
      </c>
      <c r="L54" s="58">
        <f>L48</f>
        <v>1000</v>
      </c>
      <c r="M54" s="58"/>
    </row>
    <row r="55" spans="2:18" ht="15" hidden="1" customHeight="1" x14ac:dyDescent="0.25">
      <c r="B55" s="49" t="str">
        <f t="shared" ref="B55:D56" si="10">IF(($E49&gt;0),B49,B48)</f>
        <v>per 1000 youth</v>
      </c>
      <c r="C55" s="49">
        <f t="shared" si="10"/>
        <v>0.29499999999999998</v>
      </c>
      <c r="D55" s="49">
        <f t="shared" si="10"/>
        <v>4.0000000000000001E-3</v>
      </c>
      <c r="E55" s="49">
        <f>MAX(C55:D55)</f>
        <v>0.29499999999999998</v>
      </c>
      <c r="G55" s="1" t="str">
        <f>G49</f>
        <v>per 100 arrests</v>
      </c>
      <c r="L55" s="58">
        <f>IF(($E49&gt;0),L49,L48)</f>
        <v>1000</v>
      </c>
      <c r="M55" s="58"/>
    </row>
    <row r="56" spans="2:18" ht="15" hidden="1" customHeight="1" x14ac:dyDescent="0.25">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0.29499999999999998</v>
      </c>
      <c r="D60" s="56">
        <f>D54</f>
        <v>4.0000000000000001E-3</v>
      </c>
      <c r="E60" s="56">
        <f>MAX(C60:D60)</f>
        <v>0.29499999999999998</v>
      </c>
      <c r="G60" s="1" t="str">
        <f>G54</f>
        <v>per 1000 youth</v>
      </c>
      <c r="L60" s="58">
        <f>L54</f>
        <v>1000</v>
      </c>
      <c r="M60" s="58"/>
    </row>
    <row r="61" spans="2:18" ht="15" hidden="1" customHeight="1" x14ac:dyDescent="0.25">
      <c r="B61" s="49" t="str">
        <f t="shared" ref="B61:D62" si="11">IF(($E55&gt;0),B55,B54)</f>
        <v>per 1000 youth</v>
      </c>
      <c r="C61" s="49">
        <f t="shared" si="11"/>
        <v>0.29499999999999998</v>
      </c>
      <c r="D61" s="49">
        <f t="shared" si="11"/>
        <v>4.0000000000000001E-3</v>
      </c>
      <c r="E61" s="49">
        <f>MAX(C61:D61)</f>
        <v>0.29499999999999998</v>
      </c>
      <c r="G61" s="1" t="str">
        <f>G55</f>
        <v>per 100 arrests</v>
      </c>
      <c r="L61" s="58">
        <f>IF(($E55&gt;0),L55,L54)</f>
        <v>1000</v>
      </c>
      <c r="M61" s="58"/>
    </row>
    <row r="62" spans="2:18" ht="15" hidden="1" customHeight="1" x14ac:dyDescent="0.25">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0.29499999999999998</v>
      </c>
      <c r="D66" s="56">
        <f>D60</f>
        <v>4.0000000000000001E-3</v>
      </c>
      <c r="E66" s="56">
        <f>MAX(C66:D66)</f>
        <v>0.29499999999999998</v>
      </c>
      <c r="G66" s="1" t="str">
        <f>G60</f>
        <v>per 1000 youth</v>
      </c>
      <c r="L66" s="58">
        <f>L60</f>
        <v>1000</v>
      </c>
      <c r="M66" s="58">
        <f>IF((B66=G66),1,2)</f>
        <v>1</v>
      </c>
    </row>
    <row r="67" spans="2:13" ht="15" hidden="1" customHeight="1" x14ac:dyDescent="0.25">
      <c r="B67" s="49" t="str">
        <f t="shared" ref="B67:D68" si="12">IF(($E61&gt;0),B61,B60)</f>
        <v>per 1000 youth</v>
      </c>
      <c r="C67" s="49">
        <f t="shared" si="12"/>
        <v>0.29499999999999998</v>
      </c>
      <c r="D67" s="49">
        <f t="shared" si="12"/>
        <v>4.0000000000000001E-3</v>
      </c>
      <c r="E67" s="49">
        <f>MAX(C67:D67)</f>
        <v>0.29499999999999998</v>
      </c>
      <c r="G67" s="1" t="str">
        <f>G61</f>
        <v>per 100 arrests</v>
      </c>
      <c r="L67" s="58">
        <f>IF(($E61&gt;0),L61,L60)</f>
        <v>1000</v>
      </c>
      <c r="M67" s="58">
        <f>IF((B67=G67),1,2)</f>
        <v>2</v>
      </c>
    </row>
    <row r="68" spans="2:13" ht="15" hidden="1" customHeight="1" x14ac:dyDescent="0.25">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U47JMPN4QEAR-1806752177-30252</_dlc_DocId>
    <_dlc_DocIdUrl xmlns="ac3811b5-0f3e-49e2-ba69-f2ffa0c782af">
      <Url>https://michiganphi.sharepoint.com/sites/CMDMC/_layouts/15/DocIdRedir.aspx?ID=U47JMPN4QEAR-1806752177-30252</Url>
      <Description>U47JMPN4QEAR-1806752177-30252</Description>
    </_dlc_DocIdUrl>
  </documentManagement>
</p:properties>
</file>

<file path=customXml/itemProps1.xml><?xml version="1.0" encoding="utf-8"?>
<ds:datastoreItem xmlns:ds="http://schemas.openxmlformats.org/officeDocument/2006/customXml" ds:itemID="{566E23D8-9AF5-4B70-A27D-74D0FD936879}"/>
</file>

<file path=customXml/itemProps2.xml><?xml version="1.0" encoding="utf-8"?>
<ds:datastoreItem xmlns:ds="http://schemas.openxmlformats.org/officeDocument/2006/customXml" ds:itemID="{B3B2538F-8E7F-41FE-AEA9-EA940D4FDF77}"/>
</file>

<file path=customXml/itemProps3.xml><?xml version="1.0" encoding="utf-8"?>
<ds:datastoreItem xmlns:ds="http://schemas.openxmlformats.org/officeDocument/2006/customXml" ds:itemID="{9A95FCF3-2BAB-4BA7-A7EB-67723F60AA72}"/>
</file>

<file path=customXml/itemProps4.xml><?xml version="1.0" encoding="utf-8"?>
<ds:datastoreItem xmlns:ds="http://schemas.openxmlformats.org/officeDocument/2006/customXml" ds:itemID="{6025830B-1549-47A1-AE1D-6FF448A244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2d5be456-3d0f-4d8b-bce7-4a617eedd959</vt:lpwstr>
  </property>
</Properties>
</file>