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E4597A8D-5648-4948-95FA-91C479E76A61}" xr6:coauthVersionLast="47" xr6:coauthVersionMax="47" xr10:uidLastSave="{3752A4C8-68FC-448C-B477-817AAAF571D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c r="G58" i="2" s="1"/>
  <c r="G64" i="2" s="1"/>
  <c r="G70" i="2" s="1"/>
  <c r="L48" i="2"/>
  <c r="L54" i="2" s="1"/>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s="1"/>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c r="G55" i="4" s="1"/>
  <c r="G61" i="4" s="1"/>
  <c r="G67" i="4" s="1"/>
  <c r="G44" i="4"/>
  <c r="G45" i="4"/>
  <c r="G51" i="4"/>
  <c r="G46" i="4"/>
  <c r="G52" i="4" s="1"/>
  <c r="G58" i="4" s="1"/>
  <c r="G64" i="4" s="1"/>
  <c r="G70" i="4" s="1"/>
  <c r="L48" i="4"/>
  <c r="L54" i="4"/>
  <c r="L60" i="4" s="1"/>
  <c r="L66" i="4" s="1"/>
  <c r="G50" i="4"/>
  <c r="G56" i="4"/>
  <c r="G62" i="4" s="1"/>
  <c r="G68" i="4" s="1"/>
  <c r="G57" i="4"/>
  <c r="G63" i="4" s="1"/>
  <c r="G69" i="4" s="1"/>
  <c r="F1" i="5"/>
  <c r="J5" i="13" s="1"/>
  <c r="B2" i="5"/>
  <c r="B3" i="5"/>
  <c r="B6" i="5"/>
  <c r="B7" i="5"/>
  <c r="B8" i="5"/>
  <c r="B9" i="5"/>
  <c r="B10" i="5"/>
  <c r="B11" i="5"/>
  <c r="B12" i="5"/>
  <c r="B13" i="5"/>
  <c r="B14" i="5"/>
  <c r="B15" i="5"/>
  <c r="B48" i="5"/>
  <c r="B54" i="5"/>
  <c r="B60" i="5"/>
  <c r="B66" i="5" s="1"/>
  <c r="J27" i="5"/>
  <c r="G42" i="5"/>
  <c r="G48" i="5" s="1"/>
  <c r="G54" i="5" s="1"/>
  <c r="G60" i="5" s="1"/>
  <c r="G66" i="5" s="1"/>
  <c r="G43" i="5"/>
  <c r="G49" i="5"/>
  <c r="G55" i="5"/>
  <c r="G61" i="5" s="1"/>
  <c r="G67" i="5" s="1"/>
  <c r="G44" i="5"/>
  <c r="G50" i="5" s="1"/>
  <c r="G56" i="5" s="1"/>
  <c r="G62" i="5" s="1"/>
  <c r="G68" i="5" s="1"/>
  <c r="G45" i="5"/>
  <c r="G51" i="5" s="1"/>
  <c r="G57" i="5" s="1"/>
  <c r="G63" i="5" s="1"/>
  <c r="G69" i="5" s="1"/>
  <c r="G46" i="5"/>
  <c r="L48" i="5"/>
  <c r="G52" i="5"/>
  <c r="G58" i="5" s="1"/>
  <c r="G64" i="5" s="1"/>
  <c r="G70" i="5" s="1"/>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s="1"/>
  <c r="G62" i="6" s="1"/>
  <c r="G68" i="6" s="1"/>
  <c r="F1" i="7"/>
  <c r="B2" i="7"/>
  <c r="B3" i="7"/>
  <c r="B6" i="7"/>
  <c r="B7" i="7"/>
  <c r="B8" i="7"/>
  <c r="B9" i="7"/>
  <c r="B10" i="7"/>
  <c r="B11" i="7"/>
  <c r="B12" i="7"/>
  <c r="B13" i="7"/>
  <c r="B14" i="7"/>
  <c r="B15" i="7"/>
  <c r="B48" i="7"/>
  <c r="B54" i="7"/>
  <c r="B60" i="7" s="1"/>
  <c r="B66" i="7" s="1"/>
  <c r="J27" i="7"/>
  <c r="G42" i="7"/>
  <c r="G43" i="7"/>
  <c r="G49" i="7"/>
  <c r="G44" i="7"/>
  <c r="G45" i="7"/>
  <c r="G51" i="7"/>
  <c r="G57" i="7" s="1"/>
  <c r="G63" i="7" s="1"/>
  <c r="G69" i="7" s="1"/>
  <c r="G46" i="7"/>
  <c r="G52" i="7" s="1"/>
  <c r="G58" i="7" s="1"/>
  <c r="G64" i="7" s="1"/>
  <c r="G70" i="7" s="1"/>
  <c r="G48" i="7"/>
  <c r="G54" i="7"/>
  <c r="G60" i="7" s="1"/>
  <c r="G66" i="7" s="1"/>
  <c r="L48" i="7"/>
  <c r="G50" i="7"/>
  <c r="G56" i="7"/>
  <c r="G62" i="7"/>
  <c r="G68" i="7" s="1"/>
  <c r="L54" i="7"/>
  <c r="L60" i="7" s="1"/>
  <c r="L66" i="7" s="1"/>
  <c r="G55" i="7"/>
  <c r="G61" i="7" s="1"/>
  <c r="G67" i="7" s="1"/>
  <c r="F1" i="8"/>
  <c r="B2" i="8"/>
  <c r="B3" i="8"/>
  <c r="B6" i="8"/>
  <c r="B7" i="8"/>
  <c r="B8" i="8"/>
  <c r="B9" i="8"/>
  <c r="B10" i="8"/>
  <c r="B11" i="8"/>
  <c r="B12" i="8"/>
  <c r="B13" i="8"/>
  <c r="B14" i="8"/>
  <c r="B15" i="8"/>
  <c r="B48" i="8"/>
  <c r="B54" i="8" s="1"/>
  <c r="B60" i="8" s="1"/>
  <c r="B66" i="8" s="1"/>
  <c r="J27" i="8"/>
  <c r="G42" i="8"/>
  <c r="G43" i="8"/>
  <c r="G44" i="8"/>
  <c r="G45" i="8"/>
  <c r="G51" i="8" s="1"/>
  <c r="G57" i="8" s="1"/>
  <c r="G63" i="8" s="1"/>
  <c r="G69" i="8" s="1"/>
  <c r="G46" i="8"/>
  <c r="G52" i="8"/>
  <c r="G48" i="8"/>
  <c r="G54" i="8" s="1"/>
  <c r="G60" i="8" s="1"/>
  <c r="G66" i="8" s="1"/>
  <c r="L48" i="8"/>
  <c r="G49" i="8"/>
  <c r="G55" i="8"/>
  <c r="G61" i="8" s="1"/>
  <c r="G67" i="8" s="1"/>
  <c r="G50" i="8"/>
  <c r="L54" i="8"/>
  <c r="L60" i="8" s="1"/>
  <c r="L66" i="8" s="1"/>
  <c r="G56" i="8"/>
  <c r="G62" i="8" s="1"/>
  <c r="G68" i="8" s="1"/>
  <c r="G58" i="8"/>
  <c r="G64" i="8"/>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3"/>
  <c r="M66" i="3"/>
  <c r="F27" i="2"/>
  <c r="M66" i="2"/>
  <c r="F27" i="8"/>
  <c r="M66" i="8"/>
  <c r="M66" i="7"/>
  <c r="F27" i="7"/>
  <c r="F27" i="6"/>
  <c r="M66" i="6"/>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O25" i="5" s="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E46" i="3"/>
  <c r="L52" i="3" s="1"/>
  <c r="E44" i="6"/>
  <c r="B50" i="6" s="1"/>
  <c r="E46" i="7"/>
  <c r="D52"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C45" i="6"/>
  <c r="E45" i="6" s="1"/>
  <c r="P11" i="6"/>
  <c r="P11" i="8"/>
  <c r="C45" i="8"/>
  <c r="L52" i="5"/>
  <c r="B52" i="5"/>
  <c r="D52" i="5"/>
  <c r="C48" i="6"/>
  <c r="E42" i="6"/>
  <c r="R7" i="6"/>
  <c r="S7" i="6" s="1"/>
  <c r="D21" i="10"/>
  <c r="C4" i="10"/>
  <c r="C7" i="10"/>
  <c r="C5" i="10"/>
  <c r="C10" i="10"/>
  <c r="C11" i="10"/>
  <c r="C6" i="10"/>
  <c r="C9" i="10"/>
  <c r="C12" i="10"/>
  <c r="C8" i="10"/>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L50" i="6"/>
  <c r="L52" i="7"/>
  <c r="B52" i="3"/>
  <c r="C50" i="6"/>
  <c r="E50" i="6" s="1"/>
  <c r="B52" i="7"/>
  <c r="D50" i="5"/>
  <c r="E50"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C54" i="7"/>
  <c r="E48" i="7"/>
  <c r="E49" i="6"/>
  <c r="E49" i="7"/>
  <c r="E48" i="5"/>
  <c r="C54" i="5"/>
  <c r="C54" i="6"/>
  <c r="E48" i="6"/>
  <c r="B51" i="6"/>
  <c r="D51" i="6"/>
  <c r="C51" i="6"/>
  <c r="L51" i="6"/>
  <c r="E52" i="3" l="1"/>
  <c r="B58" i="3" s="1"/>
  <c r="L56" i="5"/>
  <c r="E49" i="5"/>
  <c r="D55" i="5" s="1"/>
  <c r="L51" i="2"/>
  <c r="D51" i="2"/>
  <c r="E51" i="2" s="1"/>
  <c r="R7" i="8"/>
  <c r="S7" i="8" s="1"/>
  <c r="C58" i="5"/>
  <c r="B51" i="2"/>
  <c r="D51" i="8"/>
  <c r="E52" i="8"/>
  <c r="T7" i="8"/>
  <c r="D49" i="8"/>
  <c r="D50" i="8"/>
  <c r="L50" i="8"/>
  <c r="L7" i="5"/>
  <c r="Q8" i="16" s="1"/>
  <c r="K7" i="8"/>
  <c r="B49" i="8"/>
  <c r="C49" i="8"/>
  <c r="C50" i="8"/>
  <c r="M7" i="6"/>
  <c r="G7" i="6" s="1"/>
  <c r="G7" i="9" s="1"/>
  <c r="D55" i="4"/>
  <c r="E55" i="4" s="1"/>
  <c r="L7" i="7"/>
  <c r="Q7" i="9" s="1"/>
  <c r="C58" i="4"/>
  <c r="L7" i="3"/>
  <c r="P8" i="16" s="1"/>
  <c r="B51" i="8"/>
  <c r="L7" i="4"/>
  <c r="O8" i="16" s="1"/>
  <c r="E50" i="2"/>
  <c r="D56" i="2" s="1"/>
  <c r="L55" i="3"/>
  <c r="C55" i="3"/>
  <c r="E55" i="3" s="1"/>
  <c r="L51" i="8"/>
  <c r="B58" i="4"/>
  <c r="B55" i="4"/>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5" i="5" l="1"/>
  <c r="L55" i="5"/>
  <c r="D58" i="3"/>
  <c r="L58" i="3"/>
  <c r="C58" i="3"/>
  <c r="L58" i="8"/>
  <c r="B58" i="8"/>
  <c r="D58" i="8"/>
  <c r="E58" i="5"/>
  <c r="C56" i="2"/>
  <c r="E56" i="2" s="1"/>
  <c r="U7" i="8"/>
  <c r="J7" i="8" s="1"/>
  <c r="M7" i="8" s="1"/>
  <c r="E50" i="8"/>
  <c r="C56" i="8" s="1"/>
  <c r="E58" i="4"/>
  <c r="D64" i="4" s="1"/>
  <c r="E51" i="8"/>
  <c r="L57" i="8" s="1"/>
  <c r="E49" i="8"/>
  <c r="C55" i="8" s="1"/>
  <c r="L62" i="3"/>
  <c r="W8" i="13"/>
  <c r="O7" i="9"/>
  <c r="V8" i="13"/>
  <c r="M8" i="13"/>
  <c r="B56" i="2"/>
  <c r="L56" i="2"/>
  <c r="N7" i="9"/>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3" l="1"/>
  <c r="L64" i="5"/>
  <c r="L64" i="3"/>
  <c r="E58" i="8"/>
  <c r="L64" i="8" s="1"/>
  <c r="B56" i="8"/>
  <c r="L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B64" i="8"/>
  <c r="D64" i="8"/>
  <c r="E64" i="5"/>
  <c r="C63" i="3"/>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E64" i="8" l="1"/>
  <c r="B70" i="8" s="1"/>
  <c r="M70" i="8" s="1"/>
  <c r="B70" i="5"/>
  <c r="F33" i="5" s="1"/>
  <c r="E63" i="3"/>
  <c r="C69" i="3" s="1"/>
  <c r="D15" i="3" s="1"/>
  <c r="C70" i="3"/>
  <c r="D14" i="3" s="1"/>
  <c r="C69" i="7"/>
  <c r="D12" i="7" s="1"/>
  <c r="C70" i="5"/>
  <c r="D14" i="5" s="1"/>
  <c r="D70" i="5"/>
  <c r="F14" i="5" s="1"/>
  <c r="D70" i="6"/>
  <c r="F13" i="6" s="1"/>
  <c r="C63" i="8"/>
  <c r="L63" i="8"/>
  <c r="B70" i="3"/>
  <c r="M70" i="3" s="1"/>
  <c r="L70" i="6"/>
  <c r="D63" i="8"/>
  <c r="L70" i="3"/>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C70" i="8"/>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70" i="8" l="1"/>
  <c r="F13" i="8" s="1"/>
  <c r="L70" i="8"/>
  <c r="Q13" i="8" s="1"/>
  <c r="M70" i="5"/>
  <c r="D13" i="3"/>
  <c r="F34" i="5"/>
  <c r="D69" i="3"/>
  <c r="E69" i="3" s="1"/>
  <c r="Q14" i="3"/>
  <c r="L69" i="3"/>
  <c r="Q12" i="3" s="1"/>
  <c r="D12" i="3"/>
  <c r="B69" i="3"/>
  <c r="M69" i="3" s="1"/>
  <c r="Q12" i="7"/>
  <c r="F13" i="5"/>
  <c r="O13" i="6"/>
  <c r="F14" i="6"/>
  <c r="B69" i="6"/>
  <c r="M69" i="6" s="1"/>
  <c r="Q13" i="3"/>
  <c r="Q14" i="5"/>
  <c r="D13" i="5"/>
  <c r="E69" i="7"/>
  <c r="D15" i="7"/>
  <c r="O15" i="7"/>
  <c r="Q13" i="6"/>
  <c r="Q14" i="6"/>
  <c r="O13" i="5"/>
  <c r="Q13" i="5"/>
  <c r="E70" i="3"/>
  <c r="E63" i="8"/>
  <c r="D69" i="8" s="1"/>
  <c r="F12" i="8" s="1"/>
  <c r="E70" i="6"/>
  <c r="O14" i="6"/>
  <c r="D14" i="6"/>
  <c r="E70" i="5"/>
  <c r="O14" i="5"/>
  <c r="F33" i="3"/>
  <c r="Q15" i="7"/>
  <c r="F34" i="3"/>
  <c r="O12" i="7"/>
  <c r="K12" i="7" s="1"/>
  <c r="O13" i="3"/>
  <c r="F14" i="3"/>
  <c r="C69" i="6"/>
  <c r="D12" i="6" s="1"/>
  <c r="F12"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D13" i="8"/>
  <c r="D70" i="2"/>
  <c r="O14" i="2" s="1"/>
  <c r="D14"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E70" i="8" l="1"/>
  <c r="Q14" i="8"/>
  <c r="K14" i="8" s="1"/>
  <c r="O13" i="8"/>
  <c r="F15" i="3"/>
  <c r="O15" i="3"/>
  <c r="F12" i="3"/>
  <c r="Q15" i="3"/>
  <c r="F32" i="3"/>
  <c r="O12" i="3"/>
  <c r="R12" i="3" s="1"/>
  <c r="S12" i="3" s="1"/>
  <c r="U12" i="3" s="1"/>
  <c r="J12" i="3" s="1"/>
  <c r="R14" i="3"/>
  <c r="S14" i="3" s="1"/>
  <c r="U14" i="3" s="1"/>
  <c r="J14" i="3" s="1"/>
  <c r="M14" i="3" s="1"/>
  <c r="G14" i="3" s="1"/>
  <c r="I15" i="16" s="1"/>
  <c r="F35" i="3"/>
  <c r="R12" i="7"/>
  <c r="S12" i="7" s="1"/>
  <c r="T13" i="6"/>
  <c r="F35" i="6"/>
  <c r="Q15" i="6"/>
  <c r="T13" i="3"/>
  <c r="F32" i="6"/>
  <c r="K14" i="5"/>
  <c r="R13" i="8"/>
  <c r="S13" i="8" s="1"/>
  <c r="R13" i="6"/>
  <c r="S13" i="6" s="1"/>
  <c r="U13" i="6" s="1"/>
  <c r="J13" i="6" s="1"/>
  <c r="M13" i="6" s="1"/>
  <c r="G13" i="6" s="1"/>
  <c r="M14" i="13" s="1"/>
  <c r="K13" i="6"/>
  <c r="O15" i="6"/>
  <c r="K14" i="6"/>
  <c r="R13" i="5"/>
  <c r="S13" i="5" s="1"/>
  <c r="U13" i="5" s="1"/>
  <c r="J13" i="5" s="1"/>
  <c r="M13" i="5" s="1"/>
  <c r="T13" i="5"/>
  <c r="R14" i="6"/>
  <c r="S14" i="6" s="1"/>
  <c r="U14" i="6" s="1"/>
  <c r="J14" i="6" s="1"/>
  <c r="M14" i="6" s="1"/>
  <c r="G14" i="6" s="1"/>
  <c r="M15" i="13" s="1"/>
  <c r="K13" i="5"/>
  <c r="R15" i="7"/>
  <c r="S15" i="7" s="1"/>
  <c r="U15" i="7" s="1"/>
  <c r="J15" i="7" s="1"/>
  <c r="M15" i="7" s="1"/>
  <c r="T12" i="7"/>
  <c r="Q12" i="6"/>
  <c r="B69" i="8"/>
  <c r="M69" i="8" s="1"/>
  <c r="L69" i="8"/>
  <c r="O15" i="8" s="1"/>
  <c r="C69" i="8"/>
  <c r="F15" i="8"/>
  <c r="K13" i="3"/>
  <c r="K15" i="7"/>
  <c r="T14" i="6"/>
  <c r="R13" i="3"/>
  <c r="S13" i="3" s="1"/>
  <c r="U13" i="3" s="1"/>
  <c r="J13" i="3" s="1"/>
  <c r="T14" i="5"/>
  <c r="R14" i="5"/>
  <c r="S14" i="5" s="1"/>
  <c r="U14" i="5" s="1"/>
  <c r="J14" i="5" s="1"/>
  <c r="M14" i="5" s="1"/>
  <c r="K14" i="3"/>
  <c r="T13" i="8"/>
  <c r="T14" i="3"/>
  <c r="T15" i="7"/>
  <c r="O12" i="6"/>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4" i="8" l="1"/>
  <c r="S14" i="8" s="1"/>
  <c r="K15" i="3"/>
  <c r="R15" i="3"/>
  <c r="S15" i="3" s="1"/>
  <c r="U15" i="3" s="1"/>
  <c r="J15" i="3" s="1"/>
  <c r="M15" i="3" s="1"/>
  <c r="G15" i="3" s="1"/>
  <c r="I16" i="16" s="1"/>
  <c r="T15" i="3"/>
  <c r="R15" i="6"/>
  <c r="S15" i="6" s="1"/>
  <c r="U15" i="6" s="1"/>
  <c r="J15" i="6" s="1"/>
  <c r="T12" i="3"/>
  <c r="K12" i="3"/>
  <c r="L12" i="3" s="1"/>
  <c r="P13" i="16" s="1"/>
  <c r="U12" i="7"/>
  <c r="J12" i="7" s="1"/>
  <c r="L12" i="7" s="1"/>
  <c r="S13" i="16" s="1"/>
  <c r="I15" i="13"/>
  <c r="N30" i="3"/>
  <c r="E14" i="9"/>
  <c r="L14" i="3"/>
  <c r="P15" i="16" s="1"/>
  <c r="U13" i="8"/>
  <c r="J13" i="8" s="1"/>
  <c r="M13" i="8" s="1"/>
  <c r="G13" i="8" s="1"/>
  <c r="I13" i="9" s="1"/>
  <c r="F35" i="8"/>
  <c r="L13" i="3"/>
  <c r="P14" i="16" s="1"/>
  <c r="K15" i="6"/>
  <c r="T15" i="6"/>
  <c r="K12" i="6"/>
  <c r="G13" i="9"/>
  <c r="L13" i="6"/>
  <c r="R14" i="16" s="1"/>
  <c r="L13" i="5"/>
  <c r="Q14" i="16" s="1"/>
  <c r="L15" i="7"/>
  <c r="S16" i="16" s="1"/>
  <c r="F32" i="8"/>
  <c r="O12" i="8"/>
  <c r="Q15" i="8"/>
  <c r="R15" i="8" s="1"/>
  <c r="S15" i="8" s="1"/>
  <c r="U15" i="8" s="1"/>
  <c r="J15" i="8" s="1"/>
  <c r="R12" i="6"/>
  <c r="S12" i="6" s="1"/>
  <c r="U12" i="6" s="1"/>
  <c r="J12" i="6" s="1"/>
  <c r="M12" i="6" s="1"/>
  <c r="G12" i="6" s="1"/>
  <c r="Q12" i="8"/>
  <c r="D15" i="8"/>
  <c r="D12" i="8"/>
  <c r="E69" i="8"/>
  <c r="L14" i="5"/>
  <c r="Q15" i="16" s="1"/>
  <c r="U14" i="8"/>
  <c r="J14" i="8" s="1"/>
  <c r="N30" i="8" s="1"/>
  <c r="N30" i="5"/>
  <c r="M13" i="3"/>
  <c r="G13" i="3" s="1"/>
  <c r="I14" i="13" s="1"/>
  <c r="T12" i="6"/>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M15" i="6"/>
  <c r="G15" i="6" s="1"/>
  <c r="L13" i="7"/>
  <c r="S14" i="16" s="1"/>
  <c r="M9" i="3"/>
  <c r="G9" i="3" s="1"/>
  <c r="I10" i="13" s="1"/>
  <c r="G12" i="13"/>
  <c r="G12" i="16"/>
  <c r="N9" i="9"/>
  <c r="P10" i="16"/>
  <c r="M14" i="7"/>
  <c r="N30" i="7"/>
  <c r="L14" i="7"/>
  <c r="S15" i="16" s="1"/>
  <c r="L8" i="7"/>
  <c r="S9" i="16" s="1"/>
  <c r="M9" i="9"/>
  <c r="M10" i="9"/>
  <c r="V10"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L15" i="6" l="1"/>
  <c r="R16" i="16" s="1"/>
  <c r="I16" i="13"/>
  <c r="E15" i="9"/>
  <c r="L15" i="3"/>
  <c r="P16" i="16" s="1"/>
  <c r="Y13" i="13"/>
  <c r="X14" i="13"/>
  <c r="M12" i="7"/>
  <c r="Q12" i="9"/>
  <c r="N14" i="9"/>
  <c r="V15" i="13"/>
  <c r="V14" i="13"/>
  <c r="U11" i="7"/>
  <c r="J11" i="7" s="1"/>
  <c r="M11" i="7" s="1"/>
  <c r="N13" i="9"/>
  <c r="P13" i="9"/>
  <c r="U10" i="7"/>
  <c r="J10" i="7" s="1"/>
  <c r="L10" i="7" s="1"/>
  <c r="S11" i="16" s="1"/>
  <c r="K14" i="16"/>
  <c r="L13" i="8"/>
  <c r="T14" i="16" s="1"/>
  <c r="Q14" i="13"/>
  <c r="U14" i="2"/>
  <c r="J14" i="2" s="1"/>
  <c r="M14" i="2" s="1"/>
  <c r="G14" i="2" s="1"/>
  <c r="E15" i="16" s="1"/>
  <c r="Y16" i="13"/>
  <c r="O13" i="9"/>
  <c r="R12" i="8"/>
  <c r="S12" i="8" s="1"/>
  <c r="W14" i="13"/>
  <c r="Q15" i="9"/>
  <c r="T12" i="8"/>
  <c r="K12" i="8"/>
  <c r="L12" i="6"/>
  <c r="R13" i="16" s="1"/>
  <c r="T15" i="8"/>
  <c r="K15" i="8"/>
  <c r="L15" i="8" s="1"/>
  <c r="T16" i="16" s="1"/>
  <c r="O14" i="9"/>
  <c r="W15" i="13"/>
  <c r="E13" i="9"/>
  <c r="M14" i="8"/>
  <c r="G14" i="8" s="1"/>
  <c r="K15" i="16" s="1"/>
  <c r="L14" i="8"/>
  <c r="T15" i="16" s="1"/>
  <c r="U13" i="2"/>
  <c r="J13" i="2" s="1"/>
  <c r="M13" i="2" s="1"/>
  <c r="G13" i="2" s="1"/>
  <c r="E14" i="16" s="1"/>
  <c r="I14" i="16"/>
  <c r="L8" i="6"/>
  <c r="R9" i="16" s="1"/>
  <c r="X16" i="13"/>
  <c r="P15" i="9"/>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1" i="7" l="1"/>
  <c r="S12" i="16" s="1"/>
  <c r="M10" i="7"/>
  <c r="R13" i="9"/>
  <c r="E15" i="13"/>
  <c r="N30" i="2"/>
  <c r="L14" i="2"/>
  <c r="N15" i="16" s="1"/>
  <c r="C14" i="9"/>
  <c r="Z14" i="13"/>
  <c r="U12" i="8"/>
  <c r="J12" i="8" s="1"/>
  <c r="M12" i="8" s="1"/>
  <c r="G12" i="8" s="1"/>
  <c r="K13" i="16" s="1"/>
  <c r="C13" i="9"/>
  <c r="P12" i="9"/>
  <c r="E14" i="13"/>
  <c r="L13" i="2"/>
  <c r="N14" i="16" s="1"/>
  <c r="X13" i="13"/>
  <c r="I14" i="9"/>
  <c r="Z15" i="13"/>
  <c r="R14" i="9"/>
  <c r="Q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Y12" i="13"/>
  <c r="D15" i="9"/>
  <c r="G16" i="13"/>
  <c r="M10" i="8"/>
  <c r="G10" i="8" s="1"/>
  <c r="K11" i="16" s="1"/>
  <c r="L10" i="8"/>
  <c r="T11" i="16" s="1"/>
  <c r="L11" i="8"/>
  <c r="T12" i="16" s="1"/>
  <c r="M11" i="8"/>
  <c r="G11" i="8" s="1"/>
  <c r="K12" i="16" s="1"/>
  <c r="Q11" i="9" l="1"/>
  <c r="T15" i="13"/>
  <c r="L14" i="9"/>
  <c r="Q13" i="13"/>
  <c r="I12" i="9"/>
  <c r="L12" i="8"/>
  <c r="T14" i="13"/>
  <c r="L13" i="9"/>
  <c r="R9" i="9"/>
  <c r="Z10" i="13"/>
  <c r="R10" i="9"/>
  <c r="Z11" i="13"/>
  <c r="I11" i="9"/>
  <c r="Q12" i="13"/>
  <c r="I10" i="9"/>
  <c r="Q11" i="13"/>
  <c r="R11" i="9"/>
  <c r="Z12" i="13"/>
  <c r="T13" i="16" l="1"/>
  <c r="R12" i="9"/>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<sst xmlns="http://schemas.openxmlformats.org/spreadsheetml/2006/main" count="654" uniqueCount="141">
  <si>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</si>
  <si>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</si>
  <si>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</si>
  <si>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</si>
  <si>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</si>
  <si>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</si>
  <si>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</si>
  <si>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</si>
  <si>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</si>
  <si>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</si>
  <si>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</si>
  <si>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</si>
  <si>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</si>
  <si>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</si>
  <si>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</si>
  <si>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</si>
  <si>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</si>
  <si>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</si>
  <si>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</si>
  <si>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</si>
  <si>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</si>
  <si>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</si>
  <si>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</si>
  <si>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</si>
  <si>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</si>
  <si>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</si>
  <si>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</si>
  <si>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</si>
  <si>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</si>
  <si>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</si>
  <si>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</si>
  <si>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</si>
  <si>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</si>
  <si>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</si>
  <si>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</si>
  <si>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</si>
  <si>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</si>
  <si>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</si>
  <si>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</si>
  <si>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</si>
  <si>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</si>
  <si>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</si>
  <si>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</si>
  <si>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</si>
  <si>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</si>
  <si>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</si>
  <si>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</si>
  <si>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</si>
  <si>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</si>
  <si>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</si>
  <si>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</si>
  <si>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</si>
  <si>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</si>
  <si>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</si>
  <si>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</si>
  <si>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</si>
  <si>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</si>
  <si>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</si>
  <si>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</si>
  <si>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</si>
  <si>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</si>
  <si>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</si>
  <si>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</si>
  <si>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</si>
  <si>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</si>
  <si>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</si>
  <si>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</si>
  <si>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</si>
  <si>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</si>
  <si>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</si>
  <si>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</si>
  <si>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</si>
  <si>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</si>
  <si>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</si>
  <si>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</si>
  <si>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</si>
  <si>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</si>
  <si>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</si>
  <si>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</si>
  <si>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</si>
  <si>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</si>
  <si>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</si>
  <si>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</si>
  <si>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</si>
  <si>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</si>
  <si>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</si>
  <si>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</si>
  <si>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</si>
  <si>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</si>
  <si>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</si>
  <si>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</si>
  <si>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</si>
  <si>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</si>
  <si>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</si>
  <si>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</si>
  <si>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</si>
  <si>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</si>
  <si>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</si>
  <si>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</si>
  <si>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</si>
  <si>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</si>
  <si>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</si>
  <si>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</si>
  <si>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</si>
  <si>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</si>
  <si>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</si>
  <si>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</si>
  <si>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</si>
  <si>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</si>
  <si>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</si>
  <si>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</si>
  <si>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</si>
  <si>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</si>
  <si>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</si>
  <si>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</si>
  <si>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</si>
  <si>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</si>
  <si>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</si>
  <si>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</si>
  <si>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</si>
  <si>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</si>
  <si>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</si>
  <si>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</si>
  <si>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</si>
  <si>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</si>
  <si>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</si>
  <si>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</si>
  <si>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</si>
  <si>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</si>
  <si>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</si>
  <si>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</si>
  <si>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</si>
  <si>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</si>
  <si>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</si>
  <si>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</si>
  <si>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</si>
  <si>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Ogemaw</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</si>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</sst>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Ogemaw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N=65</c:v>
                </c:pt>
                <c:pt idx="3">
                  <c:v>Petitions, total N=26</c:v>
                </c:pt>
                <c:pt idx="4">
                  <c:v>Detentions, total N=1</c:v>
                </c:pt>
                <c:pt idx="5">
                  <c:v>Referrals, total N=88</c:v>
                </c:pt>
                <c:pt idx="6">
                  <c:v>Arrests, total N=13</c:v>
                </c:pt>
                <c:pt idx="7">
                  <c:v>Population, total N=1808</c:v>
                </c:pt>
              </c:strCache>
            </c:strRef>
          </c:cat>
          <c:val>
            <c:numRef>
              <c:f>'Stacked 100%'!$B$7:$B$14</c:f>
              <c:numCache>
                <c:formatCode>0%</c:formatCode>
                <c:ptCount val="8"/>
                <c:pt idx="0">
                  <c:v>0</c:v>
                </c:pt>
                <c:pt idx="1">
                  <c:v>0</c:v>
                </c:pt>
                <c:pt idx="2">
                  <c:v>1.5384615384615385E-2</c:v>
                </c:pt>
                <c:pt idx="3">
                  <c:v>0</c:v>
                </c:pt>
                <c:pt idx="4">
                  <c:v>0</c:v>
                </c:pt>
                <c:pt idx="5">
                  <c:v>1.1363636363636364E-2</c:v>
                </c:pt>
                <c:pt idx="6">
                  <c:v>7.6923076923076927E-2</c:v>
                </c:pt>
                <c:pt idx="7">
                  <c:v>1.8805309734513276E-2</c:v>
                </c:pt>
              </c:numCache>
            </c:numRef>
          </c:val>
          <c:extLst>
            <c:ext xmlns:c16="http://schemas.microsoft.com/office/drawing/2014/chart" uri="{C3380CC4-5D6E-409C-BE32-E72D297353CC}">
              <c16:uniqueId val="{00000000-C982-4A62-991B-9D2A3D7C6F4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N=65</c:v>
                </c:pt>
                <c:pt idx="3">
                  <c:v>Petitions, total N=26</c:v>
                </c:pt>
                <c:pt idx="4">
                  <c:v>Detentions, total N=1</c:v>
                </c:pt>
                <c:pt idx="5">
                  <c:v>Referrals, total N=88</c:v>
                </c:pt>
                <c:pt idx="6">
                  <c:v>Arrests, total N=13</c:v>
                </c:pt>
                <c:pt idx="7">
                  <c:v>Population, total N=1808</c:v>
                </c:pt>
              </c:strCache>
            </c:strRef>
          </c:cat>
          <c:val>
            <c:numRef>
              <c:f>'Stacked 100%'!$C$7:$C$14</c:f>
              <c:numCache>
                <c:formatCode>0%</c:formatCode>
                <c:ptCount val="8"/>
                <c:pt idx="0">
                  <c:v>0</c:v>
                </c:pt>
                <c:pt idx="1">
                  <c:v>0</c:v>
                </c:pt>
                <c:pt idx="2">
                  <c:v>0</c:v>
                </c:pt>
                <c:pt idx="3">
                  <c:v>0</c:v>
                </c:pt>
                <c:pt idx="4">
                  <c:v>0</c:v>
                </c:pt>
                <c:pt idx="5">
                  <c:v>0</c:v>
                </c:pt>
                <c:pt idx="6">
                  <c:v>0</c:v>
                </c:pt>
                <c:pt idx="7">
                  <c:v>3.8716814159292033E-2</c:v>
                </c:pt>
              </c:numCache>
            </c:numRef>
          </c:val>
          <c:extLst>
            <c:ext xmlns:c16="http://schemas.microsoft.com/office/drawing/2014/chart" uri="{C3380CC4-5D6E-409C-BE32-E72D297353CC}">
              <c16:uniqueId val="{00000001-C982-4A62-991B-9D2A3D7C6F4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N=65</c:v>
                </c:pt>
                <c:pt idx="3">
                  <c:v>Petitions, total N=26</c:v>
                </c:pt>
                <c:pt idx="4">
                  <c:v>Detentions, total N=1</c:v>
                </c:pt>
                <c:pt idx="5">
                  <c:v>Referrals, total N=88</c:v>
                </c:pt>
                <c:pt idx="6">
                  <c:v>Arrests, total N=13</c:v>
                </c:pt>
                <c:pt idx="7">
                  <c:v>Population, total N=1808</c:v>
                </c:pt>
              </c:strCache>
            </c:strRef>
          </c:cat>
          <c:val>
            <c:numRef>
              <c:f>'Stacked 100%'!$H$7:$H$14</c:f>
              <c:numCache>
                <c:formatCode>0%</c:formatCode>
                <c:ptCount val="8"/>
                <c:pt idx="0">
                  <c:v>0</c:v>
                </c:pt>
                <c:pt idx="1">
                  <c:v>0</c:v>
                </c:pt>
                <c:pt idx="2">
                  <c:v>0</c:v>
                </c:pt>
                <c:pt idx="3">
                  <c:v>0</c:v>
                </c:pt>
                <c:pt idx="4">
                  <c:v>0</c:v>
                </c:pt>
                <c:pt idx="5">
                  <c:v>0</c:v>
                </c:pt>
                <c:pt idx="6">
                  <c:v>0</c:v>
                </c:pt>
                <c:pt idx="7">
                  <c:v>7.3420001566293365E-6</c:v>
                </c:pt>
              </c:numCache>
            </c:numRef>
          </c:val>
          <c:extLst>
            <c:ext xmlns:c16="http://schemas.microsoft.com/office/drawing/2014/chart" uri="{C3380CC4-5D6E-409C-BE32-E72D297353CC}">
              <c16:uniqueId val="{00000002-C982-4A62-991B-9D2A3D7C6F4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N=65</c:v>
                </c:pt>
                <c:pt idx="3">
                  <c:v>Petitions, total N=26</c:v>
                </c:pt>
                <c:pt idx="4">
                  <c:v>Detentions, total N=1</c:v>
                </c:pt>
                <c:pt idx="5">
                  <c:v>Referrals, total N=88</c:v>
                </c:pt>
                <c:pt idx="6">
                  <c:v>Arrests, total N=13</c:v>
                </c:pt>
                <c:pt idx="7">
                  <c:v>Population, total N=1808</c:v>
                </c:pt>
              </c:strCache>
            </c:strRef>
          </c:cat>
          <c:val>
            <c:numRef>
              <c:f>'Stacked 100%'!$I$7:$I$14</c:f>
              <c:numCache>
                <c:formatCode>0%</c:formatCode>
                <c:ptCount val="8"/>
                <c:pt idx="0">
                  <c:v>0</c:v>
                </c:pt>
                <c:pt idx="1">
                  <c:v>0</c:v>
                </c:pt>
                <c:pt idx="2">
                  <c:v>0.8</c:v>
                </c:pt>
                <c:pt idx="3">
                  <c:v>1</c:v>
                </c:pt>
                <c:pt idx="4">
                  <c:v>1</c:v>
                </c:pt>
                <c:pt idx="5">
                  <c:v>0.85227272727272729</c:v>
                </c:pt>
                <c:pt idx="6">
                  <c:v>0.92307692307692313</c:v>
                </c:pt>
                <c:pt idx="7">
                  <c:v>0.92920353982300885</c:v>
                </c:pt>
              </c:numCache>
            </c:numRef>
          </c:val>
          <c:extLst>
            <c:ext xmlns:c16="http://schemas.microsoft.com/office/drawing/2014/chart" uri="{C3380CC4-5D6E-409C-BE32-E72D297353CC}">
              <c16:uniqueId val="{00000003-C982-4A62-991B-9D2A3D7C6F4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N=65</c:v>
                </c:pt>
                <c:pt idx="3">
                  <c:v>Petitions, total N=26</c:v>
                </c:pt>
                <c:pt idx="4">
                  <c:v>Detentions, total N=1</c:v>
                </c:pt>
                <c:pt idx="5">
                  <c:v>Referrals, total N=88</c:v>
                </c:pt>
                <c:pt idx="6">
                  <c:v>Arrests, total N=13</c:v>
                </c:pt>
                <c:pt idx="7">
                  <c:v>Population, total N=1808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982-4A62-991B-9D2A3D7C6F4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1808</v>
      </c>
      <c r="C6" s="11">
        <v>1680</v>
      </c>
      <c r="D6" s="11">
        <v>34</v>
      </c>
      <c r="E6" s="11">
        <v>70</v>
      </c>
      <c r="F6" s="11">
        <v>13</v>
      </c>
      <c r="G6" s="11"/>
      <c r="H6" s="11">
        <v>11</v>
      </c>
      <c r="I6" s="11"/>
      <c r="J6" s="91">
        <f>SUM(D6:I6)</f>
        <v>128</v>
      </c>
      <c r="K6" s="92"/>
    </row>
    <row r="7" spans="1:11" ht="15.75" customHeight="1" thickBot="1">
      <c r="A7" s="10" t="s">
        <v>8</v>
      </c>
      <c r="B7" s="11">
        <f t="shared" ref="B7:B15" si="0">SUM(C7:I7)+K7</f>
        <v>13</v>
      </c>
      <c r="C7" s="11">
        <v>12</v>
      </c>
      <c r="D7" s="11">
        <v>1</v>
      </c>
      <c r="E7" s="11">
        <v>0</v>
      </c>
      <c r="F7" s="11">
        <v>0</v>
      </c>
      <c r="G7" s="11">
        <v>0</v>
      </c>
      <c r="H7" s="11">
        <v>0</v>
      </c>
      <c r="I7" s="11"/>
      <c r="J7" s="91">
        <f t="shared" ref="J7:J15" si="1">SUM(D7:I7)</f>
        <v>1</v>
      </c>
      <c r="K7" s="92">
        <v>0</v>
      </c>
    </row>
    <row r="8" spans="1:11" ht="15.75" customHeight="1" thickBot="1">
      <c r="A8" s="10" t="s">
        <v>9</v>
      </c>
      <c r="B8" s="11">
        <f t="shared" si="0"/>
        <v>88</v>
      </c>
      <c r="C8" s="11">
        <v>75</v>
      </c>
      <c r="D8" s="11">
        <v>1</v>
      </c>
      <c r="E8" s="11"/>
      <c r="F8" s="11"/>
      <c r="G8" s="11"/>
      <c r="H8" s="11"/>
      <c r="I8" s="11"/>
      <c r="J8" s="91">
        <f t="shared" si="1"/>
        <v>1</v>
      </c>
      <c r="K8" s="92">
        <v>12</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26</v>
      </c>
      <c r="C11" s="11">
        <v>26</v>
      </c>
      <c r="D11" s="11"/>
      <c r="E11" s="11"/>
      <c r="F11" s="11"/>
      <c r="G11" s="11"/>
      <c r="H11" s="11"/>
      <c r="I11" s="11"/>
      <c r="J11" s="91">
        <f t="shared" si="1"/>
        <v>0</v>
      </c>
      <c r="K11" s="92"/>
    </row>
    <row r="12" spans="1:11" ht="15.75" customHeight="1" thickBot="1">
      <c r="A12" s="10" t="s">
        <v>13</v>
      </c>
      <c r="B12" s="11">
        <f t="shared" si="0"/>
        <v>65</v>
      </c>
      <c r="C12" s="11">
        <v>52</v>
      </c>
      <c r="D12" s="11">
        <v>1</v>
      </c>
      <c r="E12" s="11"/>
      <c r="F12" s="11"/>
      <c r="G12" s="11"/>
      <c r="H12" s="11"/>
      <c r="I12" s="11"/>
      <c r="J12" s="91">
        <f t="shared" si="1"/>
        <v>1</v>
      </c>
      <c r="K12" s="92">
        <v>12</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1680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7.1428571428571432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1668</v>
      </c>
      <c r="R7" s="42">
        <f t="shared" ref="R7:R15" si="5">SUM(N7:Q7)</f>
        <v>1680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75</v>
      </c>
      <c r="D8" s="34">
        <f>IF((AND(C67&gt;0,C8&gt;0)),(C8/C67),0)</f>
        <v>625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75</v>
      </c>
      <c r="Q8" s="42">
        <f>(C$67*L67)-C8</f>
        <v>-63</v>
      </c>
      <c r="R8" s="42">
        <f t="shared" si="5"/>
        <v>12.049999999999997</v>
      </c>
      <c r="S8" s="30">
        <f t="shared" si="6"/>
        <v>169.45312499999997</v>
      </c>
      <c r="T8" s="30">
        <f t="shared" si="7"/>
        <v>-2832.7500000000005</v>
      </c>
      <c r="U8" s="31">
        <f t="shared" si="8"/>
        <v>-5.9819301032565511E-2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75</v>
      </c>
      <c r="R9" s="42">
        <f t="shared" si="5"/>
        <v>75</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1.3333333333333333</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74</v>
      </c>
      <c r="R10" s="42">
        <f t="shared" si="5"/>
        <v>75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34.666666666666664</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49</v>
      </c>
      <c r="R11" s="42">
        <f t="shared" si="5"/>
        <v>75</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200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52</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52</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1.68</v>
      </c>
      <c r="D42" s="56">
        <f>E6/1000</f>
        <v>0</v>
      </c>
      <c r="E42" s="56">
        <f>MAX(C42:D42)</f>
        <v>1.68</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0.75</v>
      </c>
      <c r="D44" s="56">
        <f>E8/100</f>
        <v>0</v>
      </c>
      <c r="E44" s="56">
        <f>MAX(C44:D44,0)</f>
        <v>0.75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1.68</v>
      </c>
      <c r="D48" s="56">
        <f>D42</f>
        <v>0</v>
      </c>
      <c r="E48" s="56">
        <f>MAX(C48:D48)</f>
        <v>1.68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1.68</v>
      </c>
      <c r="D54" s="56">
        <f>D48</f>
        <v>0</v>
      </c>
      <c r="E54" s="56">
        <f>MAX(C54:D54)</f>
        <v>1.68</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0.75</v>
      </c>
      <c r="D56" s="49">
        <f t="shared" si="10"/>
        <v>0</v>
      </c>
      <c r="E56" s="49">
        <f>MAX(C56:D56)</f>
        <v>0.75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1.68</v>
      </c>
      <c r="D60" s="56">
        <f>D54</f>
        <v>0</v>
      </c>
      <c r="E60" s="56">
        <f>MAX(C60:D60)</f>
        <v>1.68</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0.75</v>
      </c>
      <c r="D62" s="49">
        <f t="shared" si="11"/>
        <v>0</v>
      </c>
      <c r="E62" s="49">
        <f>MAX(C62:D62)</f>
        <v>0.75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1.68</v>
      </c>
      <c r="D66" s="56">
        <f>D60</f>
        <v>0</v>
      </c>
      <c r="E66" s="56">
        <f>MAX(C66:D66)</f>
        <v>1.68</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0.75</v>
      </c>
      <c r="D68" s="49">
        <f t="shared" si="12"/>
        <v>0</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1680</v>
      </c>
      <c r="D6" s="34"/>
      <c r="E6" s="33">
        <f>'Data Entry'!J6</f>
        <v>128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7.1428571428571432</v>
      </c>
      <c r="E7" s="33">
        <f>'Data Entry'!J7</f>
        <v>1</v>
      </c>
      <c r="F7" s="34">
        <f>IF((AND($E$7&gt;0,$D$66&gt;0)),($E$7/$D$66),0)</f>
        <v>7.8125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127</v>
      </c>
      <c r="P7" s="42">
        <f t="shared" ref="P7:P15" si="4">C7</f>
        <v>12</v>
      </c>
      <c r="Q7" s="42">
        <f>C6-C7</f>
        <v>1668</v>
      </c>
      <c r="R7" s="42">
        <f t="shared" ref="R7:R15" si="5">SUM(N7:Q7)</f>
        <v>1808</v>
      </c>
      <c r="S7" s="30">
        <f t="shared" ref="S7:S15" si="6">R7*((((N7*Q7)-(O7*P7))^2))</f>
        <v>37490688</v>
      </c>
      <c r="T7" s="30">
        <f t="shared" ref="T7:T15" si="7">(N7+O7)*(P7+Q7)*(N7+P7)*(O7+Q7)</f>
        <v>5017958400</v>
      </c>
      <c r="U7" s="31">
        <f t="shared" ref="U7:U15" si="8">IF((S7&gt;0),S7/T7,"- -")</f>
        <v>7.4713030701888637E-3</v>
      </c>
    </row>
    <row r="8" spans="2:21" ht="18" customHeight="1">
      <c r="B8" s="32" t="str">
        <f>'Data Entry'!A8</f>
        <v>3. Refer to Juvenile Court</v>
      </c>
      <c r="C8" s="33">
        <f>'Data Entry'!C8</f>
        <v>75</v>
      </c>
      <c r="D8" s="34">
        <f>IF((AND(C67&gt;0,C8&gt;0)),(C8/C67),0)</f>
        <v>625</v>
      </c>
      <c r="E8" s="33">
        <f>'Data Entry'!J8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75</v>
      </c>
      <c r="Q8" s="42">
        <f>(C$67*L67)-C8</f>
        <v>-63</v>
      </c>
      <c r="R8" s="42">
        <f t="shared" si="5"/>
        <v>13.049999999999997</v>
      </c>
      <c r="S8" s="30">
        <f t="shared" si="6"/>
        <v>58145.09062499999</v>
      </c>
      <c r="T8" s="30">
        <f t="shared" si="7"/>
        <v>-60280.920000000013</v>
      </c>
      <c r="U8" s="31">
        <f t="shared" si="8"/>
        <v>-0.96456873294236345</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75</v>
      </c>
      <c r="R9" s="42">
        <f t="shared" si="5"/>
        <v>76</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1.3333333333333333</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1</v>
      </c>
      <c r="Q10" s="42">
        <f>(C$68*L68)-C10</f>
        <v>74</v>
      </c>
      <c r="R10" s="42">
        <f t="shared" si="5"/>
        <v>76</v>
      </c>
      <c r="S10" s="30">
        <f t="shared" si="6"/>
        <v>76</v>
      </c>
      <c r="T10" s="30">
        <f t="shared" si="7"/>
        <v>5625</v>
      </c>
      <c r="U10" s="31">
        <f t="shared" si="8"/>
        <v>1.3511111111111111E-2</v>
      </c>
    </row>
    <row r="11" spans="2:21" ht="18" customHeight="1">
      <c r="B11" s="32" t="str">
        <f>'Data Entry'!A11</f>
        <v>6. Cases Petitioned (Charge Filed)</v>
      </c>
      <c r="C11" s="33">
        <f>'Data Entry'!C11</f>
        <v>26</v>
      </c>
      <c r="D11" s="34">
        <f>IF(((AND(C68&gt;0,C11&gt;0))),(C11/(C68)),0)</f>
        <v>34.666666666666664</v>
      </c>
      <c r="E11" s="33">
        <f>'Data Entry'!J11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26</v>
      </c>
      <c r="Q11" s="42">
        <f>(C$68*L68)-C11</f>
        <v>49</v>
      </c>
      <c r="R11" s="42">
        <f t="shared" si="5"/>
        <v>76</v>
      </c>
      <c r="S11" s="30">
        <f t="shared" si="6"/>
        <v>51376</v>
      </c>
      <c r="T11" s="30">
        <f t="shared" si="7"/>
        <v>97500</v>
      </c>
      <c r="U11" s="31">
        <f t="shared" si="8"/>
        <v>0.52693333333333336</v>
      </c>
    </row>
    <row r="12" spans="2:21" ht="18" customHeight="1">
      <c r="B12" s="32" t="str">
        <f>'Data Entry'!A12</f>
        <v>7. Cases Resulting in Delinquent Findings</v>
      </c>
      <c r="C12" s="33">
        <f>'Data Entry'!C12</f>
        <v>52</v>
      </c>
      <c r="D12" s="34">
        <f>IF(((AND(C69&gt;0,C12&gt;0))),(C12/(C69)),0)</f>
        <v>200</v>
      </c>
      <c r="E12" s="33">
        <f>'Data Entry'!J12</f>
        <v>1</v>
      </c>
      <c r="F12" s="34">
        <f>IF(((AND($D$69&gt;0,$E$12&gt;0))),(E12/(D69)),0)</f>
        <v>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1</v>
      </c>
      <c r="O12" s="42">
        <f>(D69*L69)-E12</f>
        <v>-1</v>
      </c>
      <c r="P12" s="42">
        <f t="shared" si="4"/>
        <v>52</v>
      </c>
      <c r="Q12" s="42">
        <f>(C69*L69)-C12</f>
        <v>-26</v>
      </c>
      <c r="R12" s="42">
        <f t="shared" si="5"/>
        <v>26</v>
      </c>
      <c r="S12" s="30">
        <f t="shared" si="6"/>
        <v>17576</v>
      </c>
      <c r="T12" s="30">
        <f t="shared" si="7"/>
        <v>0</v>
      </c>
      <c r="U12" s="31" t="e">
        <f t="shared" si="8"/>
        <v>#DIV/0!</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52</v>
      </c>
      <c r="R13" s="42">
        <f t="shared" si="5"/>
        <v>53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52</v>
      </c>
      <c r="R14" s="42">
        <f t="shared" si="5"/>
        <v>53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1.68</v>
      </c>
      <c r="D42" s="56">
        <f>E6/1000</f>
        <v>0.128</v>
      </c>
      <c r="E42" s="56">
        <f>MAX(C42:D42)</f>
        <v>1.68</v>
      </c>
      <c r="G42" s="1" t="str">
        <f>B42</f>
        <v>per 1000 youth</v>
      </c>
      <c r="L42" s="57">
        <v>1000</v>
      </c>
      <c r="M42" s="57"/>
      <c r="R42" s="49"/>
    </row>
    <row r="43" spans="2:18" ht="15" hidden="1" customHeight="1">
      <c r="B43" s="49" t="s">
        <v>87</v>
      </c>
      <c r="C43" s="56">
        <f>C7/100</f>
        <v>0.12</v>
      </c>
      <c r="D43" s="56">
        <f>E7/100</f>
        <v>0.01</v>
      </c>
      <c r="E43" s="56">
        <f>MAX(C43:D43,0)</f>
        <v>0.12</v>
      </c>
      <c r="G43" s="1" t="str">
        <f>B43</f>
        <v>per 100 arrests</v>
      </c>
      <c r="L43" s="57">
        <v>100</v>
      </c>
      <c r="M43" s="57"/>
      <c r="R43" s="49"/>
    </row>
    <row r="44" spans="2:18" ht="15" hidden="1" customHeight="1">
      <c r="B44" s="49" t="s">
        <v>88</v>
      </c>
      <c r="C44" s="56">
        <f>C8/100</f>
        <v>0.75</v>
      </c>
      <c r="D44" s="56">
        <f>E8/100</f>
        <v>0.01</v>
      </c>
      <c r="E44" s="56">
        <f>MAX(C44:D44,0)</f>
        <v>0.75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0.52</v>
      </c>
      <c r="D46" s="49">
        <f>E12/100</f>
        <v>0.01</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1.68</v>
      </c>
      <c r="D48" s="56">
        <f>D42</f>
        <v>0.128</v>
      </c>
      <c r="E48" s="56">
        <f>MAX(C48:D48)</f>
        <v>1.68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0.01</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0.01</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0.01</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1.68</v>
      </c>
      <c r="D54" s="56">
        <f>D48</f>
        <v>0.128</v>
      </c>
      <c r="E54" s="56">
        <f>MAX(C54:D54)</f>
        <v>1.68</v>
      </c>
      <c r="G54" s="1" t="str">
        <f>G48</f>
        <v>per 1000 youth</v>
      </c>
      <c r="L54" s="58">
        <f>L48</f>
        <v>1000</v>
      </c>
      <c r="M54" s="58"/>
    </row>
    <row r="55" spans="2:18" ht="15" hidden="1" customHeight="1">
      <c r="B55" s="49" t="str">
        <f t="shared" ref="B55:D56" si="10">IF(($E49&gt;0),B49,B48)</f>
        <v>per 100 arrests</v>
      </c>
      <c r="C55" s="49">
        <f t="shared" si="10"/>
        <v>0.12</v>
      </c>
      <c r="D55" s="49">
        <f t="shared" si="10"/>
        <v>0.01</v>
      </c>
      <c r="E55" s="49">
        <f>MAX(C55:D55)</f>
        <v>0.12</v>
      </c>
      <c r="G55" s="1" t="str">
        <f>G49</f>
        <v>per 100 arrests</v>
      </c>
      <c r="L55" s="58">
        <f>IF(($E49&gt;0),L49,L48)</f>
        <v>100</v>
      </c>
      <c r="M55" s="58"/>
    </row>
    <row r="56" spans="2:18" ht="15" hidden="1" customHeight="1">
      <c r="B56" s="49" t="str">
        <f t="shared" si="10"/>
        <v>per 100 referrals</v>
      </c>
      <c r="C56" s="49">
        <f t="shared" si="10"/>
        <v>0.75</v>
      </c>
      <c r="D56" s="49">
        <f t="shared" si="10"/>
        <v>0.01</v>
      </c>
      <c r="E56" s="49">
        <f>MAX(C56:D56)</f>
        <v>0.75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0.01</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1.68</v>
      </c>
      <c r="D60" s="56">
        <f>D54</f>
        <v>0.128</v>
      </c>
      <c r="E60" s="56">
        <f>MAX(C60:D60)</f>
        <v>1.68</v>
      </c>
      <c r="G60" s="1" t="str">
        <f>G54</f>
        <v>per 1000 youth</v>
      </c>
      <c r="L60" s="58">
        <f>L54</f>
        <v>1000</v>
      </c>
      <c r="M60" s="58"/>
    </row>
    <row r="61" spans="2:18" ht="15" hidden="1" customHeight="1">
      <c r="B61" s="49" t="str">
        <f t="shared" ref="B61:D62" si="11">IF(($E55&gt;0),B55,B54)</f>
        <v>per 100 arrests</v>
      </c>
      <c r="C61" s="49">
        <f t="shared" si="11"/>
        <v>0.12</v>
      </c>
      <c r="D61" s="49">
        <f t="shared" si="11"/>
        <v>0.01</v>
      </c>
      <c r="E61" s="49">
        <f>MAX(C61:D61)</f>
        <v>0.12</v>
      </c>
      <c r="G61" s="1" t="str">
        <f>G55</f>
        <v>per 100 arrests</v>
      </c>
      <c r="L61" s="58">
        <f>IF(($E55&gt;0),L55,L54)</f>
        <v>100</v>
      </c>
      <c r="M61" s="58"/>
    </row>
    <row r="62" spans="2:18" ht="15" hidden="1" customHeight="1">
      <c r="B62" s="49" t="str">
        <f t="shared" si="11"/>
        <v>per 100 referrals</v>
      </c>
      <c r="C62" s="49">
        <f t="shared" si="11"/>
        <v>0.75</v>
      </c>
      <c r="D62" s="49">
        <f t="shared" si="11"/>
        <v>0.01</v>
      </c>
      <c r="E62" s="49">
        <f>MAX(C62:D62)</f>
        <v>0.75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0.01</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1.68</v>
      </c>
      <c r="D66" s="56">
        <f>D60</f>
        <v>0.128</v>
      </c>
      <c r="E66" s="56">
        <f>MAX(C66:D66)</f>
        <v>1.68</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0.01</v>
      </c>
      <c r="E67" s="49">
        <f>MAX(C67:D67)</f>
        <v>0.12</v>
      </c>
      <c r="G67" s="1" t="str">
        <f>G61</f>
        <v>per 100 arrests</v>
      </c>
      <c r="L67" s="58">
        <f>IF(($E61&gt;0),L61,L60)</f>
        <v>100</v>
      </c>
      <c r="M67" s="58">
        <f>IF((B67=G67),1,2)</f>
        <v>1</v>
      </c>
    </row>
    <row r="68" spans="2:13" ht="15" hidden="1" customHeight="1">
      <c r="B68" s="49" t="str">
        <f t="shared" si="12"/>
        <v>per 100 referrals</v>
      </c>
      <c r="C68" s="49">
        <f t="shared" si="12"/>
        <v>0.75</v>
      </c>
      <c r="D68" s="49">
        <f t="shared" si="12"/>
        <v>0.01</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0.01</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Ogemaw</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#DIV/0!</v>
      </c>
      <c r="M12" s="1" t="e">
        <f>Hispanic!L12</f>
        <v>#VALUE!</v>
      </c>
      <c r="N12" s="1" t="e">
        <f>Asian!L12</f>
        <v>#VALUE!</v>
      </c>
      <c r="O12" s="1" t="e">
        <f>Hawaiian!L12</f>
        <v>#VALUE!</v>
      </c>
      <c r="P12" s="1" t="e">
        <f>'Am Indian'!L12</f>
        <v>#VALUE!</v>
      </c>
      <c r="Q12" s="1" t="e">
        <f>'Other - Mixed'!L12</f>
        <v>#VALUE!</v>
      </c>
      <c r="R12" s="1" t="e">
        <f>'All Minorities'!L12</f>
        <v>#DIV/0!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1808</v>
      </c>
      <c r="D3" s="57">
        <f>'Data Entry'!C6</f>
        <v>1680</v>
      </c>
      <c r="E3" s="57">
        <f>'Data Entry'!D6</f>
        <v>34</v>
      </c>
      <c r="F3" s="57">
        <f>'Data Entry'!E6</f>
        <v>70</v>
      </c>
      <c r="G3" s="57">
        <f>'Data Entry'!F6</f>
        <v>13</v>
      </c>
      <c r="H3" s="57">
        <f>'Data Entry'!G6</f>
        <v>0</v>
      </c>
      <c r="I3" s="57">
        <f>'Data Entry'!H6</f>
        <v>11</v>
      </c>
      <c r="J3" s="57">
        <f>'Data Entry'!I6</f>
        <v>0</v>
      </c>
      <c r="K3" s="57">
        <f>'Data Entry'!J6</f>
        <v>128</v>
      </c>
    </row>
    <row r="4" spans="2:11" ht="15" customHeight="1">
      <c r="B4" s="16" t="s">
        <v>8</v>
      </c>
      <c r="C4" s="1">
        <f>IF((C$3&gt;0),(1000*('Data Entry'!B7/'Data Entry'!B$6)), 0)</f>
        <v>7.1902654867256635</v>
      </c>
      <c r="D4" s="1">
        <f>IF((D$3&gt;0),(1000*('Data Entry'!C7/'Data Entry'!C$6)), 0)</f>
        <v>7.1428571428571423</v>
      </c>
      <c r="E4" s="1">
        <f>IF((E$3&gt;0),(1000*('Data Entry'!D7/'Data Entry'!D$6)), 0)</f>
        <v>29.411764705882351</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7.8125</v>
      </c>
    </row>
    <row r="5" spans="2:11" ht="15" customHeight="1">
      <c r="B5" s="16" t="s">
        <v>9</v>
      </c>
      <c r="C5" s="1">
        <f>IF((C$3&gt;0),(1000*('Data Entry'!B8/'Data Entry'!B$6)), 0)</f>
        <v>48.672566371681413</v>
      </c>
      <c r="D5" s="1">
        <f>IF((D$3&gt;0),(1000*('Data Entry'!C8/'Data Entry'!C$6)), 0)</f>
        <v>44.642857142857146</v>
      </c>
      <c r="E5" s="1">
        <f>IF((E$3&gt;0),(1000*('Data Entry'!D8/'Data Entry'!D$6)), 0)</f>
        <v>29.411764705882351</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7.8125</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0.55309734513274333</v>
      </c>
      <c r="D7" s="1">
        <f>IF((D$3&gt;0),(1000*('Data Entry'!C10/'Data Entry'!C$6)), 0)</f>
        <v>0.59523809523809534</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14.380530973451327</v>
      </c>
      <c r="D8" s="1">
        <f>IF((D$3&gt;0),(1000*('Data Entry'!C11/'Data Entry'!C$6)), 0)</f>
        <v>15.476190476190476</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35.951327433628322</v>
      </c>
      <c r="D9" s="1">
        <f>IF((D$3&gt;0),(1000*('Data Entry'!C12/'Data Entry'!C$6)), 0)</f>
        <v>30.952380952380953</v>
      </c>
      <c r="E9" s="1">
        <f>IF((E$3&gt;0),(1000*('Data Entry'!D12/'Data Entry'!D$6)), 0)</f>
        <v>29.411764705882351</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7.8125</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Ogemaw</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4.1176470588235299</v>
      </c>
      <c r="E19" s="72" t="str">
        <f t="shared" si="1"/>
        <v>--</v>
      </c>
      <c r="F19" s="72" t="str">
        <f t="shared" si="1"/>
        <v>--</v>
      </c>
      <c r="G19" s="72" t="str">
        <f t="shared" si="1"/>
        <v>--</v>
      </c>
      <c r="H19" s="72" t="str">
        <f t="shared" si="1"/>
        <v>--</v>
      </c>
      <c r="I19" s="72" t="str">
        <f t="shared" si="1"/>
        <v>--</v>
      </c>
      <c r="J19" s="73">
        <f t="shared" si="1"/>
        <v>1.09375</v>
      </c>
    </row>
    <row r="20" spans="2:10" ht="15" customHeight="1">
      <c r="B20" s="71" t="s">
        <v>9</v>
      </c>
      <c r="C20" s="72">
        <f t="shared" ref="C20:J27" si="2">IF(AND(($D5&gt;0),(D5&gt;0)), (D5/$D5),"--")</f>
        <v>1</v>
      </c>
      <c r="D20" s="72">
        <f t="shared" si="2"/>
        <v>0.65882352941176459</v>
      </c>
      <c r="E20" s="72" t="str">
        <f t="shared" si="2"/>
        <v>--</v>
      </c>
      <c r="F20" s="72" t="str">
        <f t="shared" si="2"/>
        <v>--</v>
      </c>
      <c r="G20" s="72" t="str">
        <f t="shared" si="2"/>
        <v>--</v>
      </c>
      <c r="H20" s="72" t="str">
        <f t="shared" si="2"/>
        <v>--</v>
      </c>
      <c r="I20" s="72" t="str">
        <f t="shared" si="2"/>
        <v>--</v>
      </c>
      <c r="J20" s="73">
        <f t="shared" si="2"/>
        <v>0.17499999999999999</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f t="shared" si="2"/>
        <v>0.95022624434389136</v>
      </c>
      <c r="E24" s="72" t="str">
        <f t="shared" si="2"/>
        <v>--</v>
      </c>
      <c r="F24" s="72" t="str">
        <f t="shared" si="2"/>
        <v>--</v>
      </c>
      <c r="G24" s="72" t="str">
        <f t="shared" si="2"/>
        <v>--</v>
      </c>
      <c r="H24" s="72" t="str">
        <f t="shared" si="2"/>
        <v>--</v>
      </c>
      <c r="I24" s="72" t="str">
        <f t="shared" si="2"/>
        <v>--</v>
      </c>
      <c r="J24" s="73">
        <f t="shared" si="2"/>
        <v>0.25240384615384615</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Ogemaw</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1680</v>
      </c>
      <c r="D7" s="104">
        <f>'Data Entry'!D6</f>
        <v>34</v>
      </c>
      <c r="E7" s="105"/>
      <c r="F7" s="106">
        <f>'Data Entry'!E6</f>
        <v>70</v>
      </c>
      <c r="G7" s="105"/>
      <c r="H7" s="106">
        <f>'Data Entry'!F6</f>
        <v>13</v>
      </c>
      <c r="I7" s="105"/>
      <c r="J7" s="106">
        <f>'Data Entry'!G6</f>
        <v>0</v>
      </c>
      <c r="K7" s="105"/>
      <c r="L7" s="106">
        <f>'Data Entry'!H6</f>
        <v>11</v>
      </c>
      <c r="M7" s="105"/>
      <c r="N7" s="106">
        <f>'Data Entry'!I6</f>
        <v>0</v>
      </c>
      <c r="O7" s="105"/>
      <c r="P7" s="106">
        <f>'Data Entry'!J6</f>
        <v>128</v>
      </c>
      <c r="Q7" s="107"/>
    </row>
    <row r="8" spans="2:26" s="1" customFormat="1" ht="15" customHeight="1">
      <c r="B8" s="142" t="s">
        <v>8</v>
      </c>
      <c r="C8" s="103">
        <f>'Data Entry'!C7</f>
        <v>12</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75</v>
      </c>
      <c r="D9" s="108">
        <f>'Data Entry'!D8</f>
        <v>1</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26</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52</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t="e">
        <f>'Black or African-American'!L12</f>
        <v>#DIV/0!</v>
      </c>
      <c r="U13" s="1" t="e">
        <f>Hispanic!L12</f>
        <v>#VALUE!</v>
      </c>
      <c r="V13" s="1" t="e">
        <f>Asian!L12</f>
        <v>#VALUE!</v>
      </c>
      <c r="W13" s="1" t="e">
        <f>Hawaiian!L12</f>
        <v>#VALUE!</v>
      </c>
      <c r="X13" s="1" t="e">
        <f>'Am Indian'!L12</f>
        <v>#VALUE!</v>
      </c>
      <c r="Y13" s="1" t="e">
        <f>'Other - Mixed'!L12</f>
        <v>#VALUE!</v>
      </c>
      <c r="Z13" s="1" t="e">
        <f>'All Minorities'!L12</f>
        <v>#DIV/0!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Ogemaw</v>
      </c>
    </row>
    <row r="6" spans="1:12">
      <c r="A6" s="135" t="str">
        <f>CONCATENATE("Percentage of Minorities at Stages of the Juvenile Justice System, ", A5, " 2024")</f>
        <v>Percentage of Minorities at Stages of the Juvenile Justice System, County: Ogemaw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13.125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13.125</v>
      </c>
    </row>
    <row r="9" spans="1:12">
      <c r="A9" s="128" t="str">
        <f>CONCATENATE("Delinquent Findings, total N=", 'Data Entry'!B12)</f>
        <v>Delinquent Findings, total N=65</v>
      </c>
      <c r="B9" s="150">
        <f>'Data Entry'!D12/'Data Entry'!B12</f>
        <v>1.5384615384615385E-2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v>
      </c>
      <c r="K9" s="96" t="str">
        <f t="shared" si="0"/>
        <v>Delinquent Findings, total N=65</v>
      </c>
      <c r="L9">
        <f>I14/(SUM(B14:G14))</f>
        <v>13.125</v>
      </c>
    </row>
    <row r="10" spans="1:12">
      <c r="A10" s="128" t="str">
        <f>CONCATENATE("Petitions, total N=", 'Data Entry'!B11)</f>
        <v>Petitions, total N=26</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N=26</v>
      </c>
      <c r="L10">
        <f>I14/(SUM(B14:G14))</f>
        <v>13.125</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13.125</v>
      </c>
    </row>
    <row r="12" spans="1:12">
      <c r="A12" s="128" t="str">
        <f>CONCATENATE("Referrals, total N=", 'Data Entry'!B8)</f>
        <v>Referrals, total N=88</v>
      </c>
      <c r="B12" s="150">
        <f>'Data Entry'!D8/'Data Entry'!B8</f>
        <v>1.1363636363636364E-2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0.85227272727272729</v>
      </c>
      <c r="K12" s="96" t="str">
        <f t="shared" si="0"/>
        <v>Referrals, total N=88</v>
      </c>
      <c r="L12">
        <f>I14/(SUM(B14:G14))</f>
        <v>13.125</v>
      </c>
    </row>
    <row r="13" spans="1:12">
      <c r="A13" s="128" t="str">
        <f>CONCATENATE("Arrests, total N=", 'Data Entry'!B7)</f>
        <v>Arrests, total N=13</v>
      </c>
      <c r="B13" s="150">
        <f>'Data Entry'!D7/'Data Entry'!B7</f>
        <v>7.6923076923076927E-2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0.92307692307692313</v>
      </c>
      <c r="K13" s="96" t="str">
        <f t="shared" si="0"/>
        <v>Arrests, total N=13</v>
      </c>
      <c r="L13">
        <f>I14/(SUM(B14:G14))</f>
        <v>13.125</v>
      </c>
    </row>
    <row r="14" spans="1:12">
      <c r="A14" s="128" t="str">
        <f>CONCATENATE("Population, total N=", 'Data Entry'!B6)</f>
        <v>Population, total N=1808</v>
      </c>
      <c r="B14" s="150">
        <f>'Data Entry'!D6/'Data Entry'!B6</f>
        <v>1.8805309734513276E-2</v>
      </c>
      <c r="C14" s="150">
        <f>'Data Entry'!E6/'Data Entry'!B6</f>
        <v>3.8716814159292033E-2</v>
      </c>
      <c r="D14" s="150">
        <f>'Data Entry'!F6/'Data Entry'!B6</f>
        <v>7.1902654867256636E-3</v>
      </c>
      <c r="E14" s="150">
        <f>'Data Entry'!G6/'Data Entry'!B6</f>
        <v>0</v>
      </c>
      <c r="F14" s="150">
        <f>'Data Entry'!H6/'Data Entry'!B6</f>
        <v>6.0840707964601769E-3</v>
      </c>
      <c r="G14" s="150">
        <f>'Data Entry'!I6/'Data Entry'!B6</f>
        <v>0</v>
      </c>
      <c r="H14" s="150">
        <f>SUM(D14:G14)/'Data Entry'!B6</f>
        <v>7.3420001566293365E-6</v>
      </c>
      <c r="I14" s="150">
        <f>'Data Entry'!C6/'Data Entry'!B6</f>
        <v>0.92920353982300885</v>
      </c>
      <c r="K14" s="96" t="str">
        <f t="shared" si="0"/>
        <v>Population, total N=1808</v>
      </c>
      <c r="L14">
        <f>I14/(SUM(B14:G14))</f>
        <v>13.125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Ogemaw</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1680</v>
      </c>
      <c r="D7" s="104">
        <f>'Data Entry'!D6</f>
        <v>34</v>
      </c>
      <c r="E7" s="105"/>
      <c r="F7" s="106">
        <f>'Data Entry'!E6</f>
        <v>70</v>
      </c>
      <c r="G7" s="105"/>
      <c r="H7" s="106">
        <f>'Data Entry'!F6</f>
        <v>13</v>
      </c>
      <c r="I7" s="105"/>
      <c r="J7" s="106">
        <f>'Data Entry'!J6</f>
        <v>128</v>
      </c>
      <c r="K7" s="107"/>
    </row>
    <row r="8" spans="2:30" s="1" customFormat="1" ht="15" customHeight="1">
      <c r="B8" s="121" t="s">
        <v>8</v>
      </c>
      <c r="C8" s="103">
        <f>'Data Entry'!C7</f>
        <v>12</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75</v>
      </c>
      <c r="D9" s="108">
        <f>'Data Entry'!D8</f>
        <v>1</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26</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52</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t="e">
        <f>'Black or African-American'!L12</f>
        <v>#DIV/0!</v>
      </c>
      <c r="O13" s="1" t="e">
        <f>Hispanic!L12</f>
        <v>#VALUE!</v>
      </c>
      <c r="P13" s="1" t="e">
        <f>Asian!L12</f>
        <v>#VALUE!</v>
      </c>
      <c r="Q13" s="1" t="e">
        <f>Hawaiian!L12</f>
        <v>#VALUE!</v>
      </c>
      <c r="R13" s="1" t="e">
        <f>'Am Indian'!L12</f>
        <v>#VALUE!</v>
      </c>
      <c r="S13" s="1" t="e">
        <f>'Other - Mixed'!L12</f>
        <v>#VALUE!</v>
      </c>
      <c r="T13" s="1" t="e">
        <f>'All Minorities'!L12</f>
        <v>#DIV/0!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1680</v>
      </c>
      <c r="D6" s="34"/>
      <c r="E6" s="33">
        <f>'Data Entry'!D6</f>
        <v>34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7.1428571428571432</v>
      </c>
      <c r="E7" s="33">
        <f>'Data Entry'!D7</f>
        <v>1</v>
      </c>
      <c r="F7" s="34">
        <f>IF((AND($E$7&gt;0,$D$66&gt;0)),($E$7/$D$66),0)</f>
        <v>29.411764705882351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33</v>
      </c>
      <c r="P7" s="42">
        <f t="shared" ref="P7:P15" si="2">C7</f>
        <v>12</v>
      </c>
      <c r="Q7" s="42">
        <f>C6-C7</f>
        <v>1668</v>
      </c>
      <c r="R7" s="42">
        <f t="shared" ref="R7:R15" si="3">SUM(N7:Q7)</f>
        <v>1714</v>
      </c>
      <c r="S7" s="30">
        <f t="shared" ref="S7:S15" si="4">R7*((((N7*Q7)-(O7*P7))^2))</f>
        <v>2773224576</v>
      </c>
      <c r="T7" s="30">
        <f t="shared" ref="T7:T15" si="5">(N7+O7)*(P7+Q7)*(N7+P7)*(O7+Q7)</f>
        <v>1263094560</v>
      </c>
      <c r="U7" s="31">
        <f t="shared" ref="U7:U15" si="6">IF((S7&gt;0),S7/T7,"- -")</f>
        <v>2.1955795423582538</v>
      </c>
    </row>
    <row r="8" spans="2:21" ht="18" customHeight="1">
      <c r="B8" s="32" t="str">
        <f>'Data Entry'!A8</f>
        <v>3. Refer to Juvenile Court</v>
      </c>
      <c r="C8" s="33">
        <f>'Data Entry'!C8</f>
        <v>75</v>
      </c>
      <c r="D8" s="34">
        <f>IF((AND(C67&gt;0,C8&gt;0)),(C8/C67),0)</f>
        <v>625</v>
      </c>
      <c r="E8" s="33">
        <f>'Data Entry'!D8</f>
        <v>1</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0.05</v>
      </c>
      <c r="P8" s="42">
        <f t="shared" si="2"/>
        <v>75</v>
      </c>
      <c r="Q8" s="42">
        <f>(C$67*L67)-C8</f>
        <v>-63</v>
      </c>
      <c r="R8" s="42">
        <f t="shared" si="3"/>
        <v>13.049999999999997</v>
      </c>
      <c r="S8" s="30">
        <f t="shared" si="4"/>
        <v>58145.09062499999</v>
      </c>
      <c r="T8" s="30">
        <f t="shared" si="5"/>
        <v>-60280.920000000013</v>
      </c>
      <c r="U8" s="31">
        <f t="shared" si="6"/>
        <v>-0.96456873294236345</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75</v>
      </c>
      <c r="R9" s="42">
        <f t="shared" si="3"/>
        <v>76</v>
      </c>
      <c r="S9" s="30">
        <f t="shared" si="4"/>
        <v>0</v>
      </c>
      <c r="T9" s="30">
        <f t="shared" si="5"/>
        <v>0</v>
      </c>
      <c r="U9" s="31" t="str">
        <f t="shared" si="6"/>
        <v>- -</v>
      </c>
    </row>
    <row r="10" spans="2:21" ht="18" customHeight="1">
      <c r="B10" s="32" t="str">
        <f>'Data Entry'!A10</f>
        <v>5. Cases Involving Secure Detention</v>
      </c>
      <c r="C10" s="33">
        <f>'Data Entry'!C10</f>
        <v>1</v>
      </c>
      <c r="D10" s="34">
        <f>IF(((AND(C68&gt;0,C10&gt;0))),(C10/(C68)),0)</f>
        <v>1.3333333333333333</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1</v>
      </c>
      <c r="Q10" s="42">
        <f>(C$68*L68)-C10</f>
        <v>74</v>
      </c>
      <c r="R10" s="42">
        <f t="shared" si="3"/>
        <v>76</v>
      </c>
      <c r="S10" s="30">
        <f t="shared" si="4"/>
        <v>76</v>
      </c>
      <c r="T10" s="30">
        <f t="shared" si="5"/>
        <v>5625</v>
      </c>
      <c r="U10" s="31">
        <f t="shared" si="6"/>
        <v>1.3511111111111111E-2</v>
      </c>
    </row>
    <row r="11" spans="2:21" ht="18" customHeight="1">
      <c r="B11" s="32" t="str">
        <f>'Data Entry'!A11</f>
        <v>6. Cases Petitioned (Charge Filed)</v>
      </c>
      <c r="C11" s="33">
        <f>'Data Entry'!C11</f>
        <v>26</v>
      </c>
      <c r="D11" s="34">
        <f>IF(((AND(C68&gt;0,C11&gt;0))),(C11/(C68)),0)</f>
        <v>34.666666666666664</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v>
      </c>
      <c r="P11" s="42">
        <f t="shared" si="2"/>
        <v>26</v>
      </c>
      <c r="Q11" s="42">
        <f>(C$68*L68)-C11</f>
        <v>49</v>
      </c>
      <c r="R11" s="42">
        <f t="shared" si="3"/>
        <v>76</v>
      </c>
      <c r="S11" s="30">
        <f t="shared" si="4"/>
        <v>51376</v>
      </c>
      <c r="T11" s="30">
        <f t="shared" si="5"/>
        <v>97500</v>
      </c>
      <c r="U11" s="31">
        <f t="shared" si="6"/>
        <v>0.52693333333333336</v>
      </c>
    </row>
    <row r="12" spans="2:21" ht="18" customHeight="1">
      <c r="B12" s="32" t="str">
        <f>'Data Entry'!A12</f>
        <v>7. Cases Resulting in Delinquent Findings</v>
      </c>
      <c r="C12" s="33">
        <f>'Data Entry'!C12</f>
        <v>52</v>
      </c>
      <c r="D12" s="34">
        <f>IF(((AND(C69&gt;0,C12&gt;0))),(C12/(C69)),0)</f>
        <v>200</v>
      </c>
      <c r="E12" s="33">
        <f>'Data Entry'!D12</f>
        <v>1</v>
      </c>
      <c r="F12" s="34">
        <f>IF(((AND($D$69&gt;0,$E$12&gt;0))),(E12/(D69)),0)</f>
        <v>0</v>
      </c>
      <c r="G12" s="39" t="str">
        <f t="shared" si="7"/>
        <v>--</v>
      </c>
      <c r="H12" s="40"/>
      <c r="I12" s="41"/>
      <c r="J12" s="40" t="e">
        <f>IF((ABS($U12)&gt;Defaults!D$7),1,2)</f>
        <v>#DIV/0!</v>
      </c>
      <c r="K12" s="39">
        <f>IF((AND(N12&gt;Defaults!B$12,(N12+O12)&gt;Defaults!B$13, P12 &gt; Defaults!B$12, (P12+Q12) &gt; Defaults!B$13)),1,20)</f>
        <v>20</v>
      </c>
      <c r="L12" s="1" t="e">
        <f t="shared" si="8"/>
        <v>#DIV/0!</v>
      </c>
      <c r="M12" s="1" t="b">
        <f t="shared" si="0"/>
        <v>0</v>
      </c>
      <c r="N12" s="42">
        <f t="shared" si="1"/>
        <v>1</v>
      </c>
      <c r="O12" s="42">
        <f>(D69*L69)-E12</f>
        <v>-1</v>
      </c>
      <c r="P12" s="42">
        <f t="shared" si="2"/>
        <v>52</v>
      </c>
      <c r="Q12" s="42">
        <f>(C69*L69)-C12</f>
        <v>-26</v>
      </c>
      <c r="R12" s="42">
        <f t="shared" si="3"/>
        <v>26</v>
      </c>
      <c r="S12" s="30">
        <f t="shared" si="4"/>
        <v>17576</v>
      </c>
      <c r="T12" s="30">
        <f t="shared" si="5"/>
        <v>0</v>
      </c>
      <c r="U12" s="31" t="e">
        <f t="shared" si="6"/>
        <v>#DIV/0!</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52</v>
      </c>
      <c r="R13" s="42">
        <f t="shared" si="3"/>
        <v>53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52</v>
      </c>
      <c r="R14" s="42">
        <f t="shared" si="3"/>
        <v>53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26</v>
      </c>
      <c r="R15" s="42">
        <f t="shared" si="3"/>
        <v>26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1.68</v>
      </c>
      <c r="D42" s="56">
        <f>E6/1000</f>
        <v>3.4000000000000002E-2</v>
      </c>
      <c r="E42" s="56">
        <f>MAX(C42:D42)</f>
        <v>1.68</v>
      </c>
      <c r="G42" s="1" t="str">
        <f>B42</f>
        <v>per 1000 youth</v>
      </c>
      <c r="L42" s="57">
        <v>1000</v>
      </c>
      <c r="M42" s="57"/>
      <c r="R42" s="49"/>
    </row>
    <row r="43" spans="2:18" ht="15" hidden="1" customHeight="1">
      <c r="B43" s="49" t="s">
        <v>87</v>
      </c>
      <c r="C43" s="56">
        <f>C7/100</f>
        <v>0.12</v>
      </c>
      <c r="D43" s="56">
        <f>E7/100</f>
        <v>0.01</v>
      </c>
      <c r="E43" s="56">
        <f>MAX(C43:D43,0)</f>
        <v>0.12</v>
      </c>
      <c r="G43" s="1" t="str">
        <f>B43</f>
        <v>per 100 arrests</v>
      </c>
      <c r="L43" s="57">
        <v>100</v>
      </c>
      <c r="M43" s="57"/>
      <c r="R43" s="49"/>
    </row>
    <row r="44" spans="2:18" ht="15" hidden="1" customHeight="1">
      <c r="B44" s="49" t="s">
        <v>88</v>
      </c>
      <c r="C44" s="56">
        <f>C8/100</f>
        <v>0.75</v>
      </c>
      <c r="D44" s="56">
        <f>E8/100</f>
        <v>0.01</v>
      </c>
      <c r="E44" s="56">
        <f>MAX(C44:D44,0)</f>
        <v>0.75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0.52</v>
      </c>
      <c r="D46" s="49">
        <f>E12/100</f>
        <v>0.01</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1.68</v>
      </c>
      <c r="D48" s="56">
        <f>D42</f>
        <v>3.4000000000000002E-2</v>
      </c>
      <c r="E48" s="56">
        <f>MAX(C48:D48)</f>
        <v>1.68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0.12</v>
      </c>
      <c r="D49" s="49">
        <f t="shared" si="9"/>
        <v>0.01</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0.01</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0.01</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1.68</v>
      </c>
      <c r="D54" s="56">
        <f>D48</f>
        <v>3.4000000000000002E-2</v>
      </c>
      <c r="E54" s="56">
        <f>MAX(C54:D54)</f>
        <v>1.68</v>
      </c>
      <c r="G54" s="1" t="str">
        <f>G48</f>
        <v>per 1000 youth</v>
      </c>
      <c r="L54" s="58">
        <f>L48</f>
        <v>1000</v>
      </c>
      <c r="M54" s="58"/>
    </row>
    <row r="55" spans="2:18" ht="15" hidden="1" customHeight="1">
      <c r="B55" s="49" t="str">
        <f t="shared" ref="B55:D56" si="10">IF(($E49&gt;0),B49,B48)</f>
        <v>per 100 arrests</v>
      </c>
      <c r="C55" s="49">
        <f t="shared" si="10"/>
        <v>0.12</v>
      </c>
      <c r="D55" s="49">
        <f t="shared" si="10"/>
        <v>0.01</v>
      </c>
      <c r="E55" s="49">
        <f>MAX(C55:D55)</f>
        <v>0.12</v>
      </c>
      <c r="G55" s="1" t="str">
        <f>G49</f>
        <v>per 100 arrests</v>
      </c>
      <c r="L55" s="58">
        <f>IF(($E49&gt;0),L49,L48)</f>
        <v>100</v>
      </c>
      <c r="M55" s="58"/>
    </row>
    <row r="56" spans="2:18" ht="15" hidden="1" customHeight="1">
      <c r="B56" s="49" t="str">
        <f t="shared" si="10"/>
        <v>per 100 referrals</v>
      </c>
      <c r="C56" s="49">
        <f t="shared" si="10"/>
        <v>0.75</v>
      </c>
      <c r="D56" s="49">
        <f t="shared" si="10"/>
        <v>0.01</v>
      </c>
      <c r="E56" s="49">
        <f>MAX(C56:D56)</f>
        <v>0.75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0.01</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1.68</v>
      </c>
      <c r="D60" s="56">
        <f>D54</f>
        <v>3.4000000000000002E-2</v>
      </c>
      <c r="E60" s="56">
        <f>MAX(C60:D60)</f>
        <v>1.68</v>
      </c>
      <c r="G60" s="1" t="str">
        <f>G54</f>
        <v>per 1000 youth</v>
      </c>
      <c r="L60" s="58">
        <f>L54</f>
        <v>1000</v>
      </c>
      <c r="M60" s="58"/>
    </row>
    <row r="61" spans="2:18" ht="15" hidden="1" customHeight="1">
      <c r="B61" s="49" t="str">
        <f t="shared" ref="B61:D62" si="11">IF(($E55&gt;0),B55,B54)</f>
        <v>per 100 arrests</v>
      </c>
      <c r="C61" s="49">
        <f t="shared" si="11"/>
        <v>0.12</v>
      </c>
      <c r="D61" s="49">
        <f t="shared" si="11"/>
        <v>0.01</v>
      </c>
      <c r="E61" s="49">
        <f>MAX(C61:D61)</f>
        <v>0.12</v>
      </c>
      <c r="G61" s="1" t="str">
        <f>G55</f>
        <v>per 100 arrests</v>
      </c>
      <c r="L61" s="58">
        <f>IF(($E55&gt;0),L55,L54)</f>
        <v>100</v>
      </c>
      <c r="M61" s="58"/>
    </row>
    <row r="62" spans="2:18" ht="15" hidden="1" customHeight="1">
      <c r="B62" s="49" t="str">
        <f t="shared" si="11"/>
        <v>per 100 referrals</v>
      </c>
      <c r="C62" s="49">
        <f t="shared" si="11"/>
        <v>0.75</v>
      </c>
      <c r="D62" s="49">
        <f t="shared" si="11"/>
        <v>0.01</v>
      </c>
      <c r="E62" s="49">
        <f>MAX(C62:D62)</f>
        <v>0.75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0.01</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1.68</v>
      </c>
      <c r="D66" s="56">
        <f>D60</f>
        <v>3.4000000000000002E-2</v>
      </c>
      <c r="E66" s="56">
        <f>MAX(C66:D66)</f>
        <v>1.68</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0.01</v>
      </c>
      <c r="E67" s="49">
        <f>MAX(C67:D67)</f>
        <v>0.12</v>
      </c>
      <c r="G67" s="1" t="str">
        <f>G61</f>
        <v>per 100 arrests</v>
      </c>
      <c r="L67" s="58">
        <f>IF(($E61&gt;0),L61,L60)</f>
        <v>100</v>
      </c>
      <c r="M67" s="58">
        <f>IF((B67=G67),1,2)</f>
        <v>1</v>
      </c>
    </row>
    <row r="68" spans="2:13" ht="15" hidden="1" customHeight="1">
      <c r="B68" s="49" t="str">
        <f t="shared" si="12"/>
        <v>per 100 referrals</v>
      </c>
      <c r="C68" s="49">
        <f t="shared" si="12"/>
        <v>0.75</v>
      </c>
      <c r="D68" s="49">
        <f t="shared" si="12"/>
        <v>0.01</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0.01</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1680</v>
      </c>
      <c r="D6" s="34"/>
      <c r="E6" s="33">
        <f>'Data Entry'!F6</f>
        <v>13</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7.1428571428571432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13</v>
      </c>
      <c r="P7" s="42">
        <f t="shared" ref="P7:P15" si="4">C7</f>
        <v>12</v>
      </c>
      <c r="Q7" s="42">
        <f>C6-C7</f>
        <v>1668</v>
      </c>
      <c r="R7" s="42">
        <f t="shared" ref="R7:R15" si="5">SUM(N7:Q7)</f>
        <v>1693</v>
      </c>
      <c r="S7" s="30">
        <f t="shared" ref="S7:S15" si="6">R7*((((N7*Q7)-(O7*P7))^2))</f>
        <v>41200848</v>
      </c>
      <c r="T7" s="30">
        <f t="shared" ref="T7:T15" si="7">(N7+O7)*(P7+Q7)*(N7+P7)*(O7+Q7)</f>
        <v>440556480</v>
      </c>
      <c r="U7" s="31">
        <f t="shared" ref="U7:U15" si="8">IF((S7&gt;0),S7/T7,"- -")</f>
        <v>9.3520013597348517E-2</v>
      </c>
    </row>
    <row r="8" spans="2:21" ht="18" customHeight="1">
      <c r="B8" s="32" t="str">
        <f>'Data Entry'!A8</f>
        <v>3. Refer to Juvenile Court</v>
      </c>
      <c r="C8" s="33">
        <f>'Data Entry'!C8</f>
        <v>75</v>
      </c>
      <c r="D8" s="34">
        <f>IF((AND(C67&gt;0,C8&gt;0)),(C8/C67),0)</f>
        <v>625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75</v>
      </c>
      <c r="Q8" s="42">
        <f>(C$67*L67)-C8</f>
        <v>-63</v>
      </c>
      <c r="R8" s="42">
        <f t="shared" si="5"/>
        <v>12.049999999999997</v>
      </c>
      <c r="S8" s="30">
        <f t="shared" si="6"/>
        <v>169.45312499999997</v>
      </c>
      <c r="T8" s="30">
        <f t="shared" si="7"/>
        <v>-2832.7500000000005</v>
      </c>
      <c r="U8" s="31">
        <f t="shared" si="8"/>
        <v>-5.9819301032565511E-2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75</v>
      </c>
      <c r="R9" s="42">
        <f t="shared" si="5"/>
        <v>75</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1.3333333333333333</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74</v>
      </c>
      <c r="R10" s="42">
        <f t="shared" si="5"/>
        <v>75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34.666666666666664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49</v>
      </c>
      <c r="R11" s="42">
        <f t="shared" si="5"/>
        <v>75</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200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52</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52</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1.68</v>
      </c>
      <c r="D42" s="56">
        <f>E6/1000</f>
        <v>1.2999999999999999E-2</v>
      </c>
      <c r="E42" s="56">
        <f>MAX(C42:D42)</f>
        <v>1.68</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0.75</v>
      </c>
      <c r="D44" s="56">
        <f>E8/100</f>
        <v>0</v>
      </c>
      <c r="E44" s="56">
        <f>MAX(C44:D44,0)</f>
        <v>0.75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1.68</v>
      </c>
      <c r="D48" s="56">
        <f>D42</f>
        <v>1.2999999999999999E-2</v>
      </c>
      <c r="E48" s="56">
        <f>MAX(C48:D48)</f>
        <v>1.68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1.68</v>
      </c>
      <c r="D54" s="56">
        <f>D48</f>
        <v>1.2999999999999999E-2</v>
      </c>
      <c r="E54" s="56">
        <f>MAX(C54:D54)</f>
        <v>1.68</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0.75</v>
      </c>
      <c r="D56" s="49">
        <f t="shared" si="10"/>
        <v>0</v>
      </c>
      <c r="E56" s="49">
        <f>MAX(C56:D56)</f>
        <v>0.75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1.68</v>
      </c>
      <c r="D60" s="56">
        <f>D54</f>
        <v>1.2999999999999999E-2</v>
      </c>
      <c r="E60" s="56">
        <f>MAX(C60:D60)</f>
        <v>1.68</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0.75</v>
      </c>
      <c r="D62" s="49">
        <f t="shared" si="11"/>
        <v>0</v>
      </c>
      <c r="E62" s="49">
        <f>MAX(C62:D62)</f>
        <v>0.75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1.68</v>
      </c>
      <c r="D66" s="56">
        <f>D60</f>
        <v>1.2999999999999999E-2</v>
      </c>
      <c r="E66" s="56">
        <f>MAX(C66:D66)</f>
        <v>1.68</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0.75</v>
      </c>
      <c r="D68" s="49">
        <f t="shared" si="12"/>
        <v>0</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1680</v>
      </c>
      <c r="D6" s="34"/>
      <c r="E6" s="33">
        <f>'Data Entry'!E6</f>
        <v>70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7.1428571428571432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70</v>
      </c>
      <c r="P7" s="42">
        <f t="shared" ref="P7:P15" si="4">C7</f>
        <v>12</v>
      </c>
      <c r="Q7" s="42">
        <f>C6-C7</f>
        <v>1668</v>
      </c>
      <c r="R7" s="42">
        <f t="shared" ref="R7:R15" si="5">SUM(N7:Q7)</f>
        <v>1750</v>
      </c>
      <c r="S7" s="30">
        <f t="shared" ref="S7:S15" si="6">R7*((((N7*Q7)-(O7*P7))^2))</f>
        <v>1234800000</v>
      </c>
      <c r="T7" s="30">
        <f t="shared" ref="T7:T15" si="7">(N7+O7)*(P7+Q7)*(N7+P7)*(O7+Q7)</f>
        <v>2452665600</v>
      </c>
      <c r="U7" s="31">
        <f t="shared" ref="U7:U15" si="8">IF((S7&gt;0),S7/T7,"- -")</f>
        <v>0.50345224395857302</v>
      </c>
    </row>
    <row r="8" spans="2:21" ht="18" customHeight="1">
      <c r="B8" s="32" t="str">
        <f>'Data Entry'!A8</f>
        <v>3. Refer to Juvenile Court</v>
      </c>
      <c r="C8" s="33">
        <f>'Data Entry'!C8</f>
        <v>75</v>
      </c>
      <c r="D8" s="34">
        <f>IF((AND(C67&gt;0,C8&gt;0)),(C8/C67),0)</f>
        <v>625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75</v>
      </c>
      <c r="Q8" s="42">
        <f>(C$67*L67)-C8</f>
        <v>-63</v>
      </c>
      <c r="R8" s="42">
        <f t="shared" si="5"/>
        <v>12.049999999999997</v>
      </c>
      <c r="S8" s="30">
        <f t="shared" si="6"/>
        <v>169.45312499999997</v>
      </c>
      <c r="T8" s="30">
        <f t="shared" si="7"/>
        <v>-2832.7500000000005</v>
      </c>
      <c r="U8" s="31">
        <f t="shared" si="8"/>
        <v>-5.9819301032565511E-2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75</v>
      </c>
      <c r="R9" s="42">
        <f t="shared" si="5"/>
        <v>75</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1.3333333333333333</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74</v>
      </c>
      <c r="R10" s="42">
        <f t="shared" si="5"/>
        <v>75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34.666666666666664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49</v>
      </c>
      <c r="R11" s="42">
        <f t="shared" si="5"/>
        <v>75</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200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52</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52</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1.68</v>
      </c>
      <c r="D42" s="56">
        <f>E6/1000</f>
        <v>7.0000000000000007E-2</v>
      </c>
      <c r="E42" s="56">
        <f>MAX(C42:D42)</f>
        <v>1.68</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0.75</v>
      </c>
      <c r="D44" s="56">
        <f>E8/100</f>
        <v>0</v>
      </c>
      <c r="E44" s="56">
        <f>MAX(C44:D44,0)</f>
        <v>0.75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1.68</v>
      </c>
      <c r="D48" s="56">
        <f>D42</f>
        <v>7.0000000000000007E-2</v>
      </c>
      <c r="E48" s="56">
        <f>MAX(C48:D48)</f>
        <v>1.68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1.68</v>
      </c>
      <c r="D54" s="56">
        <f>D48</f>
        <v>7.0000000000000007E-2</v>
      </c>
      <c r="E54" s="56">
        <f>MAX(C54:D54)</f>
        <v>1.68</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0.75</v>
      </c>
      <c r="D56" s="49">
        <f t="shared" si="10"/>
        <v>0</v>
      </c>
      <c r="E56" s="49">
        <f>MAX(C56:D56)</f>
        <v>0.75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1.68</v>
      </c>
      <c r="D60" s="56">
        <f>D54</f>
        <v>7.0000000000000007E-2</v>
      </c>
      <c r="E60" s="56">
        <f>MAX(C60:D60)</f>
        <v>1.68</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0.75</v>
      </c>
      <c r="D62" s="49">
        <f t="shared" si="11"/>
        <v>0</v>
      </c>
      <c r="E62" s="49">
        <f>MAX(C62:D62)</f>
        <v>0.75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1.68</v>
      </c>
      <c r="D66" s="56">
        <f>D60</f>
        <v>7.0000000000000007E-2</v>
      </c>
      <c r="E66" s="56">
        <f>MAX(C66:D66)</f>
        <v>1.68</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0.75</v>
      </c>
      <c r="D68" s="49">
        <f t="shared" si="12"/>
        <v>0</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1680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7.1428571428571432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1668</v>
      </c>
      <c r="R7" s="42">
        <f t="shared" ref="R7:R15" si="5">SUM(N7:Q7)</f>
        <v>1680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75</v>
      </c>
      <c r="D8" s="34">
        <f>IF((AND(C67&gt;0,C8&gt;0)),(C8/C67),0)</f>
        <v>625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75</v>
      </c>
      <c r="Q8" s="42">
        <f>(C$67*L67)-C8</f>
        <v>-63</v>
      </c>
      <c r="R8" s="42">
        <f t="shared" si="5"/>
        <v>12.049999999999997</v>
      </c>
      <c r="S8" s="30">
        <f t="shared" si="6"/>
        <v>169.45312499999997</v>
      </c>
      <c r="T8" s="30">
        <f t="shared" si="7"/>
        <v>-2832.7500000000005</v>
      </c>
      <c r="U8" s="31">
        <f t="shared" si="8"/>
        <v>-5.9819301032565511E-2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75</v>
      </c>
      <c r="R9" s="42">
        <f t="shared" si="5"/>
        <v>75</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1.3333333333333333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74</v>
      </c>
      <c r="R10" s="42">
        <f t="shared" si="5"/>
        <v>75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34.666666666666664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49</v>
      </c>
      <c r="R11" s="42">
        <f t="shared" si="5"/>
        <v>75</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200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52</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52</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1.68</v>
      </c>
      <c r="D42" s="56">
        <f>E6/1000</f>
        <v>0</v>
      </c>
      <c r="E42" s="56">
        <f>MAX(C42:D42)</f>
        <v>1.68</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0.75</v>
      </c>
      <c r="D44" s="56">
        <f>E8/100</f>
        <v>0</v>
      </c>
      <c r="E44" s="56">
        <f>MAX(C44:D44,0)</f>
        <v>0.75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1.68</v>
      </c>
      <c r="D48" s="56">
        <f>D42</f>
        <v>0</v>
      </c>
      <c r="E48" s="56">
        <f>MAX(C48:D48)</f>
        <v>1.68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1.68</v>
      </c>
      <c r="D54" s="56">
        <f>D48</f>
        <v>0</v>
      </c>
      <c r="E54" s="56">
        <f>MAX(C54:D54)</f>
        <v>1.68</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0.75</v>
      </c>
      <c r="D56" s="49">
        <f t="shared" si="10"/>
        <v>0</v>
      </c>
      <c r="E56" s="49">
        <f>MAX(C56:D56)</f>
        <v>0.75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1.68</v>
      </c>
      <c r="D60" s="56">
        <f>D54</f>
        <v>0</v>
      </c>
      <c r="E60" s="56">
        <f>MAX(C60:D60)</f>
        <v>1.68</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0.75</v>
      </c>
      <c r="D62" s="49">
        <f t="shared" si="11"/>
        <v>0</v>
      </c>
      <c r="E62" s="49">
        <f>MAX(C62:D62)</f>
        <v>0.75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1.68</v>
      </c>
      <c r="D66" s="56">
        <f>D60</f>
        <v>0</v>
      </c>
      <c r="E66" s="56">
        <f>MAX(C66:D66)</f>
        <v>1.68</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0.75</v>
      </c>
      <c r="D68" s="49">
        <f t="shared" si="12"/>
        <v>0</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1680</v>
      </c>
      <c r="D6" s="34"/>
      <c r="E6" s="33">
        <f>'Data Entry'!H6</f>
        <v>11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7.1428571428571432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v>
      </c>
      <c r="P7" s="42">
        <f t="shared" ref="P7:P15" si="4">C7</f>
        <v>12</v>
      </c>
      <c r="Q7" s="42">
        <f>C6-C7</f>
        <v>1668</v>
      </c>
      <c r="R7" s="42">
        <f t="shared" ref="R7:R15" si="5">SUM(N7:Q7)</f>
        <v>1691</v>
      </c>
      <c r="S7" s="30">
        <f t="shared" ref="S7:S15" si="6">R7*((((N7*Q7)-(O7*P7))^2))</f>
        <v>29463984</v>
      </c>
      <c r="T7" s="30">
        <f t="shared" ref="T7:T15" si="7">(N7+O7)*(P7+Q7)*(N7+P7)*(O7+Q7)</f>
        <v>372335040</v>
      </c>
      <c r="U7" s="31">
        <f t="shared" ref="U7:U15" si="8">IF((S7&gt;0),S7/T7,"- -")</f>
        <v>7.9132987322385773E-2</v>
      </c>
    </row>
    <row r="8" spans="2:21" ht="18" customHeight="1">
      <c r="B8" s="32" t="str">
        <f>'Data Entry'!A8</f>
        <v>3. Refer to Juvenile Court</v>
      </c>
      <c r="C8" s="33">
        <f>'Data Entry'!C8</f>
        <v>75</v>
      </c>
      <c r="D8" s="34">
        <f>IF((AND(C67&gt;0,C8&gt;0)),(C8/C67),0)</f>
        <v>625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75</v>
      </c>
      <c r="Q8" s="42">
        <f>(C$67*L67)-C8</f>
        <v>-63</v>
      </c>
      <c r="R8" s="42">
        <f t="shared" si="5"/>
        <v>12.049999999999997</v>
      </c>
      <c r="S8" s="30">
        <f t="shared" si="6"/>
        <v>169.45312499999997</v>
      </c>
      <c r="T8" s="30">
        <f t="shared" si="7"/>
        <v>-2832.7500000000005</v>
      </c>
      <c r="U8" s="31">
        <f t="shared" si="8"/>
        <v>-5.9819301032565511E-2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75</v>
      </c>
      <c r="R9" s="42">
        <f t="shared" si="5"/>
        <v>75</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1.3333333333333333</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74</v>
      </c>
      <c r="R10" s="42">
        <f t="shared" si="5"/>
        <v>75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34.666666666666664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49</v>
      </c>
      <c r="R11" s="42">
        <f t="shared" si="5"/>
        <v>75</v>
      </c>
      <c r="S11" s="30">
        <f t="shared" si="6"/>
        <v>0</v>
      </c>
      <c r="T11" s="30">
        <f t="shared" si="7"/>
        <v>0</v>
      </c>
      <c r="U11" s="31" t="str">
        <f t="shared" si="8"/>
        <v>- -</v>
      </c>
    </row>
    <row r="12" spans="2:21" ht="18" customHeight="1">
      <c r="B12" s="32" t="str">
        <f>'Data Entry'!A12</f>
        <v>7. Cases Resulting in Delinquent Findings</v>
      </c>
      <c r="C12" s="33">
        <f>'Data Entry'!C12</f>
        <v>52</v>
      </c>
      <c r="D12" s="34">
        <f>IF(((AND(C69&gt;0,C12&gt;0))),(C12/(C69)),0)</f>
        <v>200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52</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52</v>
      </c>
      <c r="R13" s="42">
        <f t="shared" si="5"/>
        <v>52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52</v>
      </c>
      <c r="R14" s="42">
        <f t="shared" si="5"/>
        <v>52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1.68</v>
      </c>
      <c r="D42" s="56">
        <f>E6/1000</f>
        <v>1.0999999999999999E-2</v>
      </c>
      <c r="E42" s="56">
        <f>MAX(C42:D42)</f>
        <v>1.68</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0.75</v>
      </c>
      <c r="D44" s="56">
        <f>E8/100</f>
        <v>0</v>
      </c>
      <c r="E44" s="56">
        <f>MAX(C44:D44,0)</f>
        <v>0.75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0.52</v>
      </c>
      <c r="D46" s="49">
        <f>E12/100</f>
        <v>0</v>
      </c>
      <c r="E46" s="56">
        <f>MAX(C46:D46)</f>
        <v>0.52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1.68</v>
      </c>
      <c r="D48" s="56">
        <f>D42</f>
        <v>1.0999999999999999E-2</v>
      </c>
      <c r="E48" s="56">
        <f>MAX(C48:D48)</f>
        <v>1.68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0.75</v>
      </c>
      <c r="D50" s="49">
        <f t="shared" si="9"/>
        <v>0</v>
      </c>
      <c r="E50" s="49">
        <f>MAX(C50:D50)</f>
        <v>0.75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0.52</v>
      </c>
      <c r="D52" s="49">
        <f>IF(($E46&gt;0),D46,D45)</f>
        <v>0</v>
      </c>
      <c r="E52" s="56">
        <f>MAX(C52:D52)</f>
        <v>0.52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1.68</v>
      </c>
      <c r="D54" s="56">
        <f>D48</f>
        <v>1.0999999999999999E-2</v>
      </c>
      <c r="E54" s="56">
        <f>MAX(C54:D54)</f>
        <v>1.68</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0.75</v>
      </c>
      <c r="D56" s="49">
        <f t="shared" si="10"/>
        <v>0</v>
      </c>
      <c r="E56" s="49">
        <f>MAX(C56:D56)</f>
        <v>0.75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0.52</v>
      </c>
      <c r="D58" s="49">
        <f>IF(($E52&gt;0),D52,D51)</f>
        <v>0</v>
      </c>
      <c r="E58" s="56">
        <f>MAX(C58:D58)</f>
        <v>0.52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1.68</v>
      </c>
      <c r="D60" s="56">
        <f>D54</f>
        <v>1.0999999999999999E-2</v>
      </c>
      <c r="E60" s="56">
        <f>MAX(C60:D60)</f>
        <v>1.68</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0.75</v>
      </c>
      <c r="D62" s="49">
        <f t="shared" si="11"/>
        <v>0</v>
      </c>
      <c r="E62" s="49">
        <f>MAX(C62:D62)</f>
        <v>0.75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0.52</v>
      </c>
      <c r="D64" s="49">
        <f>IF(($E58&gt;0),D58,D57)</f>
        <v>0</v>
      </c>
      <c r="E64" s="56">
        <f>MAX(C64:D64)</f>
        <v>0.52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1.68</v>
      </c>
      <c r="D66" s="56">
        <f>D60</f>
        <v>1.0999999999999999E-2</v>
      </c>
      <c r="E66" s="56">
        <f>MAX(C66:D66)</f>
        <v>1.68</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0.75</v>
      </c>
      <c r="D68" s="49">
        <f t="shared" si="12"/>
        <v>0</v>
      </c>
      <c r="E68" s="49">
        <f>MAX(C68:D68)</f>
        <v>0.75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0.52</v>
      </c>
      <c r="D70" s="49">
        <f>IF(($E64&gt;0),D64,D63)</f>
        <v>0</v>
      </c>
      <c r="E70" s="56">
        <f>MAX(C70:D70)</f>
        <v>0.52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U47JMPN4QEAR-1806752177-35384</_dlc_DocId>
    <_dlc_DocIdUrl xmlns="ac3811b5-0f3e-49e2-ba69-f2ffa0c782af">
      <Url>https://michiganphi.sharepoint.com/sites/CMDMC/_layouts/15/DocIdRedir.aspx?ID=U47JMPN4QEAR-1806752177-35384</Url>
      <Description>U47JMPN4QEAR-1806752177-35384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7E2C405-251E-4973-B37C-CF9139B4A886}"/>
</file>

<file path=customXml/itemProps2.xml><?xml version="1.0" encoding="utf-8"?>
<ds:datastoreItem xmlns:ds="http://schemas.openxmlformats.org/officeDocument/2006/customXml" ds:itemID="{CB389263-6681-430E-A129-5B4D20370ADA}">
  <ds:schemaRefs>
    <ds:schemaRef ds:uri="http://schemas.microsoft.com/sharepoint/v3/contenttype/forms"/>
  </ds:schemaRefs>
</ds:datastoreItem>
</file>

<file path=customXml/itemProps3.xml><?xml version="1.0" encoding="utf-8"?>
<ds:datastoreItem xmlns:ds="http://schemas.openxmlformats.org/officeDocument/2006/customXml" ds:itemID="{D0611F2D-469B-447A-BB7F-1626772C97CF}">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CA89446E-DA9B-4F67-A94E-2046EC74BD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c2755c40-2545-41fb-92b6-bd8e7911ad11</vt:lpwstr>
  </property>
</Properties>
</file>