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9" documentId="8_{DC26AB20-21E2-4D62-95EC-F2B604FB5D67}" xr6:coauthVersionLast="47" xr6:coauthVersionMax="47" xr10:uidLastSave="{30E6E0F7-2472-4802-BAE9-319FB439B81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c r="G58" i="2" s="1"/>
  <c r="G64" i="2" s="1"/>
  <c r="G70" i="2" s="1"/>
  <c r="L48" i="2"/>
  <c r="L54" i="2" s="1"/>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s="1"/>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c r="G55" i="4" s="1"/>
  <c r="G61" i="4" s="1"/>
  <c r="G67" i="4" s="1"/>
  <c r="G44" i="4"/>
  <c r="G45" i="4"/>
  <c r="G51" i="4"/>
  <c r="G46" i="4"/>
  <c r="G52" i="4" s="1"/>
  <c r="G58" i="4" s="1"/>
  <c r="G64" i="4" s="1"/>
  <c r="G70" i="4" s="1"/>
  <c r="L48" i="4"/>
  <c r="L54" i="4"/>
  <c r="L60" i="4" s="1"/>
  <c r="L66" i="4" s="1"/>
  <c r="G50" i="4"/>
  <c r="G56" i="4"/>
  <c r="G62" i="4" s="1"/>
  <c r="G68" i="4" s="1"/>
  <c r="G57" i="4"/>
  <c r="G63" i="4" s="1"/>
  <c r="G69" i="4" s="1"/>
  <c r="F1" i="5"/>
  <c r="J5" i="13" s="1"/>
  <c r="B2" i="5"/>
  <c r="B3" i="5"/>
  <c r="B6" i="5"/>
  <c r="B7" i="5"/>
  <c r="B8" i="5"/>
  <c r="B9" i="5"/>
  <c r="B10" i="5"/>
  <c r="B11" i="5"/>
  <c r="B12" i="5"/>
  <c r="B13" i="5"/>
  <c r="B14" i="5"/>
  <c r="B15" i="5"/>
  <c r="B48" i="5"/>
  <c r="B54" i="5"/>
  <c r="B60" i="5"/>
  <c r="B66" i="5" s="1"/>
  <c r="J27" i="5"/>
  <c r="G42" i="5"/>
  <c r="G48" i="5" s="1"/>
  <c r="G54" i="5" s="1"/>
  <c r="G60" i="5" s="1"/>
  <c r="G66" i="5" s="1"/>
  <c r="G43" i="5"/>
  <c r="G49" i="5"/>
  <c r="G55" i="5"/>
  <c r="G61" i="5" s="1"/>
  <c r="G67" i="5" s="1"/>
  <c r="G44" i="5"/>
  <c r="G50" i="5" s="1"/>
  <c r="G56" i="5" s="1"/>
  <c r="G62" i="5" s="1"/>
  <c r="G68" i="5" s="1"/>
  <c r="G45" i="5"/>
  <c r="G51" i="5" s="1"/>
  <c r="G57" i="5" s="1"/>
  <c r="G63" i="5" s="1"/>
  <c r="G69" i="5" s="1"/>
  <c r="G46" i="5"/>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s="1"/>
  <c r="G62" i="6" s="1"/>
  <c r="G68" i="6" s="1"/>
  <c r="F1" i="7"/>
  <c r="B2" i="7"/>
  <c r="B3" i="7"/>
  <c r="B6" i="7"/>
  <c r="B7" i="7"/>
  <c r="B8" i="7"/>
  <c r="B9" i="7"/>
  <c r="B10" i="7"/>
  <c r="B11" i="7"/>
  <c r="B12" i="7"/>
  <c r="B13" i="7"/>
  <c r="B14" i="7"/>
  <c r="B15" i="7"/>
  <c r="B48" i="7"/>
  <c r="B54" i="7"/>
  <c r="B60" i="7" s="1"/>
  <c r="B66" i="7" s="1"/>
  <c r="J27" i="7"/>
  <c r="G42" i="7"/>
  <c r="G43" i="7"/>
  <c r="G49" i="7"/>
  <c r="G44" i="7"/>
  <c r="G45" i="7"/>
  <c r="G51" i="7"/>
  <c r="G57" i="7" s="1"/>
  <c r="G63" i="7" s="1"/>
  <c r="G69" i="7" s="1"/>
  <c r="G46" i="7"/>
  <c r="G52" i="7" s="1"/>
  <c r="G58" i="7" s="1"/>
  <c r="G64" i="7" s="1"/>
  <c r="G70" i="7" s="1"/>
  <c r="G48" i="7"/>
  <c r="G54" i="7"/>
  <c r="G60" i="7" s="1"/>
  <c r="G66" i="7" s="1"/>
  <c r="L48" i="7"/>
  <c r="G50" i="7"/>
  <c r="G56" i="7"/>
  <c r="G62" i="7"/>
  <c r="G68" i="7" s="1"/>
  <c r="L54" i="7"/>
  <c r="L60" i="7" s="1"/>
  <c r="L66" i="7" s="1"/>
  <c r="G55" i="7"/>
  <c r="G61" i="7" s="1"/>
  <c r="G67" i="7" s="1"/>
  <c r="F1" i="8"/>
  <c r="B2" i="8"/>
  <c r="B3" i="8"/>
  <c r="B6" i="8"/>
  <c r="B7" i="8"/>
  <c r="B8" i="8"/>
  <c r="B9" i="8"/>
  <c r="B10" i="8"/>
  <c r="B11" i="8"/>
  <c r="B12" i="8"/>
  <c r="B13" i="8"/>
  <c r="B14" i="8"/>
  <c r="B15" i="8"/>
  <c r="B48" i="8"/>
  <c r="B54" i="8" s="1"/>
  <c r="B60" i="8" s="1"/>
  <c r="B66" i="8" s="1"/>
  <c r="J27" i="8"/>
  <c r="G42" i="8"/>
  <c r="G43" i="8"/>
  <c r="G44" i="8"/>
  <c r="G45" i="8"/>
  <c r="G51" i="8" s="1"/>
  <c r="G57" i="8" s="1"/>
  <c r="G63" i="8" s="1"/>
  <c r="G69" i="8" s="1"/>
  <c r="G46" i="8"/>
  <c r="G52" i="8"/>
  <c r="G48" i="8"/>
  <c r="G54" i="8" s="1"/>
  <c r="G60" i="8" s="1"/>
  <c r="G66" i="8" s="1"/>
  <c r="L48" i="8"/>
  <c r="G49" i="8"/>
  <c r="G55" i="8"/>
  <c r="G61" i="8" s="1"/>
  <c r="G67" i="8" s="1"/>
  <c r="G50" i="8"/>
  <c r="L54" i="8"/>
  <c r="L60" i="8" s="1"/>
  <c r="L66" i="8" s="1"/>
  <c r="G56" i="8"/>
  <c r="G62" i="8" s="1"/>
  <c r="G68" i="8" s="1"/>
  <c r="G58" i="8"/>
  <c r="G64" i="8"/>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3"/>
  <c r="M66" i="3"/>
  <c r="F27" i="2"/>
  <c r="M66" i="2"/>
  <c r="F27" i="8"/>
  <c r="M66" i="8"/>
  <c r="M66" i="7"/>
  <c r="F27" i="7"/>
  <c r="F27" i="6"/>
  <c r="M66" i="6"/>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E46" i="3"/>
  <c r="L52" i="3" s="1"/>
  <c r="E44" i="6"/>
  <c r="B50" i="6" s="1"/>
  <c r="E46" i="7"/>
  <c r="D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L50" i="6"/>
  <c r="L52" i="7"/>
  <c r="B52" i="3"/>
  <c r="C50" i="6"/>
  <c r="E50" i="6" s="1"/>
  <c r="B52" i="7"/>
  <c r="D50" i="5"/>
  <c r="E50" i="5" s="1"/>
  <c r="L56"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C54" i="7"/>
  <c r="E48" i="7"/>
  <c r="E49" i="6"/>
  <c r="E49" i="7"/>
  <c r="E48" i="5"/>
  <c r="C54" i="5"/>
  <c r="C54" i="6"/>
  <c r="E48" i="6"/>
  <c r="B51" i="6"/>
  <c r="D51" i="6"/>
  <c r="C51" i="6"/>
  <c r="L51" i="6"/>
  <c r="E49" i="5" l="1"/>
  <c r="D55" i="5" s="1"/>
  <c r="L51" i="2"/>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E58" i="8"/>
  <c r="B56" i="8"/>
  <c r="L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E64" i="5"/>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E64" i="8" l="1"/>
  <c r="B70" i="5"/>
  <c r="F33" i="5" s="1"/>
  <c r="E63" i="3"/>
  <c r="C69" i="3" s="1"/>
  <c r="D15" i="3" s="1"/>
  <c r="C70" i="3"/>
  <c r="D14" i="3" s="1"/>
  <c r="C69" i="7"/>
  <c r="D12" i="7" s="1"/>
  <c r="C70" i="5"/>
  <c r="D14" i="5" s="1"/>
  <c r="D70" i="5"/>
  <c r="F14" i="5" s="1"/>
  <c r="D70" i="6"/>
  <c r="F13" i="6" s="1"/>
  <c r="C63" i="8"/>
  <c r="L63" i="8"/>
  <c r="B70" i="3"/>
  <c r="M70" i="3" s="1"/>
  <c r="L70" i="6"/>
  <c r="D63" i="8"/>
  <c r="D70" i="8" s="1"/>
  <c r="F13" i="8" s="1"/>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L70" i="8" l="1"/>
  <c r="M70" i="5"/>
  <c r="D13" i="3"/>
  <c r="F34" i="5"/>
  <c r="D69" i="3"/>
  <c r="E69" i="3" s="1"/>
  <c r="Q14" i="3"/>
  <c r="L69" i="3"/>
  <c r="Q12" i="3" s="1"/>
  <c r="D12" i="3"/>
  <c r="B69" i="3"/>
  <c r="M69" i="3" s="1"/>
  <c r="Q12" i="7"/>
  <c r="F13" i="5"/>
  <c r="O13" i="6"/>
  <c r="F14" i="6"/>
  <c r="B69" i="6"/>
  <c r="M69" i="6" s="1"/>
  <c r="Q13" i="3"/>
  <c r="Q14" i="5"/>
  <c r="D13" i="5"/>
  <c r="Q13" i="8"/>
  <c r="E69" i="7"/>
  <c r="D15" i="7"/>
  <c r="O15" i="7"/>
  <c r="Q13" i="6"/>
  <c r="Q14" i="6"/>
  <c r="O13" i="5"/>
  <c r="Q13" i="5"/>
  <c r="E70" i="3"/>
  <c r="E63" i="8"/>
  <c r="D69" i="8" s="1"/>
  <c r="F12" i="8" s="1"/>
  <c r="E70" i="6"/>
  <c r="O14" i="6"/>
  <c r="D14" i="6"/>
  <c r="E70" i="5"/>
  <c r="O14" i="5"/>
  <c r="F33" i="3"/>
  <c r="Q15" i="7"/>
  <c r="F34" i="3"/>
  <c r="O12" i="7"/>
  <c r="K12" i="7" s="1"/>
  <c r="O13" i="3"/>
  <c r="F14" i="3"/>
  <c r="C69" i="6"/>
  <c r="D12" i="6" s="1"/>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O15" i="3"/>
  <c r="F12" i="3"/>
  <c r="Q15" i="3"/>
  <c r="F32" i="3"/>
  <c r="O12" i="3"/>
  <c r="R12" i="3" s="1"/>
  <c r="S12" i="3" s="1"/>
  <c r="R14" i="3"/>
  <c r="S14" i="3" s="1"/>
  <c r="U14" i="3" s="1"/>
  <c r="J14" i="3" s="1"/>
  <c r="M14" i="3" s="1"/>
  <c r="G14" i="3" s="1"/>
  <c r="I15" i="16" s="1"/>
  <c r="F35" i="3"/>
  <c r="R12" i="7"/>
  <c r="S12" i="7" s="1"/>
  <c r="T13" i="6"/>
  <c r="F35" i="6"/>
  <c r="Q15" i="6"/>
  <c r="T13" i="3"/>
  <c r="F32" i="6"/>
  <c r="K14" i="5"/>
  <c r="R13" i="8"/>
  <c r="S13" i="8" s="1"/>
  <c r="R13" i="6"/>
  <c r="S13" i="6" s="1"/>
  <c r="U13" i="6" s="1"/>
  <c r="J13" i="6" s="1"/>
  <c r="M13" i="6" s="1"/>
  <c r="G13" i="6" s="1"/>
  <c r="M14" i="13" s="1"/>
  <c r="K13" i="6"/>
  <c r="O15" i="6"/>
  <c r="R15" i="6" s="1"/>
  <c r="S15" i="6" s="1"/>
  <c r="U15" i="6" s="1"/>
  <c r="J15" i="6" s="1"/>
  <c r="K14" i="6"/>
  <c r="R13" i="5"/>
  <c r="S13" i="5" s="1"/>
  <c r="U13" i="5" s="1"/>
  <c r="J13" i="5" s="1"/>
  <c r="M13" i="5" s="1"/>
  <c r="T13" i="5"/>
  <c r="R14" i="6"/>
  <c r="S14" i="6" s="1"/>
  <c r="U14" i="6" s="1"/>
  <c r="J14" i="6" s="1"/>
  <c r="M14" i="6" s="1"/>
  <c r="G14" i="6" s="1"/>
  <c r="M15" i="13" s="1"/>
  <c r="K13" i="5"/>
  <c r="R15" i="7"/>
  <c r="S15" i="7" s="1"/>
  <c r="U15" i="7" s="1"/>
  <c r="J15" i="7" s="1"/>
  <c r="M15" i="7" s="1"/>
  <c r="T12" i="7"/>
  <c r="Q12" i="6"/>
  <c r="B69" i="8"/>
  <c r="M69" i="8" s="1"/>
  <c r="L69" i="8"/>
  <c r="O15" i="8" s="1"/>
  <c r="C69" i="8"/>
  <c r="F15" i="8"/>
  <c r="K13" i="3"/>
  <c r="R14" i="8"/>
  <c r="S14" i="8" s="1"/>
  <c r="K15" i="7"/>
  <c r="T14" i="6"/>
  <c r="R13" i="3"/>
  <c r="S13" i="3" s="1"/>
  <c r="U13" i="3" s="1"/>
  <c r="J13" i="3" s="1"/>
  <c r="T14" i="5"/>
  <c r="R14" i="5"/>
  <c r="S14" i="5" s="1"/>
  <c r="U14" i="5" s="1"/>
  <c r="J14" i="5" s="1"/>
  <c r="M14" i="5" s="1"/>
  <c r="K14" i="3"/>
  <c r="T13" i="8"/>
  <c r="T14" i="3"/>
  <c r="T15" i="7"/>
  <c r="O12" i="6"/>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3" l="1"/>
  <c r="K12" i="3"/>
  <c r="U12" i="7"/>
  <c r="J12" i="7" s="1"/>
  <c r="L12" i="7" s="1"/>
  <c r="S13" i="16" s="1"/>
  <c r="I15" i="13"/>
  <c r="N30" i="3"/>
  <c r="E14" i="9"/>
  <c r="L14" i="3"/>
  <c r="P15" i="16" s="1"/>
  <c r="U13" i="8"/>
  <c r="J13" i="8" s="1"/>
  <c r="M13" i="8" s="1"/>
  <c r="G13" i="8" s="1"/>
  <c r="I13" i="9" s="1"/>
  <c r="F35" i="8"/>
  <c r="L13" i="3"/>
  <c r="P14" i="16" s="1"/>
  <c r="K15" i="6"/>
  <c r="L15" i="6" s="1"/>
  <c r="R16" i="16" s="1"/>
  <c r="T15" i="6"/>
  <c r="K12" i="6"/>
  <c r="G13" i="9"/>
  <c r="L13" i="6"/>
  <c r="R14" i="16" s="1"/>
  <c r="L13" i="5"/>
  <c r="Q14" i="16" s="1"/>
  <c r="L15" i="7"/>
  <c r="S16" i="16" s="1"/>
  <c r="F32" i="8"/>
  <c r="O12" i="8"/>
  <c r="Q15" i="8"/>
  <c r="R15" i="8" s="1"/>
  <c r="S15" i="8" s="1"/>
  <c r="U15" i="8" s="1"/>
  <c r="J15" i="8" s="1"/>
  <c r="R12" i="6"/>
  <c r="S12" i="6" s="1"/>
  <c r="U12" i="6" s="1"/>
  <c r="J12" i="6" s="1"/>
  <c r="M12" i="6" s="1"/>
  <c r="G12" i="6" s="1"/>
  <c r="Q12" i="8"/>
  <c r="D15" i="8"/>
  <c r="D12" i="8"/>
  <c r="E69" i="8"/>
  <c r="L14" i="5"/>
  <c r="Q15" i="16" s="1"/>
  <c r="U14" i="8"/>
  <c r="J14" i="8" s="1"/>
  <c r="N30" i="8" s="1"/>
  <c r="N30" i="5"/>
  <c r="M13" i="3"/>
  <c r="G13" i="3" s="1"/>
  <c r="I14" i="13" s="1"/>
  <c r="T12" i="6"/>
  <c r="M13" i="9"/>
  <c r="U14" i="13"/>
  <c r="U12" i="13"/>
  <c r="M11" i="9"/>
  <c r="T13" i="2"/>
  <c r="U8" i="6"/>
  <c r="J8" i="6" s="1"/>
  <c r="M8" i="6" s="1"/>
  <c r="G8" i="6" s="1"/>
  <c r="M9" i="13" s="1"/>
  <c r="R13" i="2"/>
  <c r="S13" i="2" s="1"/>
  <c r="V11" i="13"/>
  <c r="G14" i="9"/>
  <c r="R10" i="7"/>
  <c r="S10" i="7" s="1"/>
  <c r="T11" i="7"/>
  <c r="T10" i="7"/>
  <c r="L8" i="2"/>
  <c r="N9" i="16" s="1"/>
  <c r="Y13" i="13"/>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L15" i="3"/>
  <c r="P16" i="16" s="1"/>
  <c r="M15" i="6"/>
  <c r="G15" i="6" s="1"/>
  <c r="L13" i="7"/>
  <c r="S14" i="16" s="1"/>
  <c r="M9" i="3"/>
  <c r="G9" i="3" s="1"/>
  <c r="I10" i="13" s="1"/>
  <c r="G12" i="13"/>
  <c r="G12" i="16"/>
  <c r="N9" i="9"/>
  <c r="P10" i="16"/>
  <c r="M14" i="7"/>
  <c r="N30" i="7"/>
  <c r="L14" i="7"/>
  <c r="S15" i="16" s="1"/>
  <c r="L8" i="7"/>
  <c r="S9" i="16" s="1"/>
  <c r="M9" i="9"/>
  <c r="M10" i="9"/>
  <c r="V10"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X14" i="13" l="1"/>
  <c r="M12" i="7"/>
  <c r="Q12" i="9"/>
  <c r="N14" i="9"/>
  <c r="V15" i="13"/>
  <c r="V14" i="13"/>
  <c r="U11" i="7"/>
  <c r="J11" i="7" s="1"/>
  <c r="M11" i="7" s="1"/>
  <c r="N13" i="9"/>
  <c r="P13" i="9"/>
  <c r="U10" i="7"/>
  <c r="J10" i="7" s="1"/>
  <c r="L10" i="7" s="1"/>
  <c r="S11" i="16" s="1"/>
  <c r="K14" i="16"/>
  <c r="L13" i="8"/>
  <c r="T14" i="16" s="1"/>
  <c r="Q14" i="13"/>
  <c r="U14" i="2"/>
  <c r="J14" i="2" s="1"/>
  <c r="M14" i="2" s="1"/>
  <c r="G14" i="2" s="1"/>
  <c r="E15" i="16" s="1"/>
  <c r="Y16" i="13"/>
  <c r="O13" i="9"/>
  <c r="R12" i="8"/>
  <c r="S12" i="8" s="1"/>
  <c r="W14" i="13"/>
  <c r="Q15" i="9"/>
  <c r="T12" i="8"/>
  <c r="K12" i="8"/>
  <c r="L12" i="6"/>
  <c r="R13" i="16" s="1"/>
  <c r="T15" i="8"/>
  <c r="K15" i="8"/>
  <c r="L15" i="8" s="1"/>
  <c r="T16" i="16" s="1"/>
  <c r="O14" i="9"/>
  <c r="W15" i="13"/>
  <c r="E13" i="9"/>
  <c r="M14" i="8"/>
  <c r="G14" i="8" s="1"/>
  <c r="K15" i="16" s="1"/>
  <c r="L14" i="8"/>
  <c r="T15" i="16" s="1"/>
  <c r="U13" i="2"/>
  <c r="J13" i="2" s="1"/>
  <c r="M13" i="2" s="1"/>
  <c r="G13" i="2" s="1"/>
  <c r="E14" i="16" s="1"/>
  <c r="I14" i="16"/>
  <c r="L8" i="6"/>
  <c r="R9" i="16" s="1"/>
  <c r="X16" i="13"/>
  <c r="P15"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1" i="7" l="1"/>
  <c r="S12" i="16" s="1"/>
  <c r="M10" i="7"/>
  <c r="R13" i="9"/>
  <c r="E15" i="13"/>
  <c r="N30" i="2"/>
  <c r="L14" i="2"/>
  <c r="N15" i="16" s="1"/>
  <c r="C14" i="9"/>
  <c r="Z14" i="13"/>
  <c r="U12" i="8"/>
  <c r="J12" i="8" s="1"/>
  <c r="M12" i="8" s="1"/>
  <c r="G12" i="8" s="1"/>
  <c r="K13" i="16" s="1"/>
  <c r="C13" i="9"/>
  <c r="P12" i="9"/>
  <c r="E14" i="13"/>
  <c r="L13" i="2"/>
  <c r="N14" i="16" s="1"/>
  <c r="X13" i="13"/>
  <c r="I14" i="9"/>
  <c r="Z15" i="13"/>
  <c r="R14" i="9"/>
  <c r="Q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L14" i="9"/>
  <c r="Q13" i="13"/>
  <c r="I12" i="9"/>
  <c r="L12" i="8"/>
  <c r="T14" i="13"/>
  <c r="L13" i="9"/>
  <c r="R9" i="9"/>
  <c r="Z10" i="13"/>
  <c r="R10" i="9"/>
  <c r="Z11" i="13"/>
  <c r="I11" i="9"/>
  <c r="Q12" i="13"/>
  <c r="I10" i="9"/>
  <c r="Q11" i="13"/>
  <c r="R11" i="9"/>
  <c r="Z12" i="13"/>
  <c r="T13" i="16" l="1"/>
  <c r="R12" i="9"/>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<sst xmlns="http://schemas.openxmlformats.org/spreadsheetml/2006/main" count="654" uniqueCount="141">
  <si>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</si>
  <si>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</si>
  <si>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</si>
  <si>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</si>
  <si>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</si>
  <si>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</si>
  <si>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</si>
  <si>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</si>
  <si>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</si>
  <si>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</si>
  <si>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</si>
  <si>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</si>
  <si>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</si>
  <si>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</si>
  <si>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</si>
  <si>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</si>
  <si>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</si>
  <si>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</si>
  <si>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</si>
  <si>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</si>
  <si>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</si>
  <si>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</si>
  <si>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</si>
  <si>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</si>
  <si>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</si>
  <si>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</si>
  <si>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</si>
  <si>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</si>
  <si>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</si>
  <si>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</si>
  <si>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</si>
  <si>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</si>
  <si>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</si>
  <si>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</si>
  <si>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</si>
  <si>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</si>
  <si>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</si>
  <si>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</si>
  <si>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</si>
  <si>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</si>
  <si>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</si>
  <si>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</si>
  <si>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</si>
  <si>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</si>
  <si>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</si>
  <si>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</si>
  <si>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</si>
  <si>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</si>
  <si>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</si>
  <si>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</si>
  <si>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</si>
  <si>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</si>
  <si>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</si>
  <si>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</si>
  <si>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</si>
  <si>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</si>
  <si>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</si>
  <si>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</si>
  <si>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</si>
  <si>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</si>
  <si>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</si>
  <si>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</si>
  <si>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</si>
  <si>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</si>
  <si>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</si>
  <si>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</si>
  <si>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</si>
  <si>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</si>
  <si>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</si>
  <si>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</si>
  <si>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</si>
  <si>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</si>
  <si>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</si>
  <si>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</si>
  <si>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</si>
  <si>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</si>
  <si>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</si>
  <si>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</si>
  <si>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</si>
  <si>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</si>
  <si>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</si>
  <si>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</si>
  <si>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</si>
  <si>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</si>
  <si>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</si>
  <si>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</si>
  <si>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</si>
  <si>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</si>
  <si>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</si>
  <si>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</si>
  <si>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</si>
  <si>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</si>
  <si>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</si>
  <si>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</si>
  <si>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</si>
  <si>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</si>
  <si>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</si>
  <si>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</si>
  <si>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</si>
  <si>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</si>
  <si>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</si>
  <si>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</si>
  <si>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</si>
  <si>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</si>
  <si>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</si>
  <si>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</si>
  <si>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</si>
  <si>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</si>
  <si>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</si>
  <si>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</si>
  <si>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</si>
  <si>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</si>
  <si>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</si>
  <si>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</si>
  <si>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</si>
  <si>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</si>
  <si>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</si>
  <si>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</si>
  <si>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</si>
  <si>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</si>
  <si>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</si>
  <si>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</si>
  <si>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</si>
  <si>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</si>
  <si>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</si>
  <si>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</si>
  <si>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</si>
  <si>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</si>
  <si>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</si>
  <si>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</si>
  <si>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</si>
  <si>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</si>
  <si>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</si>
  <si>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</si>
  <si>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</si>
  <si>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</si>
  <si>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Ogemaw</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</si>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</sst>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Ogemaw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N=26</c:v>
                </c:pt>
                <c:pt idx="3">
                  <c:v>Petitions, total N=28</c:v>
                </c:pt>
                <c:pt idx="4">
                  <c:v>Detentions, total N=1</c:v>
                </c:pt>
                <c:pt idx="5">
                  <c:v>Referrals, total N=49</c:v>
                </c:pt>
                <c:pt idx="6">
                  <c:v>Arrests, total N=30</c:v>
                </c:pt>
                <c:pt idx="7">
                  <c:v>Population, total N=1867</c:v>
                </c:pt>
              </c:strCache>
            </c:strRef>
          </c:cat>
          <c:val>
            <c:numRef>
              <c:f>'Stacked 100%'!$B$7:$B$14</c:f>
              <c:numCache>
                <c:formatCode>0%</c:formatCode>
                <c:ptCount val="8"/>
                <c:pt idx="0">
                  <c:v>0</c:v>
                </c:pt>
                <c:pt idx="1">
                  <c:v>0</c:v>
                </c:pt>
                <c:pt idx="2">
                  <c:v>0</c:v>
                </c:pt>
                <c:pt idx="3">
                  <c:v>0</c:v>
                </c:pt>
                <c:pt idx="4">
                  <c:v>0</c:v>
                </c:pt>
                <c:pt idx="5">
                  <c:v>2.0408163265306121E-2</c:v>
                </c:pt>
                <c:pt idx="6">
                  <c:v>3.3333333333333333E-2</c:v>
                </c:pt>
                <c:pt idx="7">
                  <c:v>1.6604177825388325E-2</c:v>
                </c:pt>
              </c:numCache>
            </c:numRef>
          </c:val>
          <c:extLst>
            <c:ext xmlns:c16="http://schemas.microsoft.com/office/drawing/2014/chart" uri="{C3380CC4-5D6E-409C-BE32-E72D297353CC}">
              <c16:uniqueId val="{00000000-C982-4A62-991B-9D2A3D7C6F4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N=26</c:v>
                </c:pt>
                <c:pt idx="3">
                  <c:v>Petitions, total N=28</c:v>
                </c:pt>
                <c:pt idx="4">
                  <c:v>Detentions, total N=1</c:v>
                </c:pt>
                <c:pt idx="5">
                  <c:v>Referrals, total N=49</c:v>
                </c:pt>
                <c:pt idx="6">
                  <c:v>Arrests, total N=30</c:v>
                </c:pt>
                <c:pt idx="7">
                  <c:v>Population, total N=1867</c:v>
                </c:pt>
              </c:strCache>
            </c:strRef>
          </c:cat>
          <c:val>
            <c:numRef>
              <c:f>'Stacked 100%'!$C$7:$C$14</c:f>
              <c:numCache>
                <c:formatCode>0%</c:formatCode>
                <c:ptCount val="8"/>
                <c:pt idx="0">
                  <c:v>0</c:v>
                </c:pt>
                <c:pt idx="1">
                  <c:v>0</c:v>
                </c:pt>
                <c:pt idx="2">
                  <c:v>0</c:v>
                </c:pt>
                <c:pt idx="3">
                  <c:v>0</c:v>
                </c:pt>
                <c:pt idx="4">
                  <c:v>0</c:v>
                </c:pt>
                <c:pt idx="5">
                  <c:v>0</c:v>
                </c:pt>
                <c:pt idx="6">
                  <c:v>0</c:v>
                </c:pt>
                <c:pt idx="7">
                  <c:v>4.5527584359935723E-2</c:v>
                </c:pt>
              </c:numCache>
            </c:numRef>
          </c:val>
          <c:extLst>
            <c:ext xmlns:c16="http://schemas.microsoft.com/office/drawing/2014/chart" uri="{C3380CC4-5D6E-409C-BE32-E72D297353CC}">
              <c16:uniqueId val="{00000001-C982-4A62-991B-9D2A3D7C6F4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N=26</c:v>
                </c:pt>
                <c:pt idx="3">
                  <c:v>Petitions, total N=28</c:v>
                </c:pt>
                <c:pt idx="4">
                  <c:v>Detentions, total N=1</c:v>
                </c:pt>
                <c:pt idx="5">
                  <c:v>Referrals, total N=49</c:v>
                </c:pt>
                <c:pt idx="6">
                  <c:v>Arrests, total N=30</c:v>
                </c:pt>
                <c:pt idx="7">
                  <c:v>Population, total N=1867</c:v>
                </c:pt>
              </c:strCache>
            </c:strRef>
          </c:cat>
          <c:val>
            <c:numRef>
              <c:f>'Stacked 100%'!$H$7:$H$14</c:f>
              <c:numCache>
                <c:formatCode>0%</c:formatCode>
                <c:ptCount val="8"/>
                <c:pt idx="0">
                  <c:v>0</c:v>
                </c:pt>
                <c:pt idx="1">
                  <c:v>0</c:v>
                </c:pt>
                <c:pt idx="2">
                  <c:v>0</c:v>
                </c:pt>
                <c:pt idx="3">
                  <c:v>0</c:v>
                </c:pt>
                <c:pt idx="4">
                  <c:v>0</c:v>
                </c:pt>
                <c:pt idx="5">
                  <c:v>0</c:v>
                </c:pt>
                <c:pt idx="6">
                  <c:v>0</c:v>
                </c:pt>
                <c:pt idx="7">
                  <c:v>8.0328451562947805E-6</c:v>
                </c:pt>
              </c:numCache>
            </c:numRef>
          </c:val>
          <c:extLst>
            <c:ext xmlns:c16="http://schemas.microsoft.com/office/drawing/2014/chart" uri="{C3380CC4-5D6E-409C-BE32-E72D297353CC}">
              <c16:uniqueId val="{00000002-C982-4A62-991B-9D2A3D7C6F4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N=26</c:v>
                </c:pt>
                <c:pt idx="3">
                  <c:v>Petitions, total N=28</c:v>
                </c:pt>
                <c:pt idx="4">
                  <c:v>Detentions, total N=1</c:v>
                </c:pt>
                <c:pt idx="5">
                  <c:v>Referrals, total N=49</c:v>
                </c:pt>
                <c:pt idx="6">
                  <c:v>Arrests, total N=30</c:v>
                </c:pt>
                <c:pt idx="7">
                  <c:v>Population, total N=1867</c:v>
                </c:pt>
              </c:strCache>
            </c:strRef>
          </c:cat>
          <c:val>
            <c:numRef>
              <c:f>'Stacked 100%'!$I$7:$I$14</c:f>
              <c:numCache>
                <c:formatCode>0%</c:formatCode>
                <c:ptCount val="8"/>
                <c:pt idx="0">
                  <c:v>0</c:v>
                </c:pt>
                <c:pt idx="1">
                  <c:v>1</c:v>
                </c:pt>
                <c:pt idx="2">
                  <c:v>1</c:v>
                </c:pt>
                <c:pt idx="3">
                  <c:v>1</c:v>
                </c:pt>
                <c:pt idx="4">
                  <c:v>1</c:v>
                </c:pt>
                <c:pt idx="5">
                  <c:v>0.97959183673469385</c:v>
                </c:pt>
                <c:pt idx="6">
                  <c:v>0.83333333333333337</c:v>
                </c:pt>
                <c:pt idx="7">
                  <c:v>0.92287091590787362</c:v>
                </c:pt>
              </c:numCache>
            </c:numRef>
          </c:val>
          <c:extLst>
            <c:ext xmlns:c16="http://schemas.microsoft.com/office/drawing/2014/chart" uri="{C3380CC4-5D6E-409C-BE32-E72D297353CC}">
              <c16:uniqueId val="{00000003-C982-4A62-991B-9D2A3D7C6F4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N=26</c:v>
                </c:pt>
                <c:pt idx="3">
                  <c:v>Petitions, total N=28</c:v>
                </c:pt>
                <c:pt idx="4">
                  <c:v>Detentions, total N=1</c:v>
                </c:pt>
                <c:pt idx="5">
                  <c:v>Referrals, total N=49</c:v>
                </c:pt>
                <c:pt idx="6">
                  <c:v>Arrests, total N=30</c:v>
                </c:pt>
                <c:pt idx="7">
                  <c:v>Population, total N=1867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982-4A62-991B-9D2A3D7C6F4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1867</v>
      </c>
      <c r="C6" s="11">
        <v>1723</v>
      </c>
      <c r="D6" s="11">
        <v>31</v>
      </c>
      <c r="E6" s="11">
        <v>85</v>
      </c>
      <c r="F6" s="11">
        <v>15</v>
      </c>
      <c r="G6" s="11"/>
      <c r="H6" s="11">
        <v>13</v>
      </c>
      <c r="I6" s="11"/>
      <c r="J6" s="91">
        <f>SUM(D6:I6)</f>
        <v>144</v>
      </c>
      <c r="K6" s="92"/>
    </row>
    <row r="7" spans="1:11" ht="15.75" customHeight="1" thickBot="1">
      <c r="A7" s="10" t="s">
        <v>8</v>
      </c>
      <c r="B7" s="11">
        <f t="shared" ref="B7:B15" si="0">SUM(C7:I7)+K7</f>
        <v>30</v>
      </c>
      <c r="C7" s="11">
        <v>25</v>
      </c>
      <c r="D7" s="11">
        <v>1</v>
      </c>
      <c r="E7" s="11"/>
      <c r="F7" s="11"/>
      <c r="G7" s="11"/>
      <c r="H7" s="11"/>
      <c r="I7" s="11"/>
      <c r="J7" s="91">
        <f t="shared" ref="J7:J15" si="1">SUM(D7:I7)</f>
        <v>1</v>
      </c>
      <c r="K7" s="92">
        <v>4</v>
      </c>
    </row>
    <row r="8" spans="1:11" ht="15.75" customHeight="1" thickBot="1">
      <c r="A8" s="10" t="s">
        <v>9</v>
      </c>
      <c r="B8" s="11">
        <f t="shared" si="0"/>
        <v>49</v>
      </c>
      <c r="C8" s="11">
        <v>48</v>
      </c>
      <c r="D8" s="11">
        <v>1</v>
      </c>
      <c r="E8" s="11"/>
      <c r="F8" s="11"/>
      <c r="G8" s="11"/>
      <c r="H8" s="11"/>
      <c r="I8" s="11"/>
      <c r="J8" s="91">
        <f t="shared" si="1"/>
        <v>1</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28</v>
      </c>
      <c r="C11" s="11">
        <v>28</v>
      </c>
      <c r="D11" s="11"/>
      <c r="E11" s="11"/>
      <c r="F11" s="11"/>
      <c r="G11" s="11"/>
      <c r="H11" s="11"/>
      <c r="I11" s="11"/>
      <c r="J11" s="91">
        <f t="shared" si="1"/>
        <v>0</v>
      </c>
      <c r="K11" s="92"/>
    </row>
    <row r="12" spans="1:11" ht="15.75" customHeight="1" thickBot="1">
      <c r="A12" s="10" t="s">
        <v>13</v>
      </c>
      <c r="B12" s="11">
        <f t="shared" si="0"/>
        <v>26</v>
      </c>
      <c r="C12" s="11">
        <v>26</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5</v>
      </c>
      <c r="C14" s="11">
        <v>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1698</v>
      </c>
      <c r="R7" s="42">
        <f t="shared" ref="R7:R15" si="5">SUM(N7:Q7)</f>
        <v>1723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48</v>
      </c>
      <c r="D8" s="34">
        <f>IF((AND(C67&gt;0,C8&gt;0)),(C8/C67),0)</f>
        <v>192</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-23</v>
      </c>
      <c r="R8" s="42">
        <f t="shared" si="5"/>
        <v>25.049999999999997</v>
      </c>
      <c r="S8" s="30">
        <f t="shared" si="6"/>
        <v>144.28800000000001</v>
      </c>
      <c r="T8" s="30">
        <f t="shared" si="7"/>
        <v>-1377</v>
      </c>
      <c r="U8" s="31">
        <f t="shared" si="8"/>
        <v>-0.1047843137254902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48</v>
      </c>
      <c r="R9" s="42">
        <f t="shared" si="5"/>
        <v>48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2.0833333333333335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47</v>
      </c>
      <c r="R10" s="42">
        <f t="shared" si="5"/>
        <v>48</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58.333333333333336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20</v>
      </c>
      <c r="R11" s="42">
        <f t="shared" si="5"/>
        <v>48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92.857142857142847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2.0000000000000036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0</v>
      </c>
      <c r="E42" s="56">
        <f>MAX(C42:D42)</f>
        <v>1.7230000000000001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0</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0</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0</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0</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Entry'!J6</f>
        <v>144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Entry'!J7</f>
        <v>1</v>
      </c>
      <c r="F7" s="34">
        <f>IF((AND($E$7&gt;0,$D$66&gt;0)),($E$7/$D$66),0)</f>
        <v>6.9444444444444446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143</v>
      </c>
      <c r="P7" s="42">
        <f t="shared" ref="P7:P15" si="4">C7</f>
        <v>25</v>
      </c>
      <c r="Q7" s="42">
        <f>C6-C7</f>
        <v>1698</v>
      </c>
      <c r="R7" s="42">
        <f t="shared" ref="R7:R15" si="5">SUM(N7:Q7)</f>
        <v>1867</v>
      </c>
      <c r="S7" s="30">
        <f t="shared" ref="S7:S15" si="6">R7*((((N7*Q7)-(O7*P7))^2))</f>
        <v>6577681843</v>
      </c>
      <c r="T7" s="30">
        <f t="shared" ref="T7:T15" si="7">(N7+O7)*(P7+Q7)*(N7+P7)*(O7+Q7)</f>
        <v>11876128992</v>
      </c>
      <c r="U7" s="31">
        <f t="shared" ref="U7:U15" si="8">IF((S7&gt;0),S7/T7,"- -")</f>
        <v>0.55385739304708281</v>
      </c>
    </row>
    <row r="8" spans="2:21" ht="18" customHeight="1">
      <c r="B8" s="32" t="str">
        <f>'Data Entry'!A8</f>
        <v>3. Refer to Juvenile Court</v>
      </c>
      <c r="C8" s="33">
        <f>'Data Entry'!C8</f>
        <v>48</v>
      </c>
      <c r="D8" s="34">
        <f>IF((AND(C67&gt;0,C8&gt;0)),(C8/C67),0)</f>
        <v>192</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48</v>
      </c>
      <c r="Q8" s="42">
        <f>(C$67*L67)-C8</f>
        <v>-23</v>
      </c>
      <c r="R8" s="42">
        <f t="shared" si="5"/>
        <v>26.049999999999997</v>
      </c>
      <c r="S8" s="30">
        <f t="shared" si="6"/>
        <v>16806.417999999998</v>
      </c>
      <c r="T8" s="30">
        <f t="shared" si="7"/>
        <v>-29519.4375</v>
      </c>
      <c r="U8" s="31">
        <f t="shared" si="8"/>
        <v>-0.56933395157004596</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48</v>
      </c>
      <c r="R9" s="42">
        <f t="shared" si="5"/>
        <v>49</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2.0833333333333335</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v>
      </c>
      <c r="Q10" s="42">
        <f>(C$68*L68)-C10</f>
        <v>47</v>
      </c>
      <c r="R10" s="42">
        <f t="shared" si="5"/>
        <v>49</v>
      </c>
      <c r="S10" s="30">
        <f t="shared" si="6"/>
        <v>49</v>
      </c>
      <c r="T10" s="30">
        <f t="shared" si="7"/>
        <v>2304</v>
      </c>
      <c r="U10" s="31">
        <f t="shared" si="8"/>
        <v>2.1267361111111112E-2</v>
      </c>
    </row>
    <row r="11" spans="2:21" ht="18" customHeight="1">
      <c r="B11" s="32" t="str">
        <f>'Data Entry'!A11</f>
        <v>6. Cases Petitioned (Charge Filed)</v>
      </c>
      <c r="C11" s="33">
        <f>'Data Entry'!C11</f>
        <v>28</v>
      </c>
      <c r="D11" s="34">
        <f>IF(((AND(C68&gt;0,C11&gt;0))),(C11/(C68)),0)</f>
        <v>58.333333333333336</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28</v>
      </c>
      <c r="Q11" s="42">
        <f>(C$68*L68)-C11</f>
        <v>20</v>
      </c>
      <c r="R11" s="42">
        <f t="shared" si="5"/>
        <v>49</v>
      </c>
      <c r="S11" s="30">
        <f t="shared" si="6"/>
        <v>38416</v>
      </c>
      <c r="T11" s="30">
        <f t="shared" si="7"/>
        <v>28224</v>
      </c>
      <c r="U11" s="31">
        <f t="shared" si="8"/>
        <v>1.3611111111111112</v>
      </c>
    </row>
    <row r="12" spans="2:21" ht="18" customHeight="1">
      <c r="B12" s="32" t="str">
        <f>'Data Entry'!A12</f>
        <v>7. Cases Resulting in Delinquent Findings</v>
      </c>
      <c r="C12" s="33">
        <f>'Data Entry'!C12</f>
        <v>26</v>
      </c>
      <c r="D12" s="34">
        <f>IF(((AND(C69&gt;0,C12&gt;0))),(C12/(C69)),0)</f>
        <v>92.857142857142847</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2.0000000000000036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0.14399999999999999</v>
      </c>
      <c r="E42" s="56">
        <f>MAX(C42:D42)</f>
        <v>1.7230000000000001</v>
      </c>
      <c r="G42" s="1" t="str">
        <f>B42</f>
        <v>per 1000 youth</v>
      </c>
      <c r="L42" s="57">
        <v>1000</v>
      </c>
      <c r="M42" s="57"/>
      <c r="R42" s="49"/>
    </row>
    <row r="43" spans="2:18" ht="15" hidden="1" customHeight="1">
      <c r="B43" s="49" t="s">
        <v>87</v>
      </c>
      <c r="C43" s="56">
        <f>C7/100</f>
        <v>0.25</v>
      </c>
      <c r="D43" s="56">
        <f>E7/100</f>
        <v>0.01</v>
      </c>
      <c r="E43" s="56">
        <f>MAX(C43:D43,0)</f>
        <v>0.25</v>
      </c>
      <c r="G43" s="1" t="str">
        <f>B43</f>
        <v>per 100 arrests</v>
      </c>
      <c r="L43" s="57">
        <v>100</v>
      </c>
      <c r="M43" s="57"/>
      <c r="R43" s="49"/>
    </row>
    <row r="44" spans="2:18" ht="15" hidden="1" customHeight="1">
      <c r="B44" s="49" t="s">
        <v>88</v>
      </c>
      <c r="C44" s="56">
        <f>C8/100</f>
        <v>0.48</v>
      </c>
      <c r="D44" s="56">
        <f>E8/100</f>
        <v>0.01</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0.14399999999999999</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0.01</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0.01</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0.14399999999999999</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0.01</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0.01</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0.14399999999999999</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0.01</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0.01</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0.14399999999999999</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0.01</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0.01</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Ogemaw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1867</v>
      </c>
      <c r="D3" s="57">
        <f>'Data Entry'!C6</f>
        <v>1723</v>
      </c>
      <c r="E3" s="57">
        <f>'Data Entry'!D6</f>
        <v>31</v>
      </c>
      <c r="F3" s="57">
        <f>'Data Entry'!E6</f>
        <v>85</v>
      </c>
      <c r="G3" s="57">
        <f>'Data Entry'!F6</f>
        <v>15</v>
      </c>
      <c r="H3" s="57">
        <f>'Data Entry'!G6</f>
        <v>0</v>
      </c>
      <c r="I3" s="57">
        <f>'Data Entry'!H6</f>
        <v>13</v>
      </c>
      <c r="J3" s="57">
        <f>'Data Entry'!I6</f>
        <v>0</v>
      </c>
      <c r="K3" s="57">
        <f>'Data Entry'!J6</f>
        <v>144</v>
      </c>
    </row>
    <row r="4" spans="2:11" ht="15" customHeight="1">
      <c r="B4" s="16" t="s">
        <v>8</v>
      </c>
      <c r="C4" s="1">
        <f>IF((C$3&gt;0),(1000*('Data Entry'!B7/'Data Entry'!B$6)), 0)</f>
        <v>16.068559185859666</v>
      </c>
      <c r="D4" s="1">
        <f>IF((D$3&gt;0),(1000*('Data Entry'!C7/'Data Entry'!C$6)), 0)</f>
        <v>14.509576320371444</v>
      </c>
      <c r="E4" s="1">
        <f>IF((E$3&gt;0),(1000*('Data Entry'!D7/'Data Entry'!D$6)), 0)</f>
        <v>32.258064516129032</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6.9444444444444438</v>
      </c>
    </row>
    <row r="5" spans="2:11" ht="15" customHeight="1">
      <c r="B5" s="16" t="s">
        <v>9</v>
      </c>
      <c r="C5" s="1">
        <f>IF((C$3&gt;0),(1000*('Data Entry'!B8/'Data Entry'!B$6)), 0)</f>
        <v>26.245313336904125</v>
      </c>
      <c r="D5" s="1">
        <f>IF((D$3&gt;0),(1000*('Data Entry'!C8/'Data Entry'!C$6)), 0)</f>
        <v>27.858386535113176</v>
      </c>
      <c r="E5" s="1">
        <f>IF((E$3&gt;0),(1000*('Data Entry'!D8/'Data Entry'!D$6)), 0)</f>
        <v>32.258064516129032</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6.9444444444444438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0.53561863952865563</v>
      </c>
      <c r="D7" s="1">
        <f>IF((D$3&gt;0),(1000*('Data Entry'!C10/'Data Entry'!C$6)), 0)</f>
        <v>0.5803830528148578</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14.997321906802357</v>
      </c>
      <c r="D8" s="1">
        <f>IF((D$3&gt;0),(1000*('Data Entry'!C11/'Data Entry'!C$6)), 0)</f>
        <v>16.250725478816019</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13.926084627745045</v>
      </c>
      <c r="D9" s="1">
        <f>IF((D$3&gt;0),(1000*('Data Entry'!C12/'Data Entry'!C$6)), 0)</f>
        <v>15.089959373186304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2.6780931976432778</v>
      </c>
      <c r="D11" s="1">
        <f>IF((D$3&gt;0),(1000*('Data Entry'!C14/'Data Entry'!C$6)), 0)</f>
        <v>2.9019152640742889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Ogemaw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2.2232258064516133</v>
      </c>
      <c r="E19" s="72" t="str">
        <f t="shared" si="1"/>
        <v>--</v>
      </c>
      <c r="F19" s="72" t="str">
        <f t="shared" si="1"/>
        <v>--</v>
      </c>
      <c r="G19" s="72" t="str">
        <f t="shared" si="1"/>
        <v>--</v>
      </c>
      <c r="H19" s="72" t="str">
        <f t="shared" si="1"/>
        <v>--</v>
      </c>
      <c r="I19" s="72" t="str">
        <f t="shared" si="1"/>
        <v>--</v>
      </c>
      <c r="J19" s="73">
        <f t="shared" si="1"/>
        <v>0.4786111111111111</v>
      </c>
    </row>
    <row r="20" spans="2:10" ht="15" customHeight="1">
      <c r="B20" s="71" t="s">
        <v>9</v>
      </c>
      <c r="C20" s="72">
        <f t="shared" ref="C20:J27" si="2">IF(AND(($D5&gt;0),(D5&gt;0)), (D5/$D5),"--")</f>
        <v>1</v>
      </c>
      <c r="D20" s="72">
        <f t="shared" si="2"/>
        <v>1.1579301075268817</v>
      </c>
      <c r="E20" s="72" t="str">
        <f t="shared" si="2"/>
        <v>--</v>
      </c>
      <c r="F20" s="72" t="str">
        <f t="shared" si="2"/>
        <v>--</v>
      </c>
      <c r="G20" s="72" t="str">
        <f t="shared" si="2"/>
        <v>--</v>
      </c>
      <c r="H20" s="72" t="str">
        <f t="shared" si="2"/>
        <v>--</v>
      </c>
      <c r="I20" s="72" t="str">
        <f t="shared" si="2"/>
        <v>--</v>
      </c>
      <c r="J20" s="73">
        <f t="shared" si="2"/>
        <v>0.24927662037037032</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Ogemaw</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1723</v>
      </c>
      <c r="D7" s="104">
        <f>'Data Entry'!D6</f>
        <v>31</v>
      </c>
      <c r="E7" s="105"/>
      <c r="F7" s="106">
        <f>'Data Entry'!E6</f>
        <v>85</v>
      </c>
      <c r="G7" s="105"/>
      <c r="H7" s="106">
        <f>'Data Entry'!F6</f>
        <v>15</v>
      </c>
      <c r="I7" s="105"/>
      <c r="J7" s="106">
        <f>'Data Entry'!G6</f>
        <v>0</v>
      </c>
      <c r="K7" s="105"/>
      <c r="L7" s="106">
        <f>'Data Entry'!H6</f>
        <v>13</v>
      </c>
      <c r="M7" s="105"/>
      <c r="N7" s="106">
        <f>'Data Entry'!I6</f>
        <v>0</v>
      </c>
      <c r="O7" s="105"/>
      <c r="P7" s="106">
        <f>'Data Entry'!J6</f>
        <v>144</v>
      </c>
      <c r="Q7" s="107"/>
    </row>
    <row r="8" spans="2:26" s="1" customFormat="1" ht="15" customHeight="1">
      <c r="B8" s="142" t="s">
        <v>8</v>
      </c>
      <c r="C8" s="103">
        <f>'Data Entry'!C7</f>
        <v>25</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48</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28</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26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Ogemaw</v>
      </c>
    </row>
    <row r="6" spans="1:12">
      <c r="A6" s="135" t="str">
        <f>CONCATENATE("Percentage of Minorities at Stages of the Juvenile Justice System, ", A5, " 2022")</f>
        <v>Percentage of Minorities at Stages of the Juvenile Justice System, County: Ogemaw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11.965277777777779</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N=5</v>
      </c>
      <c r="L8">
        <f>I14/(SUM(B14:G14))</f>
        <v>11.965277777777779</v>
      </c>
    </row>
    <row r="9" spans="1:12">
      <c r="A9" s="128" t="str">
        <f>CONCATENATE("Delinquent Findings, total N=", 'Data Entry'!B12)</f>
        <v>Delinquent Findings, total N=26</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N=26</v>
      </c>
      <c r="L9">
        <f>I14/(SUM(B14:G14))</f>
        <v>11.965277777777779</v>
      </c>
    </row>
    <row r="10" spans="1:12">
      <c r="A10" s="128" t="str">
        <f>CONCATENATE("Petitions, total N=", 'Data Entry'!B11)</f>
        <v>Petitions, total N=28</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N=28</v>
      </c>
      <c r="L10">
        <f>I14/(SUM(B14:G14))</f>
        <v>11.965277777777779</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11.965277777777779</v>
      </c>
    </row>
    <row r="12" spans="1:12">
      <c r="A12" s="128" t="str">
        <f>CONCATENATE("Referrals, total N=", 'Data Entry'!B8)</f>
        <v>Referrals, total N=49</v>
      </c>
      <c r="B12" s="150">
        <f>'Data Entry'!D8/'Data Entry'!B8</f>
        <v>2.0408163265306121E-2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0.97959183673469385</v>
      </c>
      <c r="K12" s="96" t="str">
        <f t="shared" si="0"/>
        <v>Referrals, total N=49</v>
      </c>
      <c r="L12">
        <f>I14/(SUM(B14:G14))</f>
        <v>11.965277777777779</v>
      </c>
    </row>
    <row r="13" spans="1:12">
      <c r="A13" s="128" t="str">
        <f>CONCATENATE("Arrests, total N=", 'Data Entry'!B7)</f>
        <v>Arrests, total N=30</v>
      </c>
      <c r="B13" s="150">
        <f>'Data Entry'!D7/'Data Entry'!B7</f>
        <v>3.3333333333333333E-2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0.83333333333333337</v>
      </c>
      <c r="K13" s="96" t="str">
        <f t="shared" si="0"/>
        <v>Arrests, total N=30</v>
      </c>
      <c r="L13">
        <f>I14/(SUM(B14:G14))</f>
        <v>11.965277777777779</v>
      </c>
    </row>
    <row r="14" spans="1:12">
      <c r="A14" s="128" t="str">
        <f>CONCATENATE("Population, total N=", 'Data Entry'!B6)</f>
        <v>Population, total N=1867</v>
      </c>
      <c r="B14" s="150">
        <f>'Data Entry'!D6/'Data Entry'!B6</f>
        <v>1.6604177825388325E-2</v>
      </c>
      <c r="C14" s="150">
        <f>'Data Entry'!E6/'Data Entry'!B6</f>
        <v>4.5527584359935723E-2</v>
      </c>
      <c r="D14" s="150">
        <f>'Data Entry'!F6/'Data Entry'!B6</f>
        <v>8.0342795929298338E-3</v>
      </c>
      <c r="E14" s="150">
        <f>'Data Entry'!G6/'Data Entry'!B6</f>
        <v>0</v>
      </c>
      <c r="F14" s="150">
        <f>'Data Entry'!H6/'Data Entry'!B6</f>
        <v>6.9630423138725226E-3</v>
      </c>
      <c r="G14" s="150">
        <f>'Data Entry'!I6/'Data Entry'!B6</f>
        <v>0</v>
      </c>
      <c r="H14" s="150">
        <f>SUM(D14:G14)/'Data Entry'!B6</f>
        <v>8.0328451562947805E-6</v>
      </c>
      <c r="I14" s="150">
        <f>'Data Entry'!C6/'Data Entry'!B6</f>
        <v>0.92287091590787362</v>
      </c>
      <c r="K14" s="96" t="str">
        <f t="shared" si="0"/>
        <v>Population, total N=1867</v>
      </c>
      <c r="L14">
        <f>I14/(SUM(B14:G14))</f>
        <v>11.965277777777779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Ogemaw</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1723</v>
      </c>
      <c r="D7" s="104">
        <f>'Data Entry'!D6</f>
        <v>31</v>
      </c>
      <c r="E7" s="105"/>
      <c r="F7" s="106">
        <f>'Data Entry'!E6</f>
        <v>85</v>
      </c>
      <c r="G7" s="105"/>
      <c r="H7" s="106">
        <f>'Data Entry'!F6</f>
        <v>15</v>
      </c>
      <c r="I7" s="105"/>
      <c r="J7" s="106">
        <f>'Data Entry'!J6</f>
        <v>144</v>
      </c>
      <c r="K7" s="107"/>
    </row>
    <row r="8" spans="2:30" s="1" customFormat="1" ht="15" customHeight="1">
      <c r="B8" s="121" t="s">
        <v>8</v>
      </c>
      <c r="C8" s="103">
        <f>'Data Entry'!C7</f>
        <v>25</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48</v>
      </c>
      <c r="D9" s="108">
        <f>'Data Entry'!D8</f>
        <v>1</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28</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26</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Entry'!D6</f>
        <v>31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Entry'!D7</f>
        <v>1</v>
      </c>
      <c r="F7" s="34">
        <f>IF((AND($E$7&gt;0,$D$66&gt;0)),($E$7/$D$66),0)</f>
        <v>32.258064516129032</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30</v>
      </c>
      <c r="P7" s="42">
        <f t="shared" ref="P7:P15" si="2">C7</f>
        <v>25</v>
      </c>
      <c r="Q7" s="42">
        <f>C6-C7</f>
        <v>1698</v>
      </c>
      <c r="R7" s="42">
        <f t="shared" ref="R7:R15" si="3">SUM(N7:Q7)</f>
        <v>1754</v>
      </c>
      <c r="S7" s="30">
        <f t="shared" ref="S7:S15" si="4">R7*((((N7*Q7)-(O7*P7))^2))</f>
        <v>1576326816</v>
      </c>
      <c r="T7" s="30">
        <f t="shared" ref="T7:T15" si="5">(N7+O7)*(P7+Q7)*(N7+P7)*(O7+Q7)</f>
        <v>2399739264</v>
      </c>
      <c r="U7" s="31">
        <f t="shared" ref="U7:U15" si="6">IF((S7&gt;0),S7/T7,"- -")</f>
        <v>0.65687420281339359</v>
      </c>
    </row>
    <row r="8" spans="2:21" ht="18" customHeight="1">
      <c r="B8" s="32" t="str">
        <f>'Data Entry'!A8</f>
        <v>3. Refer to Juvenile Court</v>
      </c>
      <c r="C8" s="33">
        <f>'Data Entry'!C8</f>
        <v>48</v>
      </c>
      <c r="D8" s="34">
        <f>IF((AND(C67&gt;0,C8&gt;0)),(C8/C67),0)</f>
        <v>192</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48</v>
      </c>
      <c r="Q8" s="42">
        <f>(C$67*L67)-C8</f>
        <v>-23</v>
      </c>
      <c r="R8" s="42">
        <f t="shared" si="3"/>
        <v>26.049999999999997</v>
      </c>
      <c r="S8" s="30">
        <f t="shared" si="4"/>
        <v>16806.417999999998</v>
      </c>
      <c r="T8" s="30">
        <f t="shared" si="5"/>
        <v>-29519.4375</v>
      </c>
      <c r="U8" s="31">
        <f t="shared" si="6"/>
        <v>-0.56933395157004596</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48</v>
      </c>
      <c r="R9" s="42">
        <f t="shared" si="3"/>
        <v>49</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2.0833333333333335</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1</v>
      </c>
      <c r="Q10" s="42">
        <f>(C$68*L68)-C10</f>
        <v>47</v>
      </c>
      <c r="R10" s="42">
        <f t="shared" si="3"/>
        <v>49</v>
      </c>
      <c r="S10" s="30">
        <f t="shared" si="4"/>
        <v>49</v>
      </c>
      <c r="T10" s="30">
        <f t="shared" si="5"/>
        <v>2304</v>
      </c>
      <c r="U10" s="31">
        <f t="shared" si="6"/>
        <v>2.1267361111111112E-2</v>
      </c>
    </row>
    <row r="11" spans="2:21" ht="18" customHeight="1">
      <c r="B11" s="32" t="str">
        <f>'Data Entry'!A11</f>
        <v>6. Cases Petitioned (Charge Filed)</v>
      </c>
      <c r="C11" s="33">
        <f>'Data Entry'!C11</f>
        <v>28</v>
      </c>
      <c r="D11" s="34">
        <f>IF(((AND(C68&gt;0,C11&gt;0))),(C11/(C68)),0)</f>
        <v>58.333333333333336</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28</v>
      </c>
      <c r="Q11" s="42">
        <f>(C$68*L68)-C11</f>
        <v>20</v>
      </c>
      <c r="R11" s="42">
        <f t="shared" si="3"/>
        <v>49</v>
      </c>
      <c r="S11" s="30">
        <f t="shared" si="4"/>
        <v>38416</v>
      </c>
      <c r="T11" s="30">
        <f t="shared" si="5"/>
        <v>28224</v>
      </c>
      <c r="U11" s="31">
        <f t="shared" si="6"/>
        <v>1.3611111111111112</v>
      </c>
    </row>
    <row r="12" spans="2:21" ht="18" customHeight="1">
      <c r="B12" s="32" t="str">
        <f>'Data Entry'!A12</f>
        <v>7. Cases Resulting in Delinquent Findings</v>
      </c>
      <c r="C12" s="33">
        <f>'Data Entry'!C12</f>
        <v>26</v>
      </c>
      <c r="D12" s="34">
        <f>IF(((AND(C69&gt;0,C12&gt;0))),(C12/(C69)),0)</f>
        <v>92.857142857142847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26</v>
      </c>
      <c r="Q12" s="42">
        <f>(C69*L69)-C12</f>
        <v>2.0000000000000036</v>
      </c>
      <c r="R12" s="42">
        <f t="shared" si="3"/>
        <v>28.000000000000004</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26</v>
      </c>
      <c r="R13" s="42">
        <f t="shared" si="3"/>
        <v>26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5</v>
      </c>
      <c r="Q14" s="42">
        <f>(C70*L70)-C14</f>
        <v>21</v>
      </c>
      <c r="R14" s="42">
        <f t="shared" si="3"/>
        <v>26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28.000000000000004</v>
      </c>
      <c r="R15" s="42">
        <f t="shared" si="3"/>
        <v>28.000000000000004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3.1E-2</v>
      </c>
      <c r="E42" s="56">
        <f>MAX(C42:D42)</f>
        <v>1.7230000000000001</v>
      </c>
      <c r="G42" s="1" t="str">
        <f>B42</f>
        <v>per 1000 youth</v>
      </c>
      <c r="L42" s="57">
        <v>1000</v>
      </c>
      <c r="M42" s="57"/>
      <c r="R42" s="49"/>
    </row>
    <row r="43" spans="2:18" ht="15" hidden="1" customHeight="1">
      <c r="B43" s="49" t="s">
        <v>87</v>
      </c>
      <c r="C43" s="56">
        <f>C7/100</f>
        <v>0.25</v>
      </c>
      <c r="D43" s="56">
        <f>E7/100</f>
        <v>0.01</v>
      </c>
      <c r="E43" s="56">
        <f>MAX(C43:D43,0)</f>
        <v>0.25</v>
      </c>
      <c r="G43" s="1" t="str">
        <f>B43</f>
        <v>per 100 arrests</v>
      </c>
      <c r="L43" s="57">
        <v>100</v>
      </c>
      <c r="M43" s="57"/>
      <c r="R43" s="49"/>
    </row>
    <row r="44" spans="2:18" ht="15" hidden="1" customHeight="1">
      <c r="B44" s="49" t="s">
        <v>88</v>
      </c>
      <c r="C44" s="56">
        <f>C8/100</f>
        <v>0.48</v>
      </c>
      <c r="D44" s="56">
        <f>E8/100</f>
        <v>0.01</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3.1E-2</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0.25</v>
      </c>
      <c r="D49" s="49">
        <f t="shared" si="9"/>
        <v>0.01</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0.01</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3.1E-2</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0.01</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0.01</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3.1E-2</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0.01</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0.01</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3.1E-2</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0.01</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0.01</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Entry'!F6</f>
        <v>15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v>
      </c>
      <c r="P7" s="42">
        <f t="shared" ref="P7:P15" si="4">C7</f>
        <v>25</v>
      </c>
      <c r="Q7" s="42">
        <f>C6-C7</f>
        <v>1698</v>
      </c>
      <c r="R7" s="42">
        <f t="shared" ref="R7:R15" si="5">SUM(N7:Q7)</f>
        <v>1738</v>
      </c>
      <c r="S7" s="30">
        <f t="shared" ref="S7:S15" si="6">R7*((((N7*Q7)-(O7*P7))^2))</f>
        <v>244406250</v>
      </c>
      <c r="T7" s="30">
        <f t="shared" ref="T7:T15" si="7">(N7+O7)*(P7+Q7)*(N7+P7)*(O7+Q7)</f>
        <v>1106812125</v>
      </c>
      <c r="U7" s="31">
        <f t="shared" ref="U7:U15" si="8">IF((S7&gt;0),S7/T7,"- -")</f>
        <v>0.22081999688971604</v>
      </c>
    </row>
    <row r="8" spans="2:21" ht="18" customHeight="1">
      <c r="B8" s="32" t="str">
        <f>'Data Entry'!A8</f>
        <v>3. Refer to Juvenile Court</v>
      </c>
      <c r="C8" s="33">
        <f>'Data Entry'!C8</f>
        <v>48</v>
      </c>
      <c r="D8" s="34">
        <f>IF((AND(C67&gt;0,C8&gt;0)),(C8/C67),0)</f>
        <v>192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-23</v>
      </c>
      <c r="R8" s="42">
        <f t="shared" si="5"/>
        <v>25.049999999999997</v>
      </c>
      <c r="S8" s="30">
        <f t="shared" si="6"/>
        <v>144.28800000000001</v>
      </c>
      <c r="T8" s="30">
        <f t="shared" si="7"/>
        <v>-1377</v>
      </c>
      <c r="U8" s="31">
        <f t="shared" si="8"/>
        <v>-0.1047843137254902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48</v>
      </c>
      <c r="R9" s="42">
        <f t="shared" si="5"/>
        <v>48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2.0833333333333335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47</v>
      </c>
      <c r="R10" s="42">
        <f t="shared" si="5"/>
        <v>48</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58.333333333333336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20</v>
      </c>
      <c r="R11" s="42">
        <f t="shared" si="5"/>
        <v>48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92.857142857142847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2.0000000000000036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1.4999999999999999E-2</v>
      </c>
      <c r="E42" s="56">
        <f>MAX(C42:D42)</f>
        <v>1.7230000000000001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1.4999999999999999E-2</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1.4999999999999999E-2</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1.4999999999999999E-2</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1.4999999999999999E-2</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Entry'!E6</f>
        <v>85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85</v>
      </c>
      <c r="P7" s="42">
        <f t="shared" ref="P7:P15" si="4">C7</f>
        <v>25</v>
      </c>
      <c r="Q7" s="42">
        <f>C6-C7</f>
        <v>1698</v>
      </c>
      <c r="R7" s="42">
        <f t="shared" ref="R7:R15" si="5">SUM(N7:Q7)</f>
        <v>1808</v>
      </c>
      <c r="S7" s="30">
        <f t="shared" ref="S7:S15" si="6">R7*((((N7*Q7)-(O7*P7))^2))</f>
        <v>8164250000</v>
      </c>
      <c r="T7" s="30">
        <f t="shared" ref="T7:T15" si="7">(N7+O7)*(P7+Q7)*(N7+P7)*(O7+Q7)</f>
        <v>6528231625</v>
      </c>
      <c r="U7" s="31">
        <f t="shared" ref="U7:U15" si="8">IF((S7&gt;0),S7/T7,"- -")</f>
        <v>1.2506066679274725</v>
      </c>
    </row>
    <row r="8" spans="2:21" ht="18" customHeight="1">
      <c r="B8" s="32" t="str">
        <f>'Data Entry'!A8</f>
        <v>3. Refer to Juvenile Court</v>
      </c>
      <c r="C8" s="33">
        <f>'Data Entry'!C8</f>
        <v>48</v>
      </c>
      <c r="D8" s="34">
        <f>IF((AND(C67&gt;0,C8&gt;0)),(C8/C67),0)</f>
        <v>192</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48</v>
      </c>
      <c r="Q8" s="42">
        <f>(C$67*L67)-C8</f>
        <v>-23</v>
      </c>
      <c r="R8" s="42">
        <f t="shared" si="5"/>
        <v>25.049999999999997</v>
      </c>
      <c r="S8" s="30">
        <f t="shared" si="6"/>
        <v>144.28800000000001</v>
      </c>
      <c r="T8" s="30">
        <f t="shared" si="7"/>
        <v>-1377</v>
      </c>
      <c r="U8" s="31">
        <f t="shared" si="8"/>
        <v>-0.1047843137254902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48</v>
      </c>
      <c r="R9" s="42">
        <f t="shared" si="5"/>
        <v>48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2.0833333333333335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47</v>
      </c>
      <c r="R10" s="42">
        <f t="shared" si="5"/>
        <v>48</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58.333333333333336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20</v>
      </c>
      <c r="R11" s="42">
        <f t="shared" si="5"/>
        <v>48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92.857142857142847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2.0000000000000036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8.5000000000000006E-2</v>
      </c>
      <c r="E42" s="56">
        <f>MAX(C42:D42)</f>
        <v>1.7230000000000001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8.5000000000000006E-2</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8.5000000000000006E-2</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8.5000000000000006E-2</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8.5000000000000006E-2</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1698</v>
      </c>
      <c r="R7" s="42">
        <f t="shared" ref="R7:R15" si="5">SUM(N7:Q7)</f>
        <v>1723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48</v>
      </c>
      <c r="D8" s="34">
        <f>IF((AND(C67&gt;0,C8&gt;0)),(C8/C67),0)</f>
        <v>192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-23</v>
      </c>
      <c r="R8" s="42">
        <f t="shared" si="5"/>
        <v>25.049999999999997</v>
      </c>
      <c r="S8" s="30">
        <f t="shared" si="6"/>
        <v>144.28800000000001</v>
      </c>
      <c r="T8" s="30">
        <f t="shared" si="7"/>
        <v>-1377</v>
      </c>
      <c r="U8" s="31">
        <f t="shared" si="8"/>
        <v>-0.1047843137254902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48</v>
      </c>
      <c r="R9" s="42">
        <f t="shared" si="5"/>
        <v>48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2.0833333333333335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47</v>
      </c>
      <c r="R10" s="42">
        <f t="shared" si="5"/>
        <v>48</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58.333333333333336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20</v>
      </c>
      <c r="R11" s="42">
        <f t="shared" si="5"/>
        <v>48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92.857142857142847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2.0000000000000036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0</v>
      </c>
      <c r="E42" s="56">
        <f>MAX(C42:D42)</f>
        <v>1.7230000000000001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0</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0</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0</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0</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Ogemaw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1723</v>
      </c>
      <c r="D6" s="34"/>
      <c r="E6" s="33">
        <f>'Data Entry'!H6</f>
        <v>13</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14.509576320371444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13</v>
      </c>
      <c r="P7" s="42">
        <f t="shared" ref="P7:P15" si="4">C7</f>
        <v>25</v>
      </c>
      <c r="Q7" s="42">
        <f>C6-C7</f>
        <v>1698</v>
      </c>
      <c r="R7" s="42">
        <f t="shared" ref="R7:R15" si="5">SUM(N7:Q7)</f>
        <v>1736</v>
      </c>
      <c r="S7" s="30">
        <f t="shared" ref="S7:S15" si="6">R7*((((N7*Q7)-(O7*P7))^2))</f>
        <v>183365000</v>
      </c>
      <c r="T7" s="30">
        <f t="shared" ref="T7:T15" si="7">(N7+O7)*(P7+Q7)*(N7+P7)*(O7+Q7)</f>
        <v>958117225</v>
      </c>
      <c r="U7" s="31">
        <f t="shared" ref="U7:U15" si="8">IF((S7&gt;0),S7/T7,"- -")</f>
        <v>0.19138054845011268</v>
      </c>
    </row>
    <row r="8" spans="2:21" ht="18" customHeight="1">
      <c r="B8" s="32" t="str">
        <f>'Data Entry'!A8</f>
        <v>3. Refer to Juvenile Court</v>
      </c>
      <c r="C8" s="33">
        <f>'Data Entry'!C8</f>
        <v>48</v>
      </c>
      <c r="D8" s="34">
        <f>IF((AND(C67&gt;0,C8&gt;0)),(C8/C67),0)</f>
        <v>192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-23</v>
      </c>
      <c r="R8" s="42">
        <f t="shared" si="5"/>
        <v>25.049999999999997</v>
      </c>
      <c r="S8" s="30">
        <f t="shared" si="6"/>
        <v>144.28800000000001</v>
      </c>
      <c r="T8" s="30">
        <f t="shared" si="7"/>
        <v>-1377</v>
      </c>
      <c r="U8" s="31">
        <f t="shared" si="8"/>
        <v>-0.1047843137254902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48</v>
      </c>
      <c r="R9" s="42">
        <f t="shared" si="5"/>
        <v>48</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2.0833333333333335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47</v>
      </c>
      <c r="R10" s="42">
        <f t="shared" si="5"/>
        <v>48</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58.333333333333336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20</v>
      </c>
      <c r="R11" s="42">
        <f t="shared" si="5"/>
        <v>48</v>
      </c>
      <c r="S11" s="30">
        <f t="shared" si="6"/>
        <v>0</v>
      </c>
      <c r="T11" s="30">
        <f t="shared" si="7"/>
        <v>0</v>
      </c>
      <c r="U11" s="31" t="str">
        <f t="shared" si="8"/>
        <v>- -</v>
      </c>
    </row>
    <row r="12" spans="2:21" ht="18" customHeight="1">
      <c r="B12" s="32" t="str">
        <f>'Data Entry'!A12</f>
        <v>7. Cases Resulting in Delinquent Findings</v>
      </c>
      <c r="C12" s="33">
        <f>'Data Entry'!C12</f>
        <v>26</v>
      </c>
      <c r="D12" s="34">
        <f>IF(((AND(C69&gt;0,C12&gt;0))),(C12/(C69)),0)</f>
        <v>92.857142857142847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26</v>
      </c>
      <c r="Q12" s="42">
        <f>(C69*L69)-C12</f>
        <v>2.0000000000000036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19.23076923076923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21</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1.7230000000000001</v>
      </c>
      <c r="D42" s="56">
        <f>E6/1000</f>
        <v>1.2999999999999999E-2</v>
      </c>
      <c r="E42" s="56">
        <f>MAX(C42:D42)</f>
        <v>1.7230000000000001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0.26</v>
      </c>
      <c r="D46" s="49">
        <f>E12/100</f>
        <v>0</v>
      </c>
      <c r="E46" s="56">
        <f>MAX(C46:D46)</f>
        <v>0.26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1.7230000000000001</v>
      </c>
      <c r="D48" s="56">
        <f>D42</f>
        <v>1.2999999999999999E-2</v>
      </c>
      <c r="E48" s="56">
        <f>MAX(C48:D48)</f>
        <v>1.7230000000000001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0.26</v>
      </c>
      <c r="D52" s="49">
        <f>IF(($E46&gt;0),D46,D45)</f>
        <v>0</v>
      </c>
      <c r="E52" s="56">
        <f>MAX(C52:D52)</f>
        <v>0.26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1.7230000000000001</v>
      </c>
      <c r="D54" s="56">
        <f>D48</f>
        <v>1.2999999999999999E-2</v>
      </c>
      <c r="E54" s="56">
        <f>MAX(C54:D54)</f>
        <v>1.7230000000000001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0.26</v>
      </c>
      <c r="D58" s="49">
        <f>IF(($E52&gt;0),D52,D51)</f>
        <v>0</v>
      </c>
      <c r="E58" s="56">
        <f>MAX(C58:D58)</f>
        <v>0.26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1.7230000000000001</v>
      </c>
      <c r="D60" s="56">
        <f>D54</f>
        <v>1.2999999999999999E-2</v>
      </c>
      <c r="E60" s="56">
        <f>MAX(C60:D60)</f>
        <v>1.7230000000000001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1.7230000000000001</v>
      </c>
      <c r="D66" s="56">
        <f>D60</f>
        <v>1.2999999999999999E-2</v>
      </c>
      <c r="E66" s="56">
        <f>MAX(C66:D66)</f>
        <v>1.7230000000000001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0.26</v>
      </c>
      <c r="D70" s="49">
        <f>IF(($E64&gt;0),D64,D63)</f>
        <v>0</v>
      </c>
      <c r="E70" s="56">
        <f>MAX(C70:D70)</f>
        <v>0.26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U47JMPN4QEAR-1806752177-30494</_dlc_DocId>
    <_dlc_DocIdUrl xmlns="ac3811b5-0f3e-49e2-ba69-f2ffa0c782af">
      <Url>https://michiganphi.sharepoint.com/sites/CMDMC/_layouts/15/DocIdRedir.aspx?ID=U47JMPN4QEAR-1806752177-30494</Url>
      <Description>U47JMPN4QEAR-1806752177-30494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611F2D-469B-447A-BB7F-1626772C97CF}">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CB389263-6681-430E-A129-5B4D20370ADA}">
  <ds:schemaRefs>
    <ds:schemaRef ds:uri="http://schemas.microsoft.com/sharepoint/v3/contenttype/forms"/>
  </ds:schemaRefs>
</ds:datastoreItem>
</file>

<file path=customXml/itemProps3.xml><?xml version="1.0" encoding="utf-8"?>
<ds:datastoreItem xmlns:ds="http://schemas.openxmlformats.org/officeDocument/2006/customXml" ds:itemID="{B1989B59-35B4-442B-914D-1F0B776BD610}"/>
</file>

<file path=customXml/itemProps4.xml><?xml version="1.0" encoding="utf-8"?>
<ds:datastoreItem xmlns:ds="http://schemas.openxmlformats.org/officeDocument/2006/customXml" ds:itemID="{120C5F8D-C0FC-4842-B1BB-F29E879A27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5aaf2aa3-998e-4dab-9bf8-5e333abd7155</vt:lpwstr>
  </property>
</Properties>
</file>