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DA18374-FA5E-4B41-B2C3-70CD28AC1E28}"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c r="G58" i="2" s="1"/>
  <c r="G64" i="2" s="1"/>
  <c r="G70" i="2" s="1"/>
  <c r="L48" i="2"/>
  <c r="L54" i="2" s="1"/>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c r="G55" i="4" s="1"/>
  <c r="G61" i="4" s="1"/>
  <c r="G67" i="4" s="1"/>
  <c r="G44" i="4"/>
  <c r="G45" i="4"/>
  <c r="G51" i="4"/>
  <c r="G46" i="4"/>
  <c r="G52" i="4" s="1"/>
  <c r="G58" i="4" s="1"/>
  <c r="G64" i="4" s="1"/>
  <c r="G70" i="4" s="1"/>
  <c r="L48" i="4"/>
  <c r="L54" i="4"/>
  <c r="L60" i="4" s="1"/>
  <c r="L66" i="4" s="1"/>
  <c r="G50" i="4"/>
  <c r="G56" i="4"/>
  <c r="G62" i="4" s="1"/>
  <c r="G68" i="4" s="1"/>
  <c r="G57" i="4"/>
  <c r="G63" i="4" s="1"/>
  <c r="G69" i="4" s="1"/>
  <c r="F1" i="5"/>
  <c r="J5" i="13" s="1"/>
  <c r="B2" i="5"/>
  <c r="B3" i="5"/>
  <c r="B6" i="5"/>
  <c r="B7" i="5"/>
  <c r="B8" i="5"/>
  <c r="B9" i="5"/>
  <c r="B10" i="5"/>
  <c r="B11" i="5"/>
  <c r="B12" i="5"/>
  <c r="B13" i="5"/>
  <c r="B14" i="5"/>
  <c r="B15" i="5"/>
  <c r="B48" i="5"/>
  <c r="B54" i="5"/>
  <c r="B60" i="5"/>
  <c r="B66" i="5" s="1"/>
  <c r="J27" i="5"/>
  <c r="G42" i="5"/>
  <c r="G48" i="5" s="1"/>
  <c r="G54" i="5" s="1"/>
  <c r="G60" i="5" s="1"/>
  <c r="G66" i="5" s="1"/>
  <c r="G43" i="5"/>
  <c r="G49" i="5"/>
  <c r="G55" i="5"/>
  <c r="G61" i="5" s="1"/>
  <c r="G67" i="5" s="1"/>
  <c r="G44" i="5"/>
  <c r="G50" i="5" s="1"/>
  <c r="G56" i="5" s="1"/>
  <c r="G62" i="5" s="1"/>
  <c r="G68" i="5" s="1"/>
  <c r="G45" i="5"/>
  <c r="G51" i="5" s="1"/>
  <c r="G57" i="5" s="1"/>
  <c r="G63" i="5" s="1"/>
  <c r="G69" i="5" s="1"/>
  <c r="G46" i="5"/>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s="1"/>
  <c r="G62" i="6" s="1"/>
  <c r="G68" i="6" s="1"/>
  <c r="F1" i="7"/>
  <c r="B2" i="7"/>
  <c r="B3" i="7"/>
  <c r="B6" i="7"/>
  <c r="B7" i="7"/>
  <c r="B8" i="7"/>
  <c r="B9" i="7"/>
  <c r="B10" i="7"/>
  <c r="B11" i="7"/>
  <c r="B12" i="7"/>
  <c r="B13" i="7"/>
  <c r="B14" i="7"/>
  <c r="B15" i="7"/>
  <c r="B48" i="7"/>
  <c r="B54" i="7"/>
  <c r="B60" i="7" s="1"/>
  <c r="B66" i="7" s="1"/>
  <c r="J27" i="7"/>
  <c r="G42" i="7"/>
  <c r="G43" i="7"/>
  <c r="G49" i="7"/>
  <c r="G44" i="7"/>
  <c r="G45" i="7"/>
  <c r="G51" i="7"/>
  <c r="G57" i="7" s="1"/>
  <c r="G63" i="7" s="1"/>
  <c r="G69" i="7" s="1"/>
  <c r="G46" i="7"/>
  <c r="G52" i="7" s="1"/>
  <c r="G58" i="7" s="1"/>
  <c r="G64" i="7" s="1"/>
  <c r="G70" i="7" s="1"/>
  <c r="G48" i="7"/>
  <c r="G54" i="7"/>
  <c r="G60" i="7" s="1"/>
  <c r="G66" i="7" s="1"/>
  <c r="L48" i="7"/>
  <c r="G50" i="7"/>
  <c r="G56" i="7"/>
  <c r="G62" i="7"/>
  <c r="G68" i="7" s="1"/>
  <c r="L54" i="7"/>
  <c r="L60" i="7" s="1"/>
  <c r="L66" i="7" s="1"/>
  <c r="G55" i="7"/>
  <c r="G61" i="7" s="1"/>
  <c r="G67" i="7" s="1"/>
  <c r="F1" i="8"/>
  <c r="B2" i="8"/>
  <c r="B3" i="8"/>
  <c r="B6" i="8"/>
  <c r="B7" i="8"/>
  <c r="B8" i="8"/>
  <c r="B9" i="8"/>
  <c r="B10" i="8"/>
  <c r="B11" i="8"/>
  <c r="B12" i="8"/>
  <c r="B13" i="8"/>
  <c r="B14" i="8"/>
  <c r="B15" i="8"/>
  <c r="B48" i="8"/>
  <c r="B54" i="8" s="1"/>
  <c r="B60" i="8" s="1"/>
  <c r="B66" i="8" s="1"/>
  <c r="J27" i="8"/>
  <c r="G42" i="8"/>
  <c r="G43" i="8"/>
  <c r="G44" i="8"/>
  <c r="G45" i="8"/>
  <c r="G51" i="8" s="1"/>
  <c r="G57" i="8" s="1"/>
  <c r="G63" i="8" s="1"/>
  <c r="G69" i="8" s="1"/>
  <c r="G46" i="8"/>
  <c r="G52" i="8"/>
  <c r="G48" i="8"/>
  <c r="G54" i="8" s="1"/>
  <c r="G60" i="8" s="1"/>
  <c r="G66" i="8" s="1"/>
  <c r="L48" i="8"/>
  <c r="G49" i="8"/>
  <c r="G55" i="8"/>
  <c r="G61" i="8" s="1"/>
  <c r="G67" i="8" s="1"/>
  <c r="G50" i="8"/>
  <c r="L54" i="8"/>
  <c r="L60" i="8" s="1"/>
  <c r="L66" i="8" s="1"/>
  <c r="G56" i="8"/>
  <c r="G62" i="8" s="1"/>
  <c r="G68"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F27" i="2"/>
  <c r="M66" i="2"/>
  <c r="F27" i="8"/>
  <c r="M66" i="8"/>
  <c r="M66" i="7"/>
  <c r="F27" i="7"/>
  <c r="F27" i="6"/>
  <c r="M66" i="6"/>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L52" i="3" s="1"/>
  <c r="E44" i="6"/>
  <c r="B50" i="6" s="1"/>
  <c r="E46" i="7"/>
  <c r="D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D52" i="3"/>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L52" i="7"/>
  <c r="B52" i="3"/>
  <c r="C50" i="6"/>
  <c r="B52" i="7"/>
  <c r="D50" i="5"/>
  <c r="E50" i="5" s="1"/>
  <c r="L56"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D55" i="5" s="1"/>
  <c r="L51" i="2"/>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E58" i="8"/>
  <c r="B56" i="8"/>
  <c r="L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E64" i="5"/>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E64" i="8" l="1"/>
  <c r="B70" i="5"/>
  <c r="F33" i="5" s="1"/>
  <c r="E63" i="3"/>
  <c r="C69" i="3" s="1"/>
  <c r="D15" i="3" s="1"/>
  <c r="C70" i="3"/>
  <c r="D14" i="3" s="1"/>
  <c r="C69" i="7"/>
  <c r="D12" i="7" s="1"/>
  <c r="C70" i="5"/>
  <c r="D14" i="5" s="1"/>
  <c r="D70" i="5"/>
  <c r="F14" i="5" s="1"/>
  <c r="D70" i="6"/>
  <c r="F13" i="6" s="1"/>
  <c r="C63" i="8"/>
  <c r="L63" i="8"/>
  <c r="L70" i="8" s="1"/>
  <c r="B70" i="3"/>
  <c r="M70" i="3" s="1"/>
  <c r="L70" i="6"/>
  <c r="D63" i="8"/>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M70" i="5" l="1"/>
  <c r="D13" i="3"/>
  <c r="F34" i="5"/>
  <c r="D69" i="3"/>
  <c r="E69" i="3" s="1"/>
  <c r="Q14" i="3"/>
  <c r="L69" i="3"/>
  <c r="Q12" i="3" s="1"/>
  <c r="D12" i="3"/>
  <c r="B69" i="3"/>
  <c r="M69" i="3" s="1"/>
  <c r="Q12" i="7"/>
  <c r="F13" i="5"/>
  <c r="O13" i="6"/>
  <c r="F14" i="6"/>
  <c r="B69" i="6"/>
  <c r="M69" i="6" s="1"/>
  <c r="Q13" i="3"/>
  <c r="Q14" i="5"/>
  <c r="D13" i="5"/>
  <c r="Q13" i="8"/>
  <c r="E69" i="7"/>
  <c r="D15" i="7"/>
  <c r="O15" i="7"/>
  <c r="Q13" i="6"/>
  <c r="Q14" i="6"/>
  <c r="O13" i="5"/>
  <c r="Q13" i="5"/>
  <c r="E70" i="3"/>
  <c r="E63" i="8"/>
  <c r="D69" i="8" s="1"/>
  <c r="F12" i="8" s="1"/>
  <c r="E70" i="6"/>
  <c r="O14" i="6"/>
  <c r="D14" i="6"/>
  <c r="E70" i="5"/>
  <c r="O14" i="5"/>
  <c r="F33" i="3"/>
  <c r="Q15" i="7"/>
  <c r="F34" i="3"/>
  <c r="O12" i="7"/>
  <c r="K12" i="7" s="1"/>
  <c r="O13" i="3"/>
  <c r="F14" i="3"/>
  <c r="C69" i="6"/>
  <c r="D12" i="6" s="1"/>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12" i="3"/>
  <c r="Q15" i="3"/>
  <c r="F32" i="3"/>
  <c r="O12" i="3"/>
  <c r="R12" i="3" s="1"/>
  <c r="S12" i="3" s="1"/>
  <c r="R14" i="3"/>
  <c r="S14" i="3" s="1"/>
  <c r="U14" i="3" s="1"/>
  <c r="J14" i="3" s="1"/>
  <c r="M14" i="3" s="1"/>
  <c r="G14" i="3" s="1"/>
  <c r="I15" i="16" s="1"/>
  <c r="F35" i="3"/>
  <c r="R12" i="7"/>
  <c r="S12" i="7" s="1"/>
  <c r="T13" i="6"/>
  <c r="F35" i="6"/>
  <c r="Q15" i="6"/>
  <c r="T13" i="3"/>
  <c r="F32" i="6"/>
  <c r="K14" i="5"/>
  <c r="R13" i="8"/>
  <c r="S13" i="8" s="1"/>
  <c r="R13" i="6"/>
  <c r="S13" i="6" s="1"/>
  <c r="U13" i="6" s="1"/>
  <c r="J13" i="6" s="1"/>
  <c r="M13" i="6" s="1"/>
  <c r="G13" i="6" s="1"/>
  <c r="M14" i="13" s="1"/>
  <c r="K13" i="6"/>
  <c r="O15" i="6"/>
  <c r="R15" i="6" s="1"/>
  <c r="S15" i="6" s="1"/>
  <c r="U15" i="6" s="1"/>
  <c r="J15" i="6" s="1"/>
  <c r="K14" i="6"/>
  <c r="R13" i="5"/>
  <c r="S13" i="5" s="1"/>
  <c r="U13" i="5" s="1"/>
  <c r="J13" i="5" s="1"/>
  <c r="M13" i="5" s="1"/>
  <c r="T13" i="5"/>
  <c r="R14" i="6"/>
  <c r="S14" i="6" s="1"/>
  <c r="U14" i="6" s="1"/>
  <c r="J14" i="6" s="1"/>
  <c r="M14" i="6" s="1"/>
  <c r="G14" i="6" s="1"/>
  <c r="M15" i="13" s="1"/>
  <c r="K13" i="5"/>
  <c r="R15" i="7"/>
  <c r="S15" i="7" s="1"/>
  <c r="U15" i="7" s="1"/>
  <c r="J15" i="7" s="1"/>
  <c r="M15" i="7" s="1"/>
  <c r="T12" i="7"/>
  <c r="Q12" i="6"/>
  <c r="B69" i="8"/>
  <c r="M69" i="8" s="1"/>
  <c r="L69" i="8"/>
  <c r="O15" i="8" s="1"/>
  <c r="C69" i="8"/>
  <c r="F15" i="8"/>
  <c r="K13" i="3"/>
  <c r="R14" i="8"/>
  <c r="S14" i="8" s="1"/>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L12" i="7" s="1"/>
  <c r="S13" i="16" s="1"/>
  <c r="I15" i="13"/>
  <c r="N30" i="3"/>
  <c r="E14" i="9"/>
  <c r="L14" i="3"/>
  <c r="P15" i="16" s="1"/>
  <c r="U13" i="8"/>
  <c r="J13" i="8" s="1"/>
  <c r="M13" i="8" s="1"/>
  <c r="G13" i="8" s="1"/>
  <c r="I13" i="9" s="1"/>
  <c r="F35" i="8"/>
  <c r="L13" i="3"/>
  <c r="P14" i="16" s="1"/>
  <c r="K15" i="6"/>
  <c r="L15" i="6" s="1"/>
  <c r="R16" i="16" s="1"/>
  <c r="T15" i="6"/>
  <c r="K12" i="6"/>
  <c r="G13" i="9"/>
  <c r="L13" i="6"/>
  <c r="R14" i="16" s="1"/>
  <c r="L13" i="5"/>
  <c r="Q14" i="16" s="1"/>
  <c r="L15" i="7"/>
  <c r="S16" i="16" s="1"/>
  <c r="F32" i="8"/>
  <c r="O12" i="8"/>
  <c r="Q15" i="8"/>
  <c r="R15" i="8" s="1"/>
  <c r="S15" i="8" s="1"/>
  <c r="U15" i="8" s="1"/>
  <c r="J15" i="8" s="1"/>
  <c r="R12" i="6"/>
  <c r="S12" i="6" s="1"/>
  <c r="U12" i="6" s="1"/>
  <c r="J12" i="6" s="1"/>
  <c r="M12" i="6" s="1"/>
  <c r="G12" i="6" s="1"/>
  <c r="Q12" i="8"/>
  <c r="D15" i="8"/>
  <c r="D12" i="8"/>
  <c r="E69" i="8"/>
  <c r="L14" i="5"/>
  <c r="Q15" i="16" s="1"/>
  <c r="U14" i="8"/>
  <c r="J14" i="8" s="1"/>
  <c r="N30" i="8" s="1"/>
  <c r="N30" i="5"/>
  <c r="M13" i="3"/>
  <c r="G13" i="3" s="1"/>
  <c r="I14" i="13" s="1"/>
  <c r="T12" i="6"/>
  <c r="M13" i="9"/>
  <c r="U14" i="13"/>
  <c r="U12" i="13"/>
  <c r="M11" i="9"/>
  <c r="T13" i="2"/>
  <c r="U8" i="6"/>
  <c r="J8" i="6" s="1"/>
  <c r="M8" i="6" s="1"/>
  <c r="G8" i="6" s="1"/>
  <c r="M9" i="13" s="1"/>
  <c r="R13" i="2"/>
  <c r="S13" i="2" s="1"/>
  <c r="V11" i="13"/>
  <c r="G14" i="9"/>
  <c r="R10" i="7"/>
  <c r="S10" i="7" s="1"/>
  <c r="T11" i="7"/>
  <c r="T10" i="7"/>
  <c r="L8" i="2"/>
  <c r="N9" i="16" s="1"/>
  <c r="Y13" i="13"/>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X14" i="13"/>
  <c r="N11" i="9"/>
  <c r="T15" i="5"/>
  <c r="L15" i="3"/>
  <c r="P16" i="16" s="1"/>
  <c r="M15" i="6"/>
  <c r="G15" i="6" s="1"/>
  <c r="L13" i="7"/>
  <c r="S14" i="16" s="1"/>
  <c r="M9" i="3"/>
  <c r="G9" i="3" s="1"/>
  <c r="I10" i="13" s="1"/>
  <c r="G12" i="13"/>
  <c r="G12" i="16"/>
  <c r="N9" i="9"/>
  <c r="P10" i="16"/>
  <c r="M14" i="7"/>
  <c r="N30" i="7"/>
  <c r="L14" i="7"/>
  <c r="S15" i="16" s="1"/>
  <c r="L8" i="7"/>
  <c r="S9" i="16" s="1"/>
  <c r="M9" i="9"/>
  <c r="M10" i="9"/>
  <c r="V10"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2" i="7" l="1"/>
  <c r="Q12" i="9"/>
  <c r="N14" i="9"/>
  <c r="V15" i="13"/>
  <c r="V14" i="13"/>
  <c r="U11" i="7"/>
  <c r="J11" i="7" s="1"/>
  <c r="M11" i="7" s="1"/>
  <c r="N13" i="9"/>
  <c r="P13" i="9"/>
  <c r="U10" i="7"/>
  <c r="J10" i="7" s="1"/>
  <c r="L10" i="7" s="1"/>
  <c r="S11" i="16" s="1"/>
  <c r="K14" i="16"/>
  <c r="L13" i="8"/>
  <c r="T14" i="16" s="1"/>
  <c r="Q14" i="13"/>
  <c r="U14" i="2"/>
  <c r="J14" i="2" s="1"/>
  <c r="M14" i="2" s="1"/>
  <c r="G14" i="2" s="1"/>
  <c r="E15" i="16" s="1"/>
  <c r="Y16" i="13"/>
  <c r="O13" i="9"/>
  <c r="R12" i="8"/>
  <c r="S12" i="8" s="1"/>
  <c r="W14" i="13"/>
  <c r="Q15" i="9"/>
  <c r="T12" i="8"/>
  <c r="K12" i="8"/>
  <c r="L12" i="6"/>
  <c r="R13" i="16" s="1"/>
  <c r="T15" i="8"/>
  <c r="K15" i="8"/>
  <c r="L15" i="8" s="1"/>
  <c r="T16" i="16" s="1"/>
  <c r="O14" i="9"/>
  <c r="W15" i="13"/>
  <c r="E13" i="9"/>
  <c r="M14" i="8"/>
  <c r="G14" i="8" s="1"/>
  <c r="K15" i="16" s="1"/>
  <c r="L14" i="8"/>
  <c r="T15" i="16" s="1"/>
  <c r="U13" i="2"/>
  <c r="J13" i="2" s="1"/>
  <c r="M13" i="2" s="1"/>
  <c r="G13" i="2" s="1"/>
  <c r="E14" i="16" s="1"/>
  <c r="I14" i="16"/>
  <c r="L8" i="6"/>
  <c r="R9"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U10" i="8"/>
  <c r="J10" i="8" s="1"/>
  <c r="L9" i="6"/>
  <c r="R10" i="16" s="1"/>
  <c r="M9" i="6"/>
  <c r="G9" i="6" s="1"/>
  <c r="M10" i="6"/>
  <c r="G10" i="6" s="1"/>
  <c r="L10" i="6"/>
  <c r="R11" i="16" s="1"/>
  <c r="R13" i="9" l="1"/>
  <c r="E15" i="13"/>
  <c r="N30" i="2"/>
  <c r="L14" i="2"/>
  <c r="N15" i="16" s="1"/>
  <c r="C14" i="9"/>
  <c r="Z14" i="13"/>
  <c r="U12" i="8"/>
  <c r="J12" i="8" s="1"/>
  <c r="M12" i="8" s="1"/>
  <c r="G12" i="8" s="1"/>
  <c r="K13" i="16" s="1"/>
  <c r="C13" i="9"/>
  <c r="P12" i="9"/>
  <c r="E14" i="13"/>
  <c r="L13" i="2"/>
  <c r="N14" i="16" s="1"/>
  <c r="X13" i="13"/>
  <c r="I14" i="9"/>
  <c r="Z15" i="13"/>
  <c r="R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L14" i="9"/>
  <c r="Q13" i="13"/>
  <c r="I12" i="9"/>
  <c r="L12" i="8"/>
  <c r="T14" i="13"/>
  <c r="L13" i="9"/>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<sst xmlns="http://schemas.openxmlformats.org/spreadsheetml/2006/main" count="654" uniqueCount="141">
  <si>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</si>
  <si>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</si>
  <si>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</si>
  <si>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</si>
  <si>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</si>
  <si>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</si>
  <si>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</si>
  <si>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</si>
  <si>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</si>
  <si>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</si>
  <si>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</si>
  <si>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</si>
  <si>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</si>
  <si>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</si>
  <si>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</si>
  <si>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</si>
  <si>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</si>
  <si>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</si>
  <si>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</si>
  <si>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</si>
  <si>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</si>
  <si>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</si>
  <si>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</si>
  <si>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</si>
  <si>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</si>
  <si>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</si>
  <si>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</si>
  <si>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</si>
  <si>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</si>
  <si>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</si>
  <si>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</si>
  <si>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</si>
  <si>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</si>
  <si>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</si>
  <si>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</si>
  <si>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</si>
  <si>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</si>
  <si>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</si>
  <si>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</si>
  <si>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</si>
  <si>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</si>
  <si>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</si>
  <si>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</si>
  <si>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</si>
  <si>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</si>
  <si>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</si>
  <si>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</si>
  <si>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</si>
  <si>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</si>
  <si>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</si>
  <si>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</si>
  <si>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</si>
  <si>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</si>
  <si>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</si>
  <si>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</si>
  <si>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</si>
  <si>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</si>
  <si>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</si>
  <si>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</si>
  <si>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</si>
  <si>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</si>
  <si>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</si>
  <si>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</si>
  <si>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</si>
  <si>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</si>
  <si>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</si>
  <si>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</si>
  <si>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</si>
  <si>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</si>
  <si>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</si>
  <si>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</si>
  <si>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</si>
  <si>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</si>
  <si>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</si>
  <si>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</si>
  <si>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</si>
  <si>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</si>
  <si>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</si>
  <si>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</si>
  <si>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</si>
  <si>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</si>
  <si>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</si>
  <si>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</si>
  <si>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</si>
  <si>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</si>
  <si>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</si>
  <si>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</si>
  <si>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</si>
  <si>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</si>
  <si>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</si>
  <si>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</si>
  <si>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</si>
  <si>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</si>
  <si>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</si>
  <si>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</si>
  <si>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</si>
  <si>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</si>
  <si>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</si>
  <si>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</si>
  <si>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</si>
  <si>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</si>
  <si>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</si>
  <si>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</si>
  <si>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</si>
  <si>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</si>
  <si>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</si>
  <si>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</si>
  <si>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</si>
  <si>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</si>
  <si>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</si>
  <si>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</si>
  <si>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</si>
  <si>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</si>
  <si>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</si>
  <si>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</si>
  <si>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</si>
  <si>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</si>
  <si>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</si>
  <si>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</si>
  <si>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</si>
  <si>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</si>
  <si>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</si>
  <si>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</si>
  <si>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</si>
  <si>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</si>
  <si>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</si>
  <si>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</si>
  <si>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</si>
  <si>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</si>
  <si>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</si>
  <si>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</si>
  <si>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</si>
  <si>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</si>
  <si>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</si>
  <si>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</si>
  <si>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</si>
  <si>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</si>
  <si>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Ogemaw</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</si>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</sst>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Ogemaw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N=15</c:v>
                </c:pt>
                <c:pt idx="3">
                  <c:v>Petitions, total N=18</c:v>
                </c:pt>
                <c:pt idx="4">
                  <c:v>Detentions, total N=4</c:v>
                </c:pt>
                <c:pt idx="5">
                  <c:v>Referrals, total N=22</c:v>
                </c:pt>
                <c:pt idx="6">
                  <c:v>Arrests, total N=10</c:v>
                </c:pt>
                <c:pt idx="7">
                  <c:v>Population, total N=1609</c:v>
                </c:pt>
              </c:strCache>
            </c:strRef>
          </c:cat>
          <c:val>
            <c:numRef>
              <c:f>'Stacked 100%'!$B$7:$B$14</c:f>
              <c:numCache>
                <c:formatCode>0%</c:formatCode>
                <c:ptCount val="8"/>
                <c:pt idx="0">
                  <c:v>0</c:v>
                </c:pt>
                <c:pt idx="1">
                  <c:v>0</c:v>
                </c:pt>
                <c:pt idx="2">
                  <c:v>0</c:v>
                </c:pt>
                <c:pt idx="3">
                  <c:v>0</c:v>
                </c:pt>
                <c:pt idx="4">
                  <c:v>0</c:v>
                </c:pt>
                <c:pt idx="5">
                  <c:v>0</c:v>
                </c:pt>
                <c:pt idx="6">
                  <c:v>0</c:v>
                </c:pt>
                <c:pt idx="7">
                  <c:v>1.8645121193287758E-2</c:v>
                </c:pt>
              </c:numCache>
            </c:numRef>
          </c:val>
          <c:extLst>
            <c:ext xmlns:c16="http://schemas.microsoft.com/office/drawing/2014/chart" uri="{C3380CC4-5D6E-409C-BE32-E72D297353CC}">
              <c16:uniqueId val="{00000000-C982-4A62-991B-9D2A3D7C6F4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N=15</c:v>
                </c:pt>
                <c:pt idx="3">
                  <c:v>Petitions, total N=18</c:v>
                </c:pt>
                <c:pt idx="4">
                  <c:v>Detentions, total N=4</c:v>
                </c:pt>
                <c:pt idx="5">
                  <c:v>Referrals, total N=22</c:v>
                </c:pt>
                <c:pt idx="6">
                  <c:v>Arrests, total N=10</c:v>
                </c:pt>
                <c:pt idx="7">
                  <c:v>Population, total N=1609</c:v>
                </c:pt>
              </c:strCache>
            </c:strRef>
          </c:cat>
          <c:val>
            <c:numRef>
              <c:f>'Stacked 100%'!$C$7:$C$14</c:f>
              <c:numCache>
                <c:formatCode>0%</c:formatCode>
                <c:ptCount val="8"/>
                <c:pt idx="0">
                  <c:v>0</c:v>
                </c:pt>
                <c:pt idx="1">
                  <c:v>0</c:v>
                </c:pt>
                <c:pt idx="2">
                  <c:v>0</c:v>
                </c:pt>
                <c:pt idx="3">
                  <c:v>0</c:v>
                </c:pt>
                <c:pt idx="4">
                  <c:v>0</c:v>
                </c:pt>
                <c:pt idx="5">
                  <c:v>0</c:v>
                </c:pt>
                <c:pt idx="6">
                  <c:v>0</c:v>
                </c:pt>
                <c:pt idx="7">
                  <c:v>4.9098819142324425E-2</c:v>
                </c:pt>
              </c:numCache>
            </c:numRef>
          </c:val>
          <c:extLst>
            <c:ext xmlns:c16="http://schemas.microsoft.com/office/drawing/2014/chart" uri="{C3380CC4-5D6E-409C-BE32-E72D297353CC}">
              <c16:uniqueId val="{00000001-C982-4A62-991B-9D2A3D7C6F4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N=13</c:v>
                </c:pt>
                <c:pt idx="2">
                  <c:v>Delinquent Findings, total N=15</c:v>
                </c:pt>
                <c:pt idx="3">
                  <c:v>Petitions, total N=18</c:v>
                </c:pt>
                <c:pt idx="4">
                  <c:v>Detentions, total N=4</c:v>
                </c:pt>
                <c:pt idx="5">
                  <c:v>Referrals, total N=22</c:v>
                </c:pt>
                <c:pt idx="6">
                  <c:v>Arrests, total N=10</c:v>
                </c:pt>
                <c:pt idx="7">
                  <c:v>Population, total N=1609</c:v>
                </c:pt>
              </c:strCache>
            </c:strRef>
          </c:cat>
          <c:val>
            <c:numRef>
              <c:f>'Stacked 100%'!$H$7:$H$14</c:f>
              <c:numCache>
                <c:formatCode>0%</c:formatCode>
                <c:ptCount val="8"/>
                <c:pt idx="0">
                  <c:v>0</c:v>
                </c:pt>
                <c:pt idx="1">
                  <c:v>0</c:v>
                </c:pt>
                <c:pt idx="2">
                  <c:v>0</c:v>
                </c:pt>
                <c:pt idx="3">
                  <c:v>3.0864197530864196E-3</c:v>
                </c:pt>
                <c:pt idx="4">
                  <c:v>0</c:v>
                </c:pt>
                <c:pt idx="5">
                  <c:v>4.1322314049586778E-3</c:v>
                </c:pt>
                <c:pt idx="6">
                  <c:v>0</c:v>
                </c:pt>
                <c:pt idx="7">
                  <c:v>9.2704145149970197E-6</c:v>
                </c:pt>
              </c:numCache>
            </c:numRef>
          </c:val>
          <c:extLst>
            <c:ext xmlns:c16="http://schemas.microsoft.com/office/drawing/2014/chart" uri="{C3380CC4-5D6E-409C-BE32-E72D297353CC}">
              <c16:uniqueId val="{00000002-C982-4A62-991B-9D2A3D7C6F4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N=15</c:v>
                </c:pt>
                <c:pt idx="3">
                  <c:v>Petitions, total N=18</c:v>
                </c:pt>
                <c:pt idx="4">
                  <c:v>Detentions, total N=4</c:v>
                </c:pt>
                <c:pt idx="5">
                  <c:v>Referrals, total N=22</c:v>
                </c:pt>
                <c:pt idx="6">
                  <c:v>Arrests, total N=10</c:v>
                </c:pt>
                <c:pt idx="7">
                  <c:v>Population, total N=1609</c:v>
                </c:pt>
              </c:strCache>
            </c:strRef>
          </c:cat>
          <c:val>
            <c:numRef>
              <c:f>'Stacked 100%'!$I$7:$I$14</c:f>
              <c:numCache>
                <c:formatCode>0%</c:formatCode>
                <c:ptCount val="8"/>
                <c:pt idx="0">
                  <c:v>0</c:v>
                </c:pt>
                <c:pt idx="1">
                  <c:v>1</c:v>
                </c:pt>
                <c:pt idx="2">
                  <c:v>1</c:v>
                </c:pt>
                <c:pt idx="3">
                  <c:v>0.94444444444444442</c:v>
                </c:pt>
                <c:pt idx="4">
                  <c:v>1</c:v>
                </c:pt>
                <c:pt idx="5">
                  <c:v>0.90909090909090906</c:v>
                </c:pt>
                <c:pt idx="6">
                  <c:v>0.9</c:v>
                </c:pt>
                <c:pt idx="7">
                  <c:v>0.91733996270975759</c:v>
                </c:pt>
              </c:numCache>
            </c:numRef>
          </c:val>
          <c:extLst>
            <c:ext xmlns:c16="http://schemas.microsoft.com/office/drawing/2014/chart" uri="{C3380CC4-5D6E-409C-BE32-E72D297353CC}">
              <c16:uniqueId val="{00000003-C982-4A62-991B-9D2A3D7C6F4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N=13</c:v>
                </c:pt>
                <c:pt idx="2">
                  <c:v>Delinquent Findings, total N=15</c:v>
                </c:pt>
                <c:pt idx="3">
                  <c:v>Petitions, total N=18</c:v>
                </c:pt>
                <c:pt idx="4">
                  <c:v>Detentions, total N=4</c:v>
                </c:pt>
                <c:pt idx="5">
                  <c:v>Referrals, total N=22</c:v>
                </c:pt>
                <c:pt idx="6">
                  <c:v>Arrests, total N=10</c:v>
                </c:pt>
                <c:pt idx="7">
                  <c:v>Population, total N=1609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982-4A62-991B-9D2A3D7C6F4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1609</v>
      </c>
      <c r="C6" s="11">
        <v>1476</v>
      </c>
      <c r="D6" s="11">
        <v>30</v>
      </c>
      <c r="E6" s="11">
        <v>79</v>
      </c>
      <c r="F6" s="11">
        <v>11</v>
      </c>
      <c r="G6" s="11"/>
      <c r="H6" s="11">
        <v>13</v>
      </c>
      <c r="I6" s="11"/>
      <c r="J6" s="91">
        <f>SUM(D6:I6)</f>
        <v>133</v>
      </c>
      <c r="K6" s="92"/>
    </row>
    <row r="7" spans="1:11" ht="15.75" customHeight="1" thickBot="1" x14ac:dyDescent="0.25">
      <c r="A7" s="10" t="s">
        <v>8</v>
      </c>
      <c r="B7" s="11">
        <f t="shared" ref="B7:B15" si="0">SUM(C7:I7)+K7</f>
        <v>10</v>
      </c>
      <c r="C7" s="11">
        <v>9</v>
      </c>
      <c r="D7" s="11"/>
      <c r="E7" s="11"/>
      <c r="F7" s="11"/>
      <c r="G7" s="11"/>
      <c r="H7" s="11"/>
      <c r="I7" s="11"/>
      <c r="J7" s="91">
        <f t="shared" ref="J7:J15" si="1">SUM(D7:I7)</f>
        <v>0</v>
      </c>
      <c r="K7" s="92">
        <v>1</v>
      </c>
    </row>
    <row r="8" spans="1:11" ht="15.75" customHeight="1" thickBot="1" x14ac:dyDescent="0.25">
      <c r="A8" s="10" t="s">
        <v>9</v>
      </c>
      <c r="B8" s="11">
        <f t="shared" si="0"/>
        <v>22</v>
      </c>
      <c r="C8" s="11">
        <v>20</v>
      </c>
      <c r="D8" s="11"/>
      <c r="E8" s="11"/>
      <c r="F8" s="11"/>
      <c r="G8" s="11"/>
      <c r="H8" s="11"/>
      <c r="I8" s="11">
        <v>2</v>
      </c>
      <c r="J8" s="91">
        <f t="shared" si="1"/>
        <v>2</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4</v>
      </c>
      <c r="C10" s="11">
        <v>4</v>
      </c>
      <c r="D10" s="11"/>
      <c r="E10" s="11"/>
      <c r="F10" s="11"/>
      <c r="G10" s="11"/>
      <c r="H10" s="11"/>
      <c r="I10" s="11"/>
      <c r="J10" s="91">
        <f t="shared" si="1"/>
        <v>0</v>
      </c>
      <c r="K10" s="92"/>
    </row>
    <row r="11" spans="1:11" ht="15.75" customHeight="1" thickBot="1" x14ac:dyDescent="0.25">
      <c r="A11" s="10" t="s">
        <v>12</v>
      </c>
      <c r="B11" s="11">
        <f t="shared" si="0"/>
        <v>18</v>
      </c>
      <c r="C11" s="11">
        <v>17</v>
      </c>
      <c r="D11" s="11"/>
      <c r="E11" s="11"/>
      <c r="F11" s="11"/>
      <c r="G11" s="11"/>
      <c r="H11" s="11"/>
      <c r="I11" s="11">
        <v>1</v>
      </c>
      <c r="J11" s="91">
        <f t="shared" si="1"/>
        <v>1</v>
      </c>
      <c r="K11" s="92"/>
    </row>
    <row r="12" spans="1:11" ht="15.75" customHeight="1" thickBot="1" x14ac:dyDescent="0.25">
      <c r="A12" s="10" t="s">
        <v>13</v>
      </c>
      <c r="B12" s="11">
        <f t="shared" si="0"/>
        <v>15</v>
      </c>
      <c r="C12" s="11">
        <v>15</v>
      </c>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13</v>
      </c>
      <c r="C14" s="11">
        <v>13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1467</v>
      </c>
      <c r="R7" s="42">
        <f t="shared" ref="R7:R15" si="5">SUM(N7:Q7)</f>
        <v>1476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20</v>
      </c>
      <c r="D8" s="34">
        <f>IF((AND(C67&gt;0,C8&gt;0)),(C8/C67),0)</f>
        <v>222.22222222222223</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20</v>
      </c>
      <c r="Q8" s="42">
        <f>(C$67*L67)-C8</f>
        <v>-11</v>
      </c>
      <c r="R8" s="42">
        <f t="shared" si="5"/>
        <v>9.0500000000000007</v>
      </c>
      <c r="S8" s="30">
        <f t="shared" si="6"/>
        <v>2615.4500000000003</v>
      </c>
      <c r="T8" s="30">
        <f t="shared" si="7"/>
        <v>-128.20500000000013</v>
      </c>
      <c r="U8" s="31">
        <f t="shared" si="8"/>
        <v>-20.400530400530382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20</v>
      </c>
      <c r="R9" s="42">
        <f t="shared" si="5"/>
        <v>22</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4</v>
      </c>
      <c r="Q10" s="42">
        <f>(C$68*L68)-C10</f>
        <v>16</v>
      </c>
      <c r="R10" s="42">
        <f t="shared" si="5"/>
        <v>22</v>
      </c>
      <c r="S10" s="30">
        <f t="shared" si="6"/>
        <v>1408</v>
      </c>
      <c r="T10" s="30">
        <f t="shared" si="7"/>
        <v>2880</v>
      </c>
      <c r="U10" s="31">
        <f t="shared" si="8"/>
        <v>0.48888888888888887</v>
      </c>
    </row>
    <row r="11" spans="2:21" ht="18" customHeight="1" x14ac:dyDescent="0.25">
      <c r="B11" s="32" t="str">
        <f>'Data Entry'!A11</f>
        <v>6. Cases Petitioned (Charge Filed)</v>
      </c>
      <c r="C11" s="33">
        <f>'Data Entry'!C11</f>
        <v>17</v>
      </c>
      <c r="D11" s="34">
        <f>IF(((AND(C68&gt;0,C11&gt;0))),(C11/(C68)),0)</f>
        <v>85</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17</v>
      </c>
      <c r="Q11" s="42">
        <f>(C$68*L68)-C11</f>
        <v>3</v>
      </c>
      <c r="R11" s="42">
        <f t="shared" si="5"/>
        <v>22</v>
      </c>
      <c r="S11" s="30">
        <f t="shared" si="6"/>
        <v>4312</v>
      </c>
      <c r="T11" s="30">
        <f t="shared" si="7"/>
        <v>2880</v>
      </c>
      <c r="U11" s="31">
        <f t="shared" si="8"/>
        <v>1.4972222222222222</v>
      </c>
    </row>
    <row r="12" spans="2:21" ht="18" customHeight="1" x14ac:dyDescent="0.25">
      <c r="B12" s="32" t="str">
        <f>'Data Entry'!A12</f>
        <v>7. Cases Resulting in Delinquent Findings</v>
      </c>
      <c r="C12" s="33">
        <f>'Data Entry'!C12</f>
        <v>15</v>
      </c>
      <c r="D12" s="34">
        <f>IF(((AND(C69&gt;0,C12&gt;0))),(C12/(C69)),0)</f>
        <v>88.235294117647058</v>
      </c>
      <c r="E12" s="33">
        <f>'Data Entry'!I12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0</v>
      </c>
      <c r="O12" s="42">
        <f>(D69*L69)-E12</f>
        <v>1</v>
      </c>
      <c r="P12" s="42">
        <f t="shared" si="4"/>
        <v>15</v>
      </c>
      <c r="Q12" s="42">
        <f>(C69*L69)-C12</f>
        <v>2</v>
      </c>
      <c r="R12" s="42">
        <f t="shared" si="5"/>
        <v>18</v>
      </c>
      <c r="S12" s="30">
        <f t="shared" si="6"/>
        <v>4050</v>
      </c>
      <c r="T12" s="30">
        <f t="shared" si="7"/>
        <v>765</v>
      </c>
      <c r="U12" s="31">
        <f t="shared" si="8"/>
        <v>5.2941176470588234</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17</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0</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0.02</v>
      </c>
      <c r="E44" s="56">
        <f>MAX(C44:D44,0)</f>
        <v>0.2</v>
      </c>
      <c r="G44" s="1" t="str">
        <f>B44</f>
        <v>per 100 referrals</v>
      </c>
      <c r="L44" s="57">
        <v>100</v>
      </c>
      <c r="M44" s="57"/>
      <c r="R44" s="49"/>
    </row>
    <row r="45" spans="2:18" ht="15" hidden="1" customHeight="1" x14ac:dyDescent="0.25">
      <c r="B45" s="49" t="s">
        <v>89</v>
      </c>
      <c r="C45" s="49">
        <f>C11/100</f>
        <v>0.17</v>
      </c>
      <c r="D45" s="49">
        <f>E11/100</f>
        <v>0.01</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0</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0.02</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0.01</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0</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0.02</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0.01</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0</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0.02</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0.01</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0</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0.02</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0.01</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Entry'!J6</f>
        <v>133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133</v>
      </c>
      <c r="P7" s="42">
        <f t="shared" ref="P7:P15" si="4">C7</f>
        <v>9</v>
      </c>
      <c r="Q7" s="42">
        <f>C6-C7</f>
        <v>1467</v>
      </c>
      <c r="R7" s="42">
        <f t="shared" ref="R7:R15" si="5">SUM(N7:Q7)</f>
        <v>1609</v>
      </c>
      <c r="S7" s="30">
        <f t="shared" ref="S7:S15" si="6">R7*((((N7*Q7)-(O7*P7))^2))</f>
        <v>2305389681</v>
      </c>
      <c r="T7" s="30">
        <f t="shared" ref="T7:T15" si="7">(N7+O7)*(P7+Q7)*(N7+P7)*(O7+Q7)</f>
        <v>2826835200</v>
      </c>
      <c r="U7" s="31">
        <f t="shared" ref="U7:U15" si="8">IF((S7&gt;0),S7/T7,"- -")</f>
        <v>0.81553734756097562</v>
      </c>
    </row>
    <row r="8" spans="2:21" ht="18" customHeight="1" x14ac:dyDescent="0.25">
      <c r="B8" s="32" t="str">
        <f>'Data Entry'!A8</f>
        <v>3. Refer to Juvenile Court</v>
      </c>
      <c r="C8" s="33">
        <f>'Data Entry'!C8</f>
        <v>20</v>
      </c>
      <c r="D8" s="34">
        <f>IF((AND(C67&gt;0,C8&gt;0)),(C8/C67),0)</f>
        <v>222.22222222222223</v>
      </c>
      <c r="E8" s="33">
        <f>'Data Entry'!J8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20</v>
      </c>
      <c r="Q8" s="42">
        <f>(C$67*L67)-C8</f>
        <v>-11</v>
      </c>
      <c r="R8" s="42">
        <f t="shared" si="5"/>
        <v>9.0500000000000007</v>
      </c>
      <c r="S8" s="30">
        <f t="shared" si="6"/>
        <v>2615.4500000000003</v>
      </c>
      <c r="T8" s="30">
        <f t="shared" si="7"/>
        <v>-128.20500000000013</v>
      </c>
      <c r="U8" s="31">
        <f t="shared" si="8"/>
        <v>-20.400530400530382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20</v>
      </c>
      <c r="R9" s="42">
        <f t="shared" si="5"/>
        <v>22</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4</v>
      </c>
      <c r="Q10" s="42">
        <f>(C$68*L68)-C10</f>
        <v>16</v>
      </c>
      <c r="R10" s="42">
        <f t="shared" si="5"/>
        <v>22</v>
      </c>
      <c r="S10" s="30">
        <f t="shared" si="6"/>
        <v>1408</v>
      </c>
      <c r="T10" s="30">
        <f t="shared" si="7"/>
        <v>2880</v>
      </c>
      <c r="U10" s="31">
        <f t="shared" si="8"/>
        <v>0.48888888888888887</v>
      </c>
    </row>
    <row r="11" spans="2:21" ht="18" customHeight="1" x14ac:dyDescent="0.25">
      <c r="B11" s="32" t="str">
        <f>'Data Entry'!A11</f>
        <v>6. Cases Petitioned (Charge Filed)</v>
      </c>
      <c r="C11" s="33">
        <f>'Data Entry'!C11</f>
        <v>17</v>
      </c>
      <c r="D11" s="34">
        <f>IF(((AND(C68&gt;0,C11&gt;0))),(C11/(C68)),0)</f>
        <v>85</v>
      </c>
      <c r="E11" s="33">
        <f>'Data Entry'!J11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17</v>
      </c>
      <c r="Q11" s="42">
        <f>(C$68*L68)-C11</f>
        <v>3</v>
      </c>
      <c r="R11" s="42">
        <f t="shared" si="5"/>
        <v>22</v>
      </c>
      <c r="S11" s="30">
        <f t="shared" si="6"/>
        <v>4312</v>
      </c>
      <c r="T11" s="30">
        <f t="shared" si="7"/>
        <v>2880</v>
      </c>
      <c r="U11" s="31">
        <f t="shared" si="8"/>
        <v>1.4972222222222222</v>
      </c>
    </row>
    <row r="12" spans="2:21" ht="18" customHeight="1" x14ac:dyDescent="0.25">
      <c r="B12" s="32" t="str">
        <f>'Data Entry'!A12</f>
        <v>7. Cases Resulting in Delinquent Findings</v>
      </c>
      <c r="C12" s="33">
        <f>'Data Entry'!C12</f>
        <v>15</v>
      </c>
      <c r="D12" s="34">
        <f>IF(((AND(C69&gt;0,C12&gt;0))),(C12/(C69)),0)</f>
        <v>88.235294117647058</v>
      </c>
      <c r="E12" s="33">
        <f>'Data Entry'!J12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0</v>
      </c>
      <c r="O12" s="42">
        <f>(D69*L69)-E12</f>
        <v>1</v>
      </c>
      <c r="P12" s="42">
        <f t="shared" si="4"/>
        <v>15</v>
      </c>
      <c r="Q12" s="42">
        <f>(C69*L69)-C12</f>
        <v>2</v>
      </c>
      <c r="R12" s="42">
        <f t="shared" si="5"/>
        <v>18</v>
      </c>
      <c r="S12" s="30">
        <f t="shared" si="6"/>
        <v>4050</v>
      </c>
      <c r="T12" s="30">
        <f t="shared" si="7"/>
        <v>765</v>
      </c>
      <c r="U12" s="31">
        <f t="shared" si="8"/>
        <v>5.2941176470588234</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17</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0.13300000000000001</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0.02</v>
      </c>
      <c r="E44" s="56">
        <f>MAX(C44:D44,0)</f>
        <v>0.2</v>
      </c>
      <c r="G44" s="1" t="str">
        <f>B44</f>
        <v>per 100 referrals</v>
      </c>
      <c r="L44" s="57">
        <v>100</v>
      </c>
      <c r="M44" s="57"/>
      <c r="R44" s="49"/>
    </row>
    <row r="45" spans="2:18" ht="15" hidden="1" customHeight="1" x14ac:dyDescent="0.25">
      <c r="B45" s="49" t="s">
        <v>89</v>
      </c>
      <c r="C45" s="49">
        <f>C11/100</f>
        <v>0.17</v>
      </c>
      <c r="D45" s="49">
        <f>E11/100</f>
        <v>0.01</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0.13300000000000001</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0.02</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0.01</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0.13300000000000001</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0.02</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0.01</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0.13300000000000001</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0.02</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0.01</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0.13300000000000001</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0.02</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0.01</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Ogemaw</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119</v>
      </c>
      <c r="R12" s="1">
        <f>'All Minorities'!L12</f>
        <v>20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1609</v>
      </c>
      <c r="D3" s="57">
        <f>'Data Entry'!C6</f>
        <v>1476</v>
      </c>
      <c r="E3" s="57">
        <f>'Data Entry'!D6</f>
        <v>30</v>
      </c>
      <c r="F3" s="57">
        <f>'Data Entry'!E6</f>
        <v>79</v>
      </c>
      <c r="G3" s="57">
        <f>'Data Entry'!F6</f>
        <v>11</v>
      </c>
      <c r="H3" s="57">
        <f>'Data Entry'!G6</f>
        <v>0</v>
      </c>
      <c r="I3" s="57">
        <f>'Data Entry'!H6</f>
        <v>13</v>
      </c>
      <c r="J3" s="57">
        <f>'Data Entry'!I6</f>
        <v>0</v>
      </c>
      <c r="K3" s="57">
        <f>'Data Entry'!J6</f>
        <v>133</v>
      </c>
    </row>
    <row r="4" spans="2:11" ht="15" customHeight="1" x14ac:dyDescent="0.25">
      <c r="B4" s="16" t="s">
        <v>8</v>
      </c>
      <c r="C4" s="1">
        <f>IF((C$3&gt;0),(1000*('Data Entry'!B7/'Data Entry'!B$6)), 0)</f>
        <v>6.2150403977625857</v>
      </c>
      <c r="D4" s="1">
        <f>IF((D$3&gt;0),(1000*('Data Entry'!C7/'Data Entry'!C$6)), 0)</f>
        <v>6.0975609756097562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13.673088875077687</v>
      </c>
      <c r="D5" s="1">
        <f>IF((D$3&gt;0),(1000*('Data Entry'!C8/'Data Entry'!C$6)), 0)</f>
        <v>13.550135501355014</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15.037593984962406</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2.4860161591050338</v>
      </c>
      <c r="D7" s="1">
        <f>IF((D$3&gt;0),(1000*('Data Entry'!C10/'Data Entry'!C$6)), 0)</f>
        <v>2.7100271002710028</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11.187072715972654</v>
      </c>
      <c r="D8" s="1">
        <f>IF((D$3&gt;0),(1000*('Data Entry'!C11/'Data Entry'!C$6)), 0)</f>
        <v>11.517615176151761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7.518796992481203</v>
      </c>
    </row>
    <row r="9" spans="2:11" ht="15" customHeight="1" x14ac:dyDescent="0.25">
      <c r="B9" s="16" t="s">
        <v>13</v>
      </c>
      <c r="C9" s="1">
        <f>IF((C$3&gt;0),(1000*('Data Entry'!B12/'Data Entry'!B$6)), 0)</f>
        <v>9.3225605966438785</v>
      </c>
      <c r="D9" s="1">
        <f>IF((D$3&gt;0),(1000*('Data Entry'!C12/'Data Entry'!C$6)), 0)</f>
        <v>10.16260162601626</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8.0795525170913614</v>
      </c>
      <c r="D11" s="1">
        <f>IF((D$3&gt;0),(1000*('Data Entry'!C14/'Data Entry'!C$6)), 0)</f>
        <v>8.8075880758807585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Ogemaw</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1.1097744360902255</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0.65280849181777978</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Ogemaw</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1476</v>
      </c>
      <c r="D7" s="105">
        <f>'Data Entry'!D6</f>
        <v>30</v>
      </c>
      <c r="E7" s="106"/>
      <c r="F7" s="107">
        <f>'Data Entry'!E6</f>
        <v>79</v>
      </c>
      <c r="G7" s="106"/>
      <c r="H7" s="107">
        <f>'Data Entry'!F6</f>
        <v>11</v>
      </c>
      <c r="I7" s="106"/>
      <c r="J7" s="107">
        <f>'Data Entry'!G6</f>
        <v>0</v>
      </c>
      <c r="K7" s="106"/>
      <c r="L7" s="107">
        <f>'Data Entry'!H6</f>
        <v>13</v>
      </c>
      <c r="M7" s="106"/>
      <c r="N7" s="107">
        <f>'Data Entry'!I6</f>
        <v>0</v>
      </c>
      <c r="O7" s="106"/>
      <c r="P7" s="107">
        <f>'Data Entry'!J6</f>
        <v>133</v>
      </c>
      <c r="Q7" s="108"/>
    </row>
    <row r="8" spans="2:26" s="1" customFormat="1" ht="15" customHeight="1" x14ac:dyDescent="0.3">
      <c r="B8" s="149" t="s">
        <v>8</v>
      </c>
      <c r="C8" s="104">
        <f>'Data Entry'!C7</f>
        <v>9</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20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2</v>
      </c>
      <c r="O9" s="110" t="str">
        <f>'Other - Mixed'!G8</f>
        <v>*</v>
      </c>
      <c r="P9" s="111">
        <f>'Data Entry'!J8</f>
        <v>2</v>
      </c>
      <c r="Q9" s="112" t="str">
        <f>'All Minorities'!G8</f>
        <v>**</v>
      </c>
      <c r="R9"/>
      <c r="T9" s="1">
        <f>'Black or African-American'!L8</f>
        <v>40</v>
      </c>
      <c r="U9" s="1">
        <f>Hispanic!L8</f>
        <v>40</v>
      </c>
      <c r="V9" s="1">
        <f>Asian!L8</f>
        <v>139</v>
      </c>
      <c r="W9" s="1">
        <f>Hawaiian!L8</f>
        <v>139</v>
      </c>
      <c r="X9" s="1">
        <f>'Am Indian'!L8</f>
        <v>139</v>
      </c>
      <c r="Y9" s="1">
        <f>'Other - Mixed'!L8</f>
        <v>119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17</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1</v>
      </c>
      <c r="Q12" s="116"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15</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f>'Other - Mixed'!L12</f>
        <v>119</v>
      </c>
      <c r="Z13" s="1">
        <f>'All Minorities'!L12</f>
        <v>20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13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Ogemaw</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Ogemaw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11.097744360902256</v>
      </c>
    </row>
    <row r="8" spans="1:12" ht="25.5" customHeight="1" x14ac:dyDescent="0.2">
      <c r="A8" s="158" t="str">
        <f>CONCATENATE("Confinement, total N=", 'Data Entry'!B14)</f>
        <v>Confinement, total N=13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N=13</v>
      </c>
      <c r="L8">
        <f>I14/(SUM(B14:G14))</f>
        <v>11.097744360902256</v>
      </c>
    </row>
    <row r="9" spans="1:12" x14ac:dyDescent="0.2">
      <c r="A9" s="132" t="str">
        <f>CONCATENATE("Delinquent Findings, total N=", 'Data Entry'!B12)</f>
        <v>Delinquent Findings, total N=15</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N=15</v>
      </c>
      <c r="L9">
        <f>I14/(SUM(B14:G14))</f>
        <v>11.097744360902256</v>
      </c>
    </row>
    <row r="10" spans="1:12" x14ac:dyDescent="0.2">
      <c r="A10" s="132" t="str">
        <f>CONCATENATE("Petitions, total N=", 'Data Entry'!B11)</f>
        <v>Petitions, total N=18</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5.5555555555555552E-2</v>
      </c>
      <c r="H10" s="157">
        <f>SUM(D10:G10)/'Data Entry'!B11</f>
        <v>3.0864197530864196E-3</v>
      </c>
      <c r="I10" s="157">
        <f>'Data Entry'!C11/'Data Entry'!B11</f>
        <v>0.94444444444444442</v>
      </c>
      <c r="K10" s="97" t="str">
        <f t="shared" si="0"/>
        <v>Petitions, total N=18</v>
      </c>
      <c r="L10">
        <f>I14/(SUM(B14:G14))</f>
        <v>11.097744360902256</v>
      </c>
    </row>
    <row r="11" spans="1:12" x14ac:dyDescent="0.2">
      <c r="A11" s="132" t="str">
        <f>CONCATENATE("Detentions, total N=", 'Data Entry'!B10)</f>
        <v>Detentions, total N=4</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N=4</v>
      </c>
      <c r="L11">
        <f>I14/(SUM(B14:G14))</f>
        <v>11.097744360902256</v>
      </c>
    </row>
    <row r="12" spans="1:12" x14ac:dyDescent="0.2">
      <c r="A12" s="132" t="str">
        <f>CONCATENATE("Referrals, total N=", 'Data Entry'!B8)</f>
        <v>Referrals, total N=22</v>
      </c>
      <c r="B12" s="157">
        <f>'Data Entry'!D8/'Data Entry'!B8</f>
        <v>0</v>
      </c>
      <c r="C12" s="157">
        <f>'Data Entry'!E8/'Data Entry'!B8</f>
        <v>0</v>
      </c>
      <c r="D12" s="157">
        <f>'Data Entry'!F8/'Data Entry'!B8</f>
        <v>0</v>
      </c>
      <c r="E12" s="157">
        <f>'Data Entry'!G8/'Data Entry'!B8</f>
        <v>0</v>
      </c>
      <c r="F12" s="157">
        <f>'Data Entry'!H8/'Data Entry'!B8</f>
        <v>0</v>
      </c>
      <c r="G12" s="157">
        <f>'Data Entry'!I8/'Data Entry'!B8</f>
        <v>9.0909090909090912E-2</v>
      </c>
      <c r="H12" s="157">
        <f>SUM(D12:G12)/'Data Entry'!B8</f>
        <v>4.1322314049586778E-3</v>
      </c>
      <c r="I12" s="157">
        <f>'Data Entry'!C8/'Data Entry'!B8</f>
        <v>0.90909090909090906</v>
      </c>
      <c r="K12" s="97" t="str">
        <f t="shared" si="0"/>
        <v>Referrals, total N=22</v>
      </c>
      <c r="L12">
        <f>I14/(SUM(B14:G14))</f>
        <v>11.097744360902256</v>
      </c>
    </row>
    <row r="13" spans="1:12" x14ac:dyDescent="0.2">
      <c r="A13" s="132" t="str">
        <f>CONCATENATE("Arrests, total N=", 'Data Entry'!B7)</f>
        <v>Arrests, total N=10</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0.9</v>
      </c>
      <c r="K13" s="97" t="str">
        <f t="shared" si="0"/>
        <v>Arrests, total N=10</v>
      </c>
      <c r="L13">
        <f>I14/(SUM(B14:G14))</f>
        <v>11.097744360902256</v>
      </c>
    </row>
    <row r="14" spans="1:12" x14ac:dyDescent="0.2">
      <c r="A14" s="132" t="str">
        <f>CONCATENATE("Population, total N=", 'Data Entry'!B6)</f>
        <v>Population, total N=1609</v>
      </c>
      <c r="B14" s="157">
        <f>'Data Entry'!D6/'Data Entry'!B6</f>
        <v>1.8645121193287758E-2</v>
      </c>
      <c r="C14" s="157">
        <f>'Data Entry'!E6/'Data Entry'!B6</f>
        <v>4.9098819142324425E-2</v>
      </c>
      <c r="D14" s="157">
        <f>'Data Entry'!F6/'Data Entry'!B6</f>
        <v>6.8365444375388437E-3</v>
      </c>
      <c r="E14" s="157">
        <f>'Data Entry'!G6/'Data Entry'!B6</f>
        <v>0</v>
      </c>
      <c r="F14" s="157">
        <f>'Data Entry'!H6/'Data Entry'!B6</f>
        <v>8.0795525170913613E-3</v>
      </c>
      <c r="G14" s="157">
        <f>'Data Entry'!I6/'Data Entry'!B6</f>
        <v>0</v>
      </c>
      <c r="H14" s="157">
        <f>SUM(D14:G14)/'Data Entry'!B6</f>
        <v>9.2704145149970197E-6</v>
      </c>
      <c r="I14" s="157">
        <f>'Data Entry'!C6/'Data Entry'!B6</f>
        <v>0.91733996270975759</v>
      </c>
      <c r="K14" s="97" t="str">
        <f t="shared" si="0"/>
        <v>Population, total N=1609</v>
      </c>
      <c r="L14">
        <f>I14/(SUM(B14:G14))</f>
        <v>11.097744360902256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Ogemaw</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1476</v>
      </c>
      <c r="D7" s="105">
        <f>'Data Entry'!D6</f>
        <v>30</v>
      </c>
      <c r="E7" s="106"/>
      <c r="F7" s="107">
        <f>'Data Entry'!E6</f>
        <v>79</v>
      </c>
      <c r="G7" s="106"/>
      <c r="H7" s="107">
        <f>'Data Entry'!F6</f>
        <v>11</v>
      </c>
      <c r="I7" s="106"/>
      <c r="J7" s="107">
        <f>'Data Entry'!J6</f>
        <v>133</v>
      </c>
      <c r="K7" s="108"/>
    </row>
    <row r="8" spans="2:30" s="1" customFormat="1" ht="15" customHeight="1" x14ac:dyDescent="0.3">
      <c r="B8" s="125" t="s">
        <v>8</v>
      </c>
      <c r="C8" s="104">
        <f>'Data Entry'!C7</f>
        <v>9</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20</v>
      </c>
      <c r="D9" s="109">
        <f>'Data Entry'!D8</f>
        <v>0</v>
      </c>
      <c r="E9" s="110" t="str">
        <f>'Black or African-American'!$G8</f>
        <v>**</v>
      </c>
      <c r="F9" s="111">
        <f>'Data Entry'!E8</f>
        <v>0</v>
      </c>
      <c r="G9" s="110" t="str">
        <f>Hispanic!G8</f>
        <v>**</v>
      </c>
      <c r="H9" s="111">
        <f>'Data Entry'!F8</f>
        <v>0</v>
      </c>
      <c r="I9" s="110" t="str">
        <f>Asian!G8</f>
        <v>*</v>
      </c>
      <c r="J9" s="111">
        <f>'Data Entry'!J8</f>
        <v>2</v>
      </c>
      <c r="K9" s="112" t="str">
        <f>'All Minorities'!G8</f>
        <v>**</v>
      </c>
      <c r="L9"/>
      <c r="N9" s="1">
        <f>'Black or African-American'!L8</f>
        <v>40</v>
      </c>
      <c r="O9" s="1">
        <f>Hispanic!L8</f>
        <v>40</v>
      </c>
      <c r="P9" s="1">
        <f>Asian!L8</f>
        <v>139</v>
      </c>
      <c r="Q9" s="1">
        <f>Hawaiian!L8</f>
        <v>139</v>
      </c>
      <c r="R9" s="1">
        <f>'Am Indian'!L8</f>
        <v>139</v>
      </c>
      <c r="S9" s="1">
        <f>'Other - Mixed'!L8</f>
        <v>119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17</v>
      </c>
      <c r="D12" s="113">
        <f>'Data Entry'!D11</f>
        <v>0</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15</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f>'Other - Mixed'!L12</f>
        <v>119</v>
      </c>
      <c r="T13" s="1">
        <f>'All Minorities'!L12</f>
        <v>20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13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v>
      </c>
      <c r="P7" s="42">
        <f t="shared" ref="P7:P15" si="2">C7</f>
        <v>9</v>
      </c>
      <c r="Q7" s="42">
        <f>C6-C7</f>
        <v>1467</v>
      </c>
      <c r="R7" s="42">
        <f t="shared" ref="R7:R15" si="3">SUM(N7:Q7)</f>
        <v>1506</v>
      </c>
      <c r="S7" s="30">
        <f t="shared" ref="S7:S15" si="4">R7*((((N7*Q7)-(O7*P7))^2))</f>
        <v>109787400</v>
      </c>
      <c r="T7" s="30">
        <f t="shared" ref="T7:T15" si="5">(N7+O7)*(P7+Q7)*(N7+P7)*(O7+Q7)</f>
        <v>596584440</v>
      </c>
      <c r="U7" s="31">
        <f t="shared" ref="U7:U15" si="6">IF((S7&gt;0),S7/T7,"- -")</f>
        <v>0.18402658976489564</v>
      </c>
    </row>
    <row r="8" spans="2:21" ht="18" customHeight="1" x14ac:dyDescent="0.25">
      <c r="B8" s="32" t="str">
        <f>'Data Entry'!A8</f>
        <v>3. Refer to Juvenile Court</v>
      </c>
      <c r="C8" s="33">
        <f>'Data Entry'!C8</f>
        <v>20</v>
      </c>
      <c r="D8" s="34">
        <f>IF((AND(C67&gt;0,C8&gt;0)),(C8/C67),0)</f>
        <v>222.22222222222223</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20</v>
      </c>
      <c r="Q8" s="42">
        <f>(C$67*L67)-C8</f>
        <v>-11</v>
      </c>
      <c r="R8" s="42">
        <f t="shared" si="3"/>
        <v>9.0500000000000007</v>
      </c>
      <c r="S8" s="30">
        <f t="shared" si="4"/>
        <v>9.0500000000000007</v>
      </c>
      <c r="T8" s="30">
        <f t="shared" si="5"/>
        <v>-98.55</v>
      </c>
      <c r="U8" s="31">
        <f t="shared" si="6"/>
        <v>-9.1831557584982251E-2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20</v>
      </c>
      <c r="R9" s="42">
        <f t="shared" si="3"/>
        <v>20</v>
      </c>
      <c r="S9" s="30">
        <f t="shared" si="4"/>
        <v>0</v>
      </c>
      <c r="T9" s="30">
        <f t="shared" si="5"/>
        <v>0</v>
      </c>
      <c r="U9" s="31" t="str">
        <f t="shared" si="6"/>
        <v>- -</v>
      </c>
    </row>
    <row r="10" spans="2:21" ht="18" customHeight="1" x14ac:dyDescent="0.25">
      <c r="B10" s="32" t="str">
        <f>'Data Entry'!A10</f>
        <v>5. Cases Involving Secure Detention</v>
      </c>
      <c r="C10" s="33">
        <f>'Data Entry'!C10</f>
        <v>4</v>
      </c>
      <c r="D10" s="34">
        <f>IF(((AND(C68&gt;0,C10&gt;0))),(C10/(C68)),0)</f>
        <v>20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4</v>
      </c>
      <c r="Q10" s="42">
        <f>(C$68*L68)-C10</f>
        <v>16</v>
      </c>
      <c r="R10" s="42">
        <f t="shared" si="3"/>
        <v>20</v>
      </c>
      <c r="S10" s="30">
        <f t="shared" si="4"/>
        <v>0</v>
      </c>
      <c r="T10" s="30">
        <f t="shared" si="5"/>
        <v>0</v>
      </c>
      <c r="U10" s="31" t="str">
        <f t="shared" si="6"/>
        <v>- -</v>
      </c>
    </row>
    <row r="11" spans="2:21" ht="18" customHeight="1" x14ac:dyDescent="0.25">
      <c r="B11" s="32" t="str">
        <f>'Data Entry'!A11</f>
        <v>6. Cases Petitioned (Charge Filed)</v>
      </c>
      <c r="C11" s="33">
        <f>'Data Entry'!C11</f>
        <v>17</v>
      </c>
      <c r="D11" s="34">
        <f>IF(((AND(C68&gt;0,C11&gt;0))),(C11/(C68)),0)</f>
        <v>85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17</v>
      </c>
      <c r="Q11" s="42">
        <f>(C$68*L68)-C11</f>
        <v>3</v>
      </c>
      <c r="R11" s="42">
        <f t="shared" si="3"/>
        <v>20</v>
      </c>
      <c r="S11" s="30">
        <f t="shared" si="4"/>
        <v>0</v>
      </c>
      <c r="T11" s="30">
        <f t="shared" si="5"/>
        <v>0</v>
      </c>
      <c r="U11" s="31" t="str">
        <f t="shared" si="6"/>
        <v>- -</v>
      </c>
    </row>
    <row r="12" spans="2:21" ht="18" customHeight="1" x14ac:dyDescent="0.25">
      <c r="B12" s="32" t="str">
        <f>'Data Entry'!A12</f>
        <v>7. Cases Resulting in Delinquent Findings</v>
      </c>
      <c r="C12" s="33">
        <f>'Data Entry'!C12</f>
        <v>15</v>
      </c>
      <c r="D12" s="34">
        <f>IF(((AND(C69&gt;0,C12&gt;0))),(C12/(C69)),0)</f>
        <v>88.235294117647058</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15</v>
      </c>
      <c r="Q12" s="42">
        <f>(C69*L69)-C12</f>
        <v>2</v>
      </c>
      <c r="R12" s="42">
        <f t="shared" si="3"/>
        <v>17</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15</v>
      </c>
      <c r="R13" s="42">
        <f t="shared" si="3"/>
        <v>15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13</v>
      </c>
      <c r="Q14" s="42">
        <f>(C70*L70)-C14</f>
        <v>2</v>
      </c>
      <c r="R14" s="42">
        <f t="shared" si="3"/>
        <v>15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17</v>
      </c>
      <c r="R15" s="42">
        <f t="shared" si="3"/>
        <v>17</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0.03</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v>
      </c>
      <c r="E44" s="56">
        <f>MAX(C44:D44,0)</f>
        <v>0.2</v>
      </c>
      <c r="G44" s="1" t="str">
        <f>B44</f>
        <v>per 100 referrals</v>
      </c>
      <c r="L44" s="57">
        <v>100</v>
      </c>
      <c r="M44" s="57"/>
      <c r="R44" s="49"/>
    </row>
    <row r="45" spans="2:18" ht="15" hidden="1" customHeight="1" x14ac:dyDescent="0.25">
      <c r="B45" s="49" t="s">
        <v>89</v>
      </c>
      <c r="C45" s="49">
        <f>C11/100</f>
        <v>0.17</v>
      </c>
      <c r="D45" s="49">
        <f>E11/100</f>
        <v>0</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0.03</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0.03</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0.03</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0.03</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Entry'!F6</f>
        <v>11</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9</v>
      </c>
      <c r="Q7" s="42">
        <f>C6-C7</f>
        <v>1467</v>
      </c>
      <c r="R7" s="42">
        <f t="shared" ref="R7:R15" si="5">SUM(N7:Q7)</f>
        <v>1487</v>
      </c>
      <c r="S7" s="30">
        <f t="shared" ref="S7:S15" si="6">R7*((((N7*Q7)-(O7*P7))^2))</f>
        <v>14574087</v>
      </c>
      <c r="T7" s="30">
        <f t="shared" ref="T7:T15" si="7">(N7+O7)*(P7+Q7)*(N7+P7)*(O7+Q7)</f>
        <v>215971272</v>
      </c>
      <c r="U7" s="31">
        <f t="shared" ref="U7:U15" si="8">IF((S7&gt;0),S7/T7,"- -")</f>
        <v>6.7481600052807025E-2</v>
      </c>
    </row>
    <row r="8" spans="2:21" ht="18" customHeight="1" x14ac:dyDescent="0.25">
      <c r="B8" s="32" t="str">
        <f>'Data Entry'!A8</f>
        <v>3. Refer to Juvenile Court</v>
      </c>
      <c r="C8" s="33">
        <f>'Data Entry'!C8</f>
        <v>20</v>
      </c>
      <c r="D8" s="34">
        <f>IF((AND(C67&gt;0,C8&gt;0)),(C8/C67),0)</f>
        <v>222.22222222222223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20</v>
      </c>
      <c r="Q8" s="42">
        <f>(C$67*L67)-C8</f>
        <v>-11</v>
      </c>
      <c r="R8" s="42">
        <f t="shared" si="5"/>
        <v>9.0500000000000007</v>
      </c>
      <c r="S8" s="30">
        <f t="shared" si="6"/>
        <v>9.0500000000000007</v>
      </c>
      <c r="T8" s="30">
        <f t="shared" si="7"/>
        <v>-98.55</v>
      </c>
      <c r="U8" s="31">
        <f t="shared" si="8"/>
        <v>-9.1831557584982251E-2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v>
      </c>
      <c r="R9" s="42">
        <f t="shared" si="5"/>
        <v>20</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16</v>
      </c>
      <c r="R10" s="42">
        <f t="shared" si="5"/>
        <v>20</v>
      </c>
      <c r="S10" s="30">
        <f t="shared" si="6"/>
        <v>0</v>
      </c>
      <c r="T10" s="30">
        <f t="shared" si="7"/>
        <v>0</v>
      </c>
      <c r="U10" s="31" t="str">
        <f t="shared" si="8"/>
        <v>- -</v>
      </c>
    </row>
    <row r="11" spans="2:21" ht="18" customHeight="1" x14ac:dyDescent="0.25">
      <c r="B11" s="32" t="str">
        <f>'Data Entry'!A11</f>
        <v>6. Cases Petitioned (Charge Filed)</v>
      </c>
      <c r="C11" s="33">
        <f>'Data Entry'!C11</f>
        <v>17</v>
      </c>
      <c r="D11" s="34">
        <f>IF(((AND(C68&gt;0,C11&gt;0))),(C11/(C68)),0)</f>
        <v>85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3</v>
      </c>
      <c r="R11" s="42">
        <f t="shared" si="5"/>
        <v>20</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88.235294117647058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v>
      </c>
      <c r="R12" s="42">
        <f t="shared" si="5"/>
        <v>17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1.0999999999999999E-2</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v>
      </c>
      <c r="E44" s="56">
        <f>MAX(C44:D44,0)</f>
        <v>0.2</v>
      </c>
      <c r="G44" s="1" t="str">
        <f>B44</f>
        <v>per 100 referrals</v>
      </c>
      <c r="L44" s="57">
        <v>100</v>
      </c>
      <c r="M44" s="57"/>
      <c r="R44" s="49"/>
    </row>
    <row r="45" spans="2:18" ht="15" hidden="1" customHeight="1" x14ac:dyDescent="0.25">
      <c r="B45" s="49" t="s">
        <v>89</v>
      </c>
      <c r="C45" s="49">
        <f>C11/100</f>
        <v>0.17</v>
      </c>
      <c r="D45" s="49">
        <f>E11/100</f>
        <v>0</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1.0999999999999999E-2</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1.0999999999999999E-2</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1.0999999999999999E-2</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1.0999999999999999E-2</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Entry'!E6</f>
        <v>79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79</v>
      </c>
      <c r="P7" s="42">
        <f t="shared" ref="P7:P15" si="4">C7</f>
        <v>9</v>
      </c>
      <c r="Q7" s="42">
        <f>C6-C7</f>
        <v>1467</v>
      </c>
      <c r="R7" s="42">
        <f t="shared" ref="R7:R15" si="5">SUM(N7:Q7)</f>
        <v>1555</v>
      </c>
      <c r="S7" s="30">
        <f t="shared" ref="S7:S15" si="6">R7*((((N7*Q7)-(O7*P7))^2))</f>
        <v>786085155</v>
      </c>
      <c r="T7" s="30">
        <f t="shared" ref="T7:T15" si="7">(N7+O7)*(P7+Q7)*(N7+P7)*(O7+Q7)</f>
        <v>1622428056</v>
      </c>
      <c r="U7" s="31">
        <f t="shared" ref="U7:U15" si="8">IF((S7&gt;0),S7/T7,"- -")</f>
        <v>0.48451156406777524</v>
      </c>
    </row>
    <row r="8" spans="2:21" ht="18" customHeight="1" x14ac:dyDescent="0.25">
      <c r="B8" s="32" t="str">
        <f>'Data Entry'!A8</f>
        <v>3. Refer to Juvenile Court</v>
      </c>
      <c r="C8" s="33">
        <f>'Data Entry'!C8</f>
        <v>20</v>
      </c>
      <c r="D8" s="34">
        <f>IF((AND(C67&gt;0,C8&gt;0)),(C8/C67),0)</f>
        <v>222.22222222222223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20</v>
      </c>
      <c r="Q8" s="42">
        <f>(C$67*L67)-C8</f>
        <v>-11</v>
      </c>
      <c r="R8" s="42">
        <f t="shared" si="5"/>
        <v>9.0500000000000007</v>
      </c>
      <c r="S8" s="30">
        <f t="shared" si="6"/>
        <v>9.0500000000000007</v>
      </c>
      <c r="T8" s="30">
        <f t="shared" si="7"/>
        <v>-98.55</v>
      </c>
      <c r="U8" s="31">
        <f t="shared" si="8"/>
        <v>-9.1831557584982251E-2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v>
      </c>
      <c r="R9" s="42">
        <f t="shared" si="5"/>
        <v>20</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16</v>
      </c>
      <c r="R10" s="42">
        <f t="shared" si="5"/>
        <v>20</v>
      </c>
      <c r="S10" s="30">
        <f t="shared" si="6"/>
        <v>0</v>
      </c>
      <c r="T10" s="30">
        <f t="shared" si="7"/>
        <v>0</v>
      </c>
      <c r="U10" s="31" t="str">
        <f t="shared" si="8"/>
        <v>- -</v>
      </c>
    </row>
    <row r="11" spans="2:21" ht="18" customHeight="1" x14ac:dyDescent="0.25">
      <c r="B11" s="32" t="str">
        <f>'Data Entry'!A11</f>
        <v>6. Cases Petitioned (Charge Filed)</v>
      </c>
      <c r="C11" s="33">
        <f>'Data Entry'!C11</f>
        <v>17</v>
      </c>
      <c r="D11" s="34">
        <f>IF(((AND(C68&gt;0,C11&gt;0))),(C11/(C68)),0)</f>
        <v>85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3</v>
      </c>
      <c r="R11" s="42">
        <f t="shared" si="5"/>
        <v>20</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88.235294117647058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v>
      </c>
      <c r="R12" s="42">
        <f t="shared" si="5"/>
        <v>17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7.9000000000000001E-2</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v>
      </c>
      <c r="E44" s="56">
        <f>MAX(C44:D44,0)</f>
        <v>0.2</v>
      </c>
      <c r="G44" s="1" t="str">
        <f>B44</f>
        <v>per 100 referrals</v>
      </c>
      <c r="L44" s="57">
        <v>100</v>
      </c>
      <c r="M44" s="57"/>
      <c r="R44" s="49"/>
    </row>
    <row r="45" spans="2:18" ht="15" hidden="1" customHeight="1" x14ac:dyDescent="0.25">
      <c r="B45" s="49" t="s">
        <v>89</v>
      </c>
      <c r="C45" s="49">
        <f>C11/100</f>
        <v>0.17</v>
      </c>
      <c r="D45" s="49">
        <f>E11/100</f>
        <v>0</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7.9000000000000001E-2</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7.9000000000000001E-2</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7.9000000000000001E-2</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7.9000000000000001E-2</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1467</v>
      </c>
      <c r="R7" s="42">
        <f t="shared" ref="R7:R15" si="5">SUM(N7:Q7)</f>
        <v>1476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20</v>
      </c>
      <c r="D8" s="34">
        <f>IF((AND(C67&gt;0,C8&gt;0)),(C8/C67),0)</f>
        <v>222.22222222222223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20</v>
      </c>
      <c r="Q8" s="42">
        <f>(C$67*L67)-C8</f>
        <v>-11</v>
      </c>
      <c r="R8" s="42">
        <f t="shared" si="5"/>
        <v>9.0500000000000007</v>
      </c>
      <c r="S8" s="30">
        <f t="shared" si="6"/>
        <v>9.0500000000000007</v>
      </c>
      <c r="T8" s="30">
        <f t="shared" si="7"/>
        <v>-98.55</v>
      </c>
      <c r="U8" s="31">
        <f t="shared" si="8"/>
        <v>-9.1831557584982251E-2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v>
      </c>
      <c r="R9" s="42">
        <f t="shared" si="5"/>
        <v>20</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16</v>
      </c>
      <c r="R10" s="42">
        <f t="shared" si="5"/>
        <v>20</v>
      </c>
      <c r="S10" s="30">
        <f t="shared" si="6"/>
        <v>0</v>
      </c>
      <c r="T10" s="30">
        <f t="shared" si="7"/>
        <v>0</v>
      </c>
      <c r="U10" s="31" t="str">
        <f t="shared" si="8"/>
        <v>- -</v>
      </c>
    </row>
    <row r="11" spans="2:21" ht="18" customHeight="1" x14ac:dyDescent="0.25">
      <c r="B11" s="32" t="str">
        <f>'Data Entry'!A11</f>
        <v>6. Cases Petitioned (Charge Filed)</v>
      </c>
      <c r="C11" s="33">
        <f>'Data Entry'!C11</f>
        <v>17</v>
      </c>
      <c r="D11" s="34">
        <f>IF(((AND(C68&gt;0,C11&gt;0))),(C11/(C68)),0)</f>
        <v>85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3</v>
      </c>
      <c r="R11" s="42">
        <f t="shared" si="5"/>
        <v>20</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88.235294117647058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v>
      </c>
      <c r="R12" s="42">
        <f t="shared" si="5"/>
        <v>17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0</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v>
      </c>
      <c r="E44" s="56">
        <f>MAX(C44:D44,0)</f>
        <v>0.2</v>
      </c>
      <c r="G44" s="1" t="str">
        <f>B44</f>
        <v>per 100 referrals</v>
      </c>
      <c r="L44" s="57">
        <v>100</v>
      </c>
      <c r="M44" s="57"/>
      <c r="R44" s="49"/>
    </row>
    <row r="45" spans="2:18" ht="15" hidden="1" customHeight="1" x14ac:dyDescent="0.25">
      <c r="B45" s="49" t="s">
        <v>89</v>
      </c>
      <c r="C45" s="49">
        <f>C11/100</f>
        <v>0.17</v>
      </c>
      <c r="D45" s="49">
        <f>E11/100</f>
        <v>0</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0</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0</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0</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0</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Ogemaw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1476</v>
      </c>
      <c r="D6" s="34"/>
      <c r="E6" s="33">
        <f>'Data Entry'!H6</f>
        <v>13</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6.0975609756097562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13</v>
      </c>
      <c r="P7" s="42">
        <f t="shared" ref="P7:P15" si="4">C7</f>
        <v>9</v>
      </c>
      <c r="Q7" s="42">
        <f>C6-C7</f>
        <v>1467</v>
      </c>
      <c r="R7" s="42">
        <f t="shared" ref="R7:R15" si="5">SUM(N7:Q7)</f>
        <v>1489</v>
      </c>
      <c r="S7" s="30">
        <f t="shared" ref="S7:S15" si="6">R7*((((N7*Q7)-(O7*P7))^2))</f>
        <v>20382921</v>
      </c>
      <c r="T7" s="30">
        <f t="shared" ref="T7:T15" si="7">(N7+O7)*(P7+Q7)*(N7+P7)*(O7+Q7)</f>
        <v>255584160</v>
      </c>
      <c r="U7" s="31">
        <f t="shared" ref="U7:U15" si="8">IF((S7&gt;0),S7/T7,"- -")</f>
        <v>7.9750329597890579E-2</v>
      </c>
    </row>
    <row r="8" spans="2:21" ht="18" customHeight="1" x14ac:dyDescent="0.25">
      <c r="B8" s="32" t="str">
        <f>'Data Entry'!A8</f>
        <v>3. Refer to Juvenile Court</v>
      </c>
      <c r="C8" s="33">
        <f>'Data Entry'!C8</f>
        <v>20</v>
      </c>
      <c r="D8" s="34">
        <f>IF((AND(C67&gt;0,C8&gt;0)),(C8/C67),0)</f>
        <v>222.22222222222223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20</v>
      </c>
      <c r="Q8" s="42">
        <f>(C$67*L67)-C8</f>
        <v>-11</v>
      </c>
      <c r="R8" s="42">
        <f t="shared" si="5"/>
        <v>9.0500000000000007</v>
      </c>
      <c r="S8" s="30">
        <f t="shared" si="6"/>
        <v>9.0500000000000007</v>
      </c>
      <c r="T8" s="30">
        <f t="shared" si="7"/>
        <v>-98.55</v>
      </c>
      <c r="U8" s="31">
        <f t="shared" si="8"/>
        <v>-9.1831557584982251E-2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v>
      </c>
      <c r="R9" s="42">
        <f t="shared" si="5"/>
        <v>20</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16</v>
      </c>
      <c r="R10" s="42">
        <f t="shared" si="5"/>
        <v>20</v>
      </c>
      <c r="S10" s="30">
        <f t="shared" si="6"/>
        <v>0</v>
      </c>
      <c r="T10" s="30">
        <f t="shared" si="7"/>
        <v>0</v>
      </c>
      <c r="U10" s="31" t="str">
        <f t="shared" si="8"/>
        <v>- -</v>
      </c>
    </row>
    <row r="11" spans="2:21" ht="18" customHeight="1" x14ac:dyDescent="0.25">
      <c r="B11" s="32" t="str">
        <f>'Data Entry'!A11</f>
        <v>6. Cases Petitioned (Charge Filed)</v>
      </c>
      <c r="C11" s="33">
        <f>'Data Entry'!C11</f>
        <v>17</v>
      </c>
      <c r="D11" s="34">
        <f>IF(((AND(C68&gt;0,C11&gt;0))),(C11/(C68)),0)</f>
        <v>85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3</v>
      </c>
      <c r="R11" s="42">
        <f t="shared" si="5"/>
        <v>20</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88.235294117647058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v>
      </c>
      <c r="R12" s="42">
        <f t="shared" si="5"/>
        <v>17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86.666666666666671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2</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1.476</v>
      </c>
      <c r="D42" s="56">
        <f>E6/1000</f>
        <v>1.2999999999999999E-2</v>
      </c>
      <c r="E42" s="56">
        <f>MAX(C42:D42)</f>
        <v>1.476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0.2</v>
      </c>
      <c r="D44" s="56">
        <f>E8/100</f>
        <v>0</v>
      </c>
      <c r="E44" s="56">
        <f>MAX(C44:D44,0)</f>
        <v>0.2</v>
      </c>
      <c r="G44" s="1" t="str">
        <f>B44</f>
        <v>per 100 referrals</v>
      </c>
      <c r="L44" s="57">
        <v>100</v>
      </c>
      <c r="M44" s="57"/>
      <c r="R44" s="49"/>
    </row>
    <row r="45" spans="2:18" ht="15" hidden="1" customHeight="1" x14ac:dyDescent="0.25">
      <c r="B45" s="49" t="s">
        <v>89</v>
      </c>
      <c r="C45" s="49">
        <f>C11/100</f>
        <v>0.17</v>
      </c>
      <c r="D45" s="49">
        <f>E11/100</f>
        <v>0</v>
      </c>
      <c r="E45" s="56">
        <f>MAX(C45:D45,0)</f>
        <v>0.17</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1.476</v>
      </c>
      <c r="D48" s="56">
        <f>D42</f>
        <v>1.2999999999999999E-2</v>
      </c>
      <c r="E48" s="56">
        <f>MAX(C48:D48)</f>
        <v>1.476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v>
      </c>
      <c r="D50" s="49">
        <f t="shared" si="9"/>
        <v>0</v>
      </c>
      <c r="E50" s="49">
        <f>MAX(C50:D50)</f>
        <v>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1.476</v>
      </c>
      <c r="D54" s="56">
        <f>D48</f>
        <v>1.2999999999999999E-2</v>
      </c>
      <c r="E54" s="56">
        <f>MAX(C54:D54)</f>
        <v>1.476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0.2</v>
      </c>
      <c r="D56" s="49">
        <f t="shared" si="10"/>
        <v>0</v>
      </c>
      <c r="E56" s="49">
        <f>MAX(C56:D56)</f>
        <v>0.2</v>
      </c>
      <c r="G56" s="1" t="str">
        <f>G50</f>
        <v>per 100 referrals</v>
      </c>
      <c r="L56" s="58">
        <f>IF(($E50&gt;0),L50,L49)</f>
        <v>100</v>
      </c>
      <c r="M56" s="58"/>
    </row>
    <row r="57" spans="2:18" ht="15" hidden="1" customHeight="1" x14ac:dyDescent="0.25">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1.476</v>
      </c>
      <c r="D60" s="56">
        <f>D54</f>
        <v>1.2999999999999999E-2</v>
      </c>
      <c r="E60" s="56">
        <f>MAX(C60:D60)</f>
        <v>1.476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0.2</v>
      </c>
      <c r="D62" s="49">
        <f t="shared" si="11"/>
        <v>0</v>
      </c>
      <c r="E62" s="49">
        <f>MAX(C62:D62)</f>
        <v>0.2</v>
      </c>
      <c r="G62" s="1" t="str">
        <f>G56</f>
        <v>per 100 referrals</v>
      </c>
      <c r="L62" s="58">
        <f>IF(($E56&gt;0),L56,L55)</f>
        <v>100</v>
      </c>
      <c r="M62" s="58"/>
    </row>
    <row r="63" spans="2:18" ht="15" hidden="1" customHeight="1" x14ac:dyDescent="0.25">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1.476</v>
      </c>
      <c r="D66" s="56">
        <f>D60</f>
        <v>1.2999999999999999E-2</v>
      </c>
      <c r="E66" s="56">
        <f>MAX(C66:D66)</f>
        <v>1.476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0.2</v>
      </c>
      <c r="D68" s="49">
        <f t="shared" si="12"/>
        <v>0</v>
      </c>
      <c r="E68" s="49">
        <f>MAX(C68:D68)</f>
        <v>0.2</v>
      </c>
      <c r="G68" s="1" t="str">
        <f>G62</f>
        <v>per 100 referrals</v>
      </c>
      <c r="L68" s="58">
        <f>IF(($E62&gt;0),L62,L61)</f>
        <v>100</v>
      </c>
      <c r="M68" s="58">
        <f>IF((B68=G68),1,2)</f>
        <v>1</v>
      </c>
    </row>
    <row r="69" spans="2:13" ht="15" hidden="1" customHeight="1" x14ac:dyDescent="0.25">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U47JMPN4QEAR-1806752177-30209</_dlc_DocId>
    <_dlc_DocIdUrl xmlns="ac3811b5-0f3e-49e2-ba69-f2ffa0c782af">
      <Url>https://michiganphi.sharepoint.com/sites/CMDMC/_layouts/15/DocIdRedir.aspx?ID=U47JMPN4QEAR-1806752177-30209</Url>
      <Description>U47JMPN4QEAR-1806752177-30209</Description>
    </_dlc_DocIdUrl>
  </documentManagement>
</p:properties>
</file>

<file path=customXml/itemProps1.xml><?xml version="1.0" encoding="utf-8"?>
<ds:datastoreItem xmlns:ds="http://schemas.openxmlformats.org/officeDocument/2006/customXml" ds:itemID="{6CB09431-9C41-458B-97D0-9211428B1DDB}"/>
</file>

<file path=customXml/itemProps2.xml><?xml version="1.0" encoding="utf-8"?>
<ds:datastoreItem xmlns:ds="http://schemas.openxmlformats.org/officeDocument/2006/customXml" ds:itemID="{5C50E8F5-2D60-4D90-8A5E-7C289E4B0A6F}"/>
</file>

<file path=customXml/itemProps3.xml><?xml version="1.0" encoding="utf-8"?>
<ds:datastoreItem xmlns:ds="http://schemas.openxmlformats.org/officeDocument/2006/customXml" ds:itemID="{9A2FF5E0-9577-4A65-A05B-C35896D33644}"/>
</file>

<file path=customXml/itemProps4.xml><?xml version="1.0" encoding="utf-8"?>
<ds:datastoreItem xmlns:ds="http://schemas.openxmlformats.org/officeDocument/2006/customXml" ds:itemID="{3901FD28-8F55-443B-9D2E-DFF205FAF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4c48d810-1796-46eb-bbfc-4aa879e8dd97</vt:lpwstr>
  </property>
</Properties>
</file>