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92583648-008E-4BDA-87A9-06E6C7C7C47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8"/>
  <c r="M66" i="8"/>
  <c r="F27" i="2"/>
  <c r="M66" i="2"/>
  <c r="M66" i="7"/>
  <c r="F27" i="7"/>
  <c r="M66" i="6"/>
  <c r="F27"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D49" i="6"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B49" i="7"/>
  <c r="E19" i="10"/>
  <c r="F25" i="10"/>
  <c r="C45" i="3"/>
  <c r="E45" i="3" s="1"/>
  <c r="P11" i="3"/>
  <c r="C45" i="2"/>
  <c r="P11" i="2"/>
  <c r="G8" i="5"/>
  <c r="G14" i="5"/>
  <c r="G11" i="5"/>
  <c r="G7" i="5"/>
  <c r="G12" i="5"/>
  <c r="G10" i="5"/>
  <c r="G13" i="5"/>
  <c r="G9" i="5"/>
  <c r="G15" i="5"/>
  <c r="O25" i="2"/>
  <c r="C49" i="3"/>
  <c r="D49" i="3"/>
  <c r="L49" i="3"/>
  <c r="B49" i="3"/>
  <c r="E46" i="2"/>
  <c r="D52" i="4"/>
  <c r="L52" i="4"/>
  <c r="B52" i="4"/>
  <c r="C49" i="6"/>
  <c r="D23" i="10"/>
  <c r="C48" i="7"/>
  <c r="E42" i="7"/>
  <c r="C54" i="8"/>
  <c r="E48" i="8"/>
  <c r="H26" i="10"/>
  <c r="D26" i="10"/>
  <c r="I26" i="10"/>
  <c r="C26" i="10"/>
  <c r="E20" i="10"/>
  <c r="C20" i="10"/>
  <c r="G20" i="10"/>
  <c r="H20" i="10"/>
  <c r="D20" i="10"/>
  <c r="G23" i="10"/>
  <c r="G19" i="10"/>
  <c r="E44" i="7"/>
  <c r="H23" i="10"/>
  <c r="E22" i="10"/>
  <c r="E25" i="10"/>
  <c r="F20" i="10"/>
  <c r="L49" i="7" l="1"/>
  <c r="L49" i="6"/>
  <c r="B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E55" i="5" s="1"/>
  <c r="D61" i="5" s="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D64" i="5" l="1"/>
  <c r="L64" i="3"/>
  <c r="L56" i="8"/>
  <c r="B64" i="5"/>
  <c r="L64" i="5"/>
  <c r="C57" i="8"/>
  <c r="C64" i="8" s="1"/>
  <c r="B57" i="8"/>
  <c r="B64" i="8" s="1"/>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E57" i="8"/>
  <c r="B63" i="8" s="1"/>
  <c r="Q8" i="13"/>
  <c r="I7" i="9"/>
  <c r="B63" i="3"/>
  <c r="E64" i="6"/>
  <c r="B70" i="6" s="1"/>
  <c r="M70" i="6" s="1"/>
  <c r="Z8" i="13"/>
  <c r="R7" i="9"/>
  <c r="D63" i="3"/>
  <c r="E63" i="3" s="1"/>
  <c r="C69" i="3" s="1"/>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C63" i="8"/>
  <c r="L63" i="8"/>
  <c r="L70" i="8" s="1"/>
  <c r="D63" i="8"/>
  <c r="L69" i="7"/>
  <c r="Q15" i="7" s="1"/>
  <c r="D70" i="6"/>
  <c r="F13"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E69" i="7" l="1"/>
  <c r="D13" i="3"/>
  <c r="O13" i="6"/>
  <c r="E63" i="8"/>
  <c r="D69" i="8" s="1"/>
  <c r="F15" i="8" s="1"/>
  <c r="B69" i="6"/>
  <c r="M69" i="6" s="1"/>
  <c r="Q12" i="7"/>
  <c r="Q13" i="8"/>
  <c r="O15" i="7"/>
  <c r="R15" i="7" s="1"/>
  <c r="S15" i="7" s="1"/>
  <c r="U15" i="7" s="1"/>
  <c r="J15" i="7" s="1"/>
  <c r="Q14" i="6"/>
  <c r="Q13" i="3"/>
  <c r="Q13" i="6"/>
  <c r="O12" i="7"/>
  <c r="F12" i="7"/>
  <c r="F14" i="6"/>
  <c r="E70" i="6"/>
  <c r="D14" i="6"/>
  <c r="E70" i="3"/>
  <c r="F14" i="3"/>
  <c r="O14" i="6"/>
  <c r="O13" i="3"/>
  <c r="C69" i="6"/>
  <c r="D12" i="6" s="1"/>
  <c r="Q14" i="3"/>
  <c r="O14" i="3"/>
  <c r="D69" i="6"/>
  <c r="F12" i="6" s="1"/>
  <c r="T10" i="3"/>
  <c r="K10" i="4"/>
  <c r="F8" i="7"/>
  <c r="T9" i="4"/>
  <c r="F35" i="6"/>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C69" i="8" l="1"/>
  <c r="L69" i="8"/>
  <c r="O15" i="8" s="1"/>
  <c r="B69" i="8"/>
  <c r="M69" i="8" s="1"/>
  <c r="Q15" i="6"/>
  <c r="F12" i="8"/>
  <c r="Q12" i="6"/>
  <c r="F32" i="6"/>
  <c r="R13" i="6"/>
  <c r="S13" i="6" s="1"/>
  <c r="U13" i="4"/>
  <c r="J13" i="4" s="1"/>
  <c r="L13" i="4" s="1"/>
  <c r="O14" i="16" s="1"/>
  <c r="T13" i="6"/>
  <c r="R14" i="3"/>
  <c r="S14" i="3" s="1"/>
  <c r="U14" i="3" s="1"/>
  <c r="J14" i="3" s="1"/>
  <c r="M14" i="3" s="1"/>
  <c r="G14" i="3" s="1"/>
  <c r="I15" i="16" s="1"/>
  <c r="T13" i="3"/>
  <c r="R13" i="8"/>
  <c r="S13" i="8" s="1"/>
  <c r="T12" i="7"/>
  <c r="O12" i="6"/>
  <c r="K15" i="7"/>
  <c r="L15" i="7" s="1"/>
  <c r="S16" i="16" s="1"/>
  <c r="T15" i="7"/>
  <c r="K12" i="7"/>
  <c r="T14" i="6"/>
  <c r="R14" i="6"/>
  <c r="S14" i="6" s="1"/>
  <c r="U10" i="4"/>
  <c r="J10" i="4" s="1"/>
  <c r="M10" i="4" s="1"/>
  <c r="G10" i="4" s="1"/>
  <c r="G11" i="16" s="1"/>
  <c r="U14" i="4"/>
  <c r="J14" i="4" s="1"/>
  <c r="M14" i="4" s="1"/>
  <c r="G14" i="4" s="1"/>
  <c r="G15" i="16" s="1"/>
  <c r="K14" i="6"/>
  <c r="K13" i="6"/>
  <c r="K13" i="3"/>
  <c r="R12" i="7"/>
  <c r="S12" i="7" s="1"/>
  <c r="U12" i="7" s="1"/>
  <c r="J12" i="7" s="1"/>
  <c r="M12" i="7" s="1"/>
  <c r="U9" i="4"/>
  <c r="J9" i="4" s="1"/>
  <c r="M9" i="4" s="1"/>
  <c r="G9" i="4" s="1"/>
  <c r="G10" i="16" s="1"/>
  <c r="R13" i="3"/>
  <c r="S13" i="3" s="1"/>
  <c r="U13" i="3" s="1"/>
  <c r="J13" i="3" s="1"/>
  <c r="T13" i="8"/>
  <c r="D15" i="6"/>
  <c r="R14" i="8"/>
  <c r="S14" i="8" s="1"/>
  <c r="E69" i="6"/>
  <c r="K14" i="3"/>
  <c r="O15" i="6"/>
  <c r="T15" i="6" s="1"/>
  <c r="T14" i="3"/>
  <c r="F15"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N30" i="3" l="1"/>
  <c r="M13" i="4"/>
  <c r="G13" i="4" s="1"/>
  <c r="G14" i="16" s="1"/>
  <c r="K12" i="6"/>
  <c r="U13" i="6"/>
  <c r="J13" i="6" s="1"/>
  <c r="M13" i="6" s="1"/>
  <c r="G13" i="6" s="1"/>
  <c r="G13" i="9" s="1"/>
  <c r="U14" i="6"/>
  <c r="J14" i="6" s="1"/>
  <c r="M14" i="6" s="1"/>
  <c r="G14" i="6" s="1"/>
  <c r="M15" i="13" s="1"/>
  <c r="E14" i="9"/>
  <c r="I15" i="13"/>
  <c r="U13" i="7"/>
  <c r="J13" i="7" s="1"/>
  <c r="M13" i="7" s="1"/>
  <c r="L14" i="3"/>
  <c r="P15" i="16" s="1"/>
  <c r="U13" i="8"/>
  <c r="J13" i="8" s="1"/>
  <c r="M13" i="8" s="1"/>
  <c r="G13" i="8" s="1"/>
  <c r="Q14" i="13" s="1"/>
  <c r="T12" i="6"/>
  <c r="L12" i="7"/>
  <c r="S13" i="16" s="1"/>
  <c r="R12" i="6"/>
  <c r="S12" i="6" s="1"/>
  <c r="L14" i="4"/>
  <c r="O15" i="16" s="1"/>
  <c r="L10" i="4"/>
  <c r="O11" i="16" s="1"/>
  <c r="D10" i="9"/>
  <c r="G11" i="13"/>
  <c r="G10" i="13"/>
  <c r="D9" i="9"/>
  <c r="L9" i="4"/>
  <c r="O10" i="16" s="1"/>
  <c r="L13" i="3"/>
  <c r="P14" i="16" s="1"/>
  <c r="N30" i="4"/>
  <c r="M13" i="3"/>
  <c r="G13" i="3" s="1"/>
  <c r="I14" i="16" s="1"/>
  <c r="K15" i="6"/>
  <c r="U14" i="8"/>
  <c r="J14" i="8" s="1"/>
  <c r="N30" i="8" s="1"/>
  <c r="R15" i="6"/>
  <c r="S15" i="6" s="1"/>
  <c r="U15" i="6" s="1"/>
  <c r="J15" i="6" s="1"/>
  <c r="M15" i="6" s="1"/>
  <c r="G15" i="6" s="1"/>
  <c r="M13" i="9"/>
  <c r="U14" i="13"/>
  <c r="U12" i="13"/>
  <c r="M11" i="9"/>
  <c r="R12" i="8"/>
  <c r="S12" i="8" s="1"/>
  <c r="T13" i="2"/>
  <c r="U8" i="6"/>
  <c r="J8" i="6" s="1"/>
  <c r="M8" i="6" s="1"/>
  <c r="G8" i="6" s="1"/>
  <c r="M9" i="13" s="1"/>
  <c r="R13" i="2"/>
  <c r="S13" i="2" s="1"/>
  <c r="T15" i="8"/>
  <c r="V11" i="13"/>
  <c r="T12" i="8"/>
  <c r="K12" i="8"/>
  <c r="R10" i="7"/>
  <c r="S10" i="7" s="1"/>
  <c r="T11" i="7"/>
  <c r="T10" i="7"/>
  <c r="L8" i="2"/>
  <c r="N9" i="16" s="1"/>
  <c r="K13" i="2"/>
  <c r="R15" i="5"/>
  <c r="S15" i="5" s="1"/>
  <c r="U15" i="5" s="1"/>
  <c r="J15" i="5" s="1"/>
  <c r="M15" i="5" s="1"/>
  <c r="K11" i="7"/>
  <c r="K15" i="8"/>
  <c r="T9" i="7"/>
  <c r="U9" i="7" s="1"/>
  <c r="J9" i="7" s="1"/>
  <c r="M9" i="7" s="1"/>
  <c r="N10" i="9"/>
  <c r="R11" i="7"/>
  <c r="S11" i="7" s="1"/>
  <c r="K12" i="5"/>
  <c r="L12" i="5" s="1"/>
  <c r="Q13" i="16" s="1"/>
  <c r="T12" i="5"/>
  <c r="K10" i="7"/>
  <c r="R14" i="2"/>
  <c r="S14" i="2" s="1"/>
  <c r="K9" i="7"/>
  <c r="T14" i="2"/>
  <c r="V12" i="13"/>
  <c r="N11" i="9"/>
  <c r="T15" i="5"/>
  <c r="W14" i="13"/>
  <c r="L15" i="3"/>
  <c r="P16" i="16" s="1"/>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30" i="6" l="1"/>
  <c r="D13" i="9"/>
  <c r="G14" i="9"/>
  <c r="G14" i="13"/>
  <c r="L14" i="6"/>
  <c r="R15" i="16" s="1"/>
  <c r="L13" i="7"/>
  <c r="S14" i="16" s="1"/>
  <c r="M14" i="13"/>
  <c r="V15" i="13"/>
  <c r="N14" i="9"/>
  <c r="L13" i="6"/>
  <c r="U15" i="13"/>
  <c r="M14" i="9"/>
  <c r="U12" i="6"/>
  <c r="J12" i="6" s="1"/>
  <c r="M12" i="6" s="1"/>
  <c r="G12" i="6" s="1"/>
  <c r="G12" i="9" s="1"/>
  <c r="U11" i="7"/>
  <c r="J11" i="7" s="1"/>
  <c r="L11" i="7" s="1"/>
  <c r="S12" i="16" s="1"/>
  <c r="U11" i="13"/>
  <c r="L13" i="8"/>
  <c r="T14" i="16" s="1"/>
  <c r="U10" i="7"/>
  <c r="J10" i="7" s="1"/>
  <c r="M10" i="7" s="1"/>
  <c r="Y13" i="13"/>
  <c r="Q12" i="9"/>
  <c r="M10" i="9"/>
  <c r="U14" i="2"/>
  <c r="J14" i="2" s="1"/>
  <c r="M14" i="2" s="1"/>
  <c r="G14" i="2" s="1"/>
  <c r="E15" i="16" s="1"/>
  <c r="L15" i="6"/>
  <c r="R16" i="16" s="1"/>
  <c r="M9" i="9"/>
  <c r="U10" i="13"/>
  <c r="V14" i="13"/>
  <c r="N13" i="9"/>
  <c r="K14" i="16"/>
  <c r="I13" i="9"/>
  <c r="U13" i="2"/>
  <c r="J13" i="2" s="1"/>
  <c r="M13" i="2" s="1"/>
  <c r="G13" i="2" s="1"/>
  <c r="E14" i="16" s="1"/>
  <c r="I14" i="13"/>
  <c r="U12" i="8"/>
  <c r="J12" i="8" s="1"/>
  <c r="M12" i="8" s="1"/>
  <c r="G12" i="8" s="1"/>
  <c r="K13" i="16" s="1"/>
  <c r="E13" i="9"/>
  <c r="M14" i="8"/>
  <c r="G14" i="8" s="1"/>
  <c r="K15" i="16" s="1"/>
  <c r="L14" i="8"/>
  <c r="T15" i="16" s="1"/>
  <c r="L8" i="6"/>
  <c r="R9" i="16" s="1"/>
  <c r="L15" i="5"/>
  <c r="Q16" i="16" s="1"/>
  <c r="T9" i="13"/>
  <c r="L8"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4" i="9" l="1"/>
  <c r="X15" i="13"/>
  <c r="Q13" i="9"/>
  <c r="Y14" i="13"/>
  <c r="M11" i="7"/>
  <c r="R14" i="16"/>
  <c r="P13" i="9"/>
  <c r="X14" i="13"/>
  <c r="M13" i="13"/>
  <c r="L12" i="6"/>
  <c r="R13" i="16" s="1"/>
  <c r="Z14" i="13"/>
  <c r="R13" i="9"/>
  <c r="L14" i="2"/>
  <c r="N15" i="16" s="1"/>
  <c r="L10" i="7"/>
  <c r="S11" i="16" s="1"/>
  <c r="N30" i="2"/>
  <c r="X16" i="13"/>
  <c r="P15" i="9"/>
  <c r="E15" i="13"/>
  <c r="C14" i="9"/>
  <c r="L12" i="8"/>
  <c r="T13" i="16" s="1"/>
  <c r="E14" i="13"/>
  <c r="L13" i="2"/>
  <c r="N14" i="16" s="1"/>
  <c r="C13" i="9"/>
  <c r="I14" i="9"/>
  <c r="R14" i="9"/>
  <c r="Q15" i="13"/>
  <c r="Z15" i="13"/>
  <c r="P8" i="9"/>
  <c r="X9" i="13"/>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P12" i="9" l="1"/>
  <c r="Q10" i="9"/>
  <c r="X13" i="13"/>
  <c r="L14" i="9"/>
  <c r="T15" i="13"/>
  <c r="R12" i="9"/>
  <c r="Z13"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<sst xmlns="http://schemas.openxmlformats.org/spreadsheetml/2006/main" count="654" uniqueCount="141">
  <si>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</si>
  <si>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</si>
  <si>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</si>
  <si>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</si>
  <si>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</si>
  <si>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</si>
  <si>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</si>
  <si>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</si>
  <si>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</si>
  <si>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</si>
  <si>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</si>
  <si>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</si>
  <si>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</si>
  <si>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</si>
  <si>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</si>
  <si>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</si>
  <si>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</si>
  <si>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</si>
  <si>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</si>
  <si>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</si>
  <si>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</si>
  <si>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</si>
  <si>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</si>
  <si>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</si>
  <si>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</si>
  <si>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</si>
  <si>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</si>
  <si>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</si>
  <si>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</si>
  <si>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</si>
  <si>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</si>
  <si>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</si>
  <si>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</si>
  <si>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</si>
  <si>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</si>
  <si>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</si>
  <si>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</si>
  <si>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</si>
  <si>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</si>
  <si>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</si>
  <si>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</si>
  <si>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</si>
  <si>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</si>
  <si>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</si>
  <si>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</si>
  <si>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</si>
  <si>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</si>
  <si>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</si>
  <si>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</si>
  <si>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</si>
  <si>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</si>
  <si>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</si>
  <si>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</si>
  <si>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</si>
  <si>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</si>
  <si>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</si>
  <si>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</si>
  <si>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</si>
  <si>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</si>
  <si>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</si>
  <si>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</si>
  <si>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</si>
  <si>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</si>
  <si>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</si>
  <si>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</si>
  <si>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</si>
  <si>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</si>
  <si>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</si>
  <si>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</si>
  <si>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</si>
  <si>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</si>
  <si>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</si>
  <si>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</si>
  <si>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</si>
  <si>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</si>
  <si>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</si>
  <si>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</si>
  <si>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</si>
  <si>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</si>
  <si>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</si>
  <si>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</si>
  <si>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</si>
  <si>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</si>
  <si>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</si>
  <si>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</si>
  <si>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</si>
  <si>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</si>
  <si>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</si>
  <si>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</si>
  <si>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</si>
  <si>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</si>
  <si>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</si>
  <si>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</si>
  <si>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</si>
  <si>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</si>
  <si>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</si>
  <si>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</si>
  <si>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</si>
  <si>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</si>
  <si>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</si>
  <si>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</si>
  <si>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</si>
  <si>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</si>
  <si>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</si>
  <si>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</si>
  <si>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</si>
  <si>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</si>
  <si>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</si>
  <si>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</si>
  <si>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</si>
  <si>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</si>
  <si>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</si>
  <si>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</si>
  <si>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</si>
  <si>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</si>
  <si>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</si>
  <si>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</si>
  <si>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</si>
  <si>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</si>
  <si>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</si>
  <si>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</si>
  <si>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</si>
  <si>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</si>
  <si>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</si>
  <si>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</si>
  <si>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</si>
  <si>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</si>
  <si>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</si>
  <si>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</si>
  <si>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</si>
  <si>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</si>
  <si>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</si>
  <si>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</si>
  <si>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</si>
  <si>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</si>
  <si>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</si>
  <si>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</si>
  <si>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Oceana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</si>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</sst>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Oceana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N=28</c:v>
                </c:pt>
                <c:pt idx="3">
                  <c:v>Petitions, total N=33</c:v>
                </c:pt>
                <c:pt idx="4">
                  <c:v>Detentions, total N=2</c:v>
                </c:pt>
                <c:pt idx="5">
                  <c:v>Referrals, total N=60</c:v>
                </c:pt>
                <c:pt idx="6">
                  <c:v>Arrests, total N=26</c:v>
                </c:pt>
                <c:pt idx="7">
                  <c:v>Population, total N=2519</c:v>
                </c:pt>
              </c:strCache>
            </c:strRef>
          </c:cat>
          <c:val>
            <c:numRef>
              <c:f>'Stacked 100%'!$B$7:$B$14</c:f>
              <c:numCache>
                <c:formatCode>0%</c:formatCode>
                <c:ptCount val="8"/>
                <c:pt idx="0">
                  <c:v>0</c:v>
                </c:pt>
                <c:pt idx="1">
                  <c:v>0.75</c:v>
                </c:pt>
                <c:pt idx="2">
                  <c:v>7.1428571428571425E-2</c:v>
                </c:pt>
                <c:pt idx="3">
                  <c:v>9.0909090909090912E-2</c:v>
                </c:pt>
                <c:pt idx="4">
                  <c:v>1</c:v>
                </c:pt>
                <c:pt idx="5">
                  <c:v>6.6666666666666666E-2</c:v>
                </c:pt>
                <c:pt idx="6">
                  <c:v>7.6923076923076927E-2</c:v>
                </c:pt>
                <c:pt idx="7">
                  <c:v>1.8658197697499008E-2</c:v>
                </c:pt>
              </c:numCache>
            </c:numRef>
          </c:val>
          <c:extLst>
            <c:ext xmlns:c16="http://schemas.microsoft.com/office/drawing/2014/chart" uri="{C3380CC4-5D6E-409C-BE32-E72D297353CC}">
              <c16:uniqueId val="{00000000-15AC-491F-B157-9BE61DE039B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N=28</c:v>
                </c:pt>
                <c:pt idx="3">
                  <c:v>Petitions, total N=33</c:v>
                </c:pt>
                <c:pt idx="4">
                  <c:v>Detentions, total N=2</c:v>
                </c:pt>
                <c:pt idx="5">
                  <c:v>Referrals, total N=60</c:v>
                </c:pt>
                <c:pt idx="6">
                  <c:v>Arrests, total N=26</c:v>
                </c:pt>
                <c:pt idx="7">
                  <c:v>Population, total N=2519</c:v>
                </c:pt>
              </c:strCache>
            </c:strRef>
          </c:cat>
          <c:val>
            <c:numRef>
              <c:f>'Stacked 100%'!$C$7:$C$14</c:f>
              <c:numCache>
                <c:formatCode>0%</c:formatCode>
                <c:ptCount val="8"/>
                <c:pt idx="0">
                  <c:v>0</c:v>
                </c:pt>
                <c:pt idx="1">
                  <c:v>0</c:v>
                </c:pt>
                <c:pt idx="2">
                  <c:v>0.17857142857142858</c:v>
                </c:pt>
                <c:pt idx="3">
                  <c:v>0.18181818181818182</c:v>
                </c:pt>
                <c:pt idx="4">
                  <c:v>0</c:v>
                </c:pt>
                <c:pt idx="5">
                  <c:v>0.16666666666666666</c:v>
                </c:pt>
                <c:pt idx="6">
                  <c:v>7.6923076923076927E-2</c:v>
                </c:pt>
                <c:pt idx="7">
                  <c:v>0.26280269948392221</c:v>
                </c:pt>
              </c:numCache>
            </c:numRef>
          </c:val>
          <c:extLst>
            <c:ext xmlns:c16="http://schemas.microsoft.com/office/drawing/2014/chart" uri="{C3380CC4-5D6E-409C-BE32-E72D297353CC}">
              <c16:uniqueId val="{00000001-15AC-491F-B157-9BE61DE039B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c:v>
                </c:pt>
                <c:pt idx="2">
                  <c:v>Delinquent Findings, total N=28</c:v>
                </c:pt>
                <c:pt idx="3">
                  <c:v>Petitions, total N=33</c:v>
                </c:pt>
                <c:pt idx="4">
                  <c:v>Detentions, total N=2</c:v>
                </c:pt>
                <c:pt idx="5">
                  <c:v>Referrals, total N=60</c:v>
                </c:pt>
                <c:pt idx="6">
                  <c:v>Arrests, total N=26</c:v>
                </c:pt>
                <c:pt idx="7">
                  <c:v>Population, total N=2519</c:v>
                </c:pt>
              </c:strCache>
            </c:strRef>
          </c:cat>
          <c:val>
            <c:numRef>
              <c:f>'Stacked 100%'!$H$7:$H$14</c:f>
              <c:numCache>
                <c:formatCode>0%</c:formatCode>
                <c:ptCount val="8"/>
                <c:pt idx="0">
                  <c:v>0</c:v>
                </c:pt>
                <c:pt idx="1">
                  <c:v>0</c:v>
                </c:pt>
                <c:pt idx="2">
                  <c:v>0</c:v>
                </c:pt>
                <c:pt idx="3">
                  <c:v>0</c:v>
                </c:pt>
                <c:pt idx="4">
                  <c:v>0</c:v>
                </c:pt>
                <c:pt idx="5">
                  <c:v>0</c:v>
                </c:pt>
                <c:pt idx="6">
                  <c:v>0</c:v>
                </c:pt>
                <c:pt idx="7">
                  <c:v>4.4126725020057951E-6</c:v>
                </c:pt>
              </c:numCache>
            </c:numRef>
          </c:val>
          <c:extLst>
            <c:ext xmlns:c16="http://schemas.microsoft.com/office/drawing/2014/chart" uri="{C3380CC4-5D6E-409C-BE32-E72D297353CC}">
              <c16:uniqueId val="{00000002-15AC-491F-B157-9BE61DE039B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N=28</c:v>
                </c:pt>
                <c:pt idx="3">
                  <c:v>Petitions, total N=33</c:v>
                </c:pt>
                <c:pt idx="4">
                  <c:v>Detentions, total N=2</c:v>
                </c:pt>
                <c:pt idx="5">
                  <c:v>Referrals, total N=60</c:v>
                </c:pt>
                <c:pt idx="6">
                  <c:v>Arrests, total N=26</c:v>
                </c:pt>
                <c:pt idx="7">
                  <c:v>Population, total N=2519</c:v>
                </c:pt>
              </c:strCache>
            </c:strRef>
          </c:cat>
          <c:val>
            <c:numRef>
              <c:f>'Stacked 100%'!$I$7:$I$14</c:f>
              <c:numCache>
                <c:formatCode>0%</c:formatCode>
                <c:ptCount val="8"/>
                <c:pt idx="0">
                  <c:v>0</c:v>
                </c:pt>
                <c:pt idx="1">
                  <c:v>0.25</c:v>
                </c:pt>
                <c:pt idx="2">
                  <c:v>0.75</c:v>
                </c:pt>
                <c:pt idx="3">
                  <c:v>0.72727272727272729</c:v>
                </c:pt>
                <c:pt idx="4">
                  <c:v>0</c:v>
                </c:pt>
                <c:pt idx="5">
                  <c:v>0.76666666666666672</c:v>
                </c:pt>
                <c:pt idx="6">
                  <c:v>0.73076923076923073</c:v>
                </c:pt>
                <c:pt idx="7">
                  <c:v>0.70742358078602618</c:v>
                </c:pt>
              </c:numCache>
            </c:numRef>
          </c:val>
          <c:extLst>
            <c:ext xmlns:c16="http://schemas.microsoft.com/office/drawing/2014/chart" uri="{C3380CC4-5D6E-409C-BE32-E72D297353CC}">
              <c16:uniqueId val="{00000003-15AC-491F-B157-9BE61DE039B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c:v>
                </c:pt>
                <c:pt idx="2">
                  <c:v>Delinquent Findings, total N=28</c:v>
                </c:pt>
                <c:pt idx="3">
                  <c:v>Petitions, total N=33</c:v>
                </c:pt>
                <c:pt idx="4">
                  <c:v>Detentions, total N=2</c:v>
                </c:pt>
                <c:pt idx="5">
                  <c:v>Referrals, total N=60</c:v>
                </c:pt>
                <c:pt idx="6">
                  <c:v>Arrests, total N=26</c:v>
                </c:pt>
                <c:pt idx="7">
                  <c:v>Population, total N=2519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5AC-491F-B157-9BE61DE039B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2519</v>
      </c>
      <c r="C6" s="11">
        <v>1782</v>
      </c>
      <c r="D6" s="11">
        <v>47</v>
      </c>
      <c r="E6" s="11">
        <v>662</v>
      </c>
      <c r="F6" s="11">
        <v>4</v>
      </c>
      <c r="G6" s="11"/>
      <c r="H6" s="11">
        <v>24</v>
      </c>
      <c r="I6" s="11"/>
      <c r="J6" s="91">
        <f>SUM(D6:I6)</f>
        <v>737</v>
      </c>
      <c r="K6" s="92"/>
    </row>
    <row r="7" spans="1:11" ht="15.75" customHeight="1" thickBot="1" x14ac:dyDescent="0.25">
      <c r="A7" s="10" t="s">
        <v>8</v>
      </c>
      <c r="B7" s="11">
        <f t="shared" ref="B7:B15" si="0">SUM(C7:I7)+K7</f>
        <v>26</v>
      </c>
      <c r="C7" s="11">
        <v>19</v>
      </c>
      <c r="D7" s="11">
        <v>2</v>
      </c>
      <c r="E7" s="11">
        <v>2</v>
      </c>
      <c r="F7" s="11"/>
      <c r="G7" s="11"/>
      <c r="H7" s="11"/>
      <c r="I7" s="11"/>
      <c r="J7" s="91">
        <f t="shared" ref="J7:J15" si="1">SUM(D7:I7)</f>
        <v>4</v>
      </c>
      <c r="K7" s="92">
        <v>3</v>
      </c>
    </row>
    <row r="8" spans="1:11" ht="15.75" customHeight="1" thickBot="1" x14ac:dyDescent="0.25">
      <c r="A8" s="10" t="s">
        <v>9</v>
      </c>
      <c r="B8" s="11">
        <f t="shared" si="0"/>
        <v>60</v>
      </c>
      <c r="C8" s="11">
        <v>46</v>
      </c>
      <c r="D8" s="11">
        <v>4</v>
      </c>
      <c r="E8" s="11">
        <v>10</v>
      </c>
      <c r="F8" s="11"/>
      <c r="G8" s="11"/>
      <c r="H8" s="11"/>
      <c r="I8" s="11"/>
      <c r="J8" s="91">
        <f t="shared" si="1"/>
        <v>14</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2</v>
      </c>
      <c r="C10" s="11"/>
      <c r="D10" s="11">
        <v>2</v>
      </c>
      <c r="E10" s="11"/>
      <c r="F10" s="11"/>
      <c r="G10" s="11"/>
      <c r="H10" s="11"/>
      <c r="I10" s="11"/>
      <c r="J10" s="91">
        <f t="shared" si="1"/>
        <v>2</v>
      </c>
      <c r="K10" s="92"/>
    </row>
    <row r="11" spans="1:11" ht="15.75" customHeight="1" thickBot="1" x14ac:dyDescent="0.25">
      <c r="A11" s="10" t="s">
        <v>12</v>
      </c>
      <c r="B11" s="11">
        <f t="shared" si="0"/>
        <v>33</v>
      </c>
      <c r="C11" s="11">
        <v>24</v>
      </c>
      <c r="D11" s="11">
        <v>3</v>
      </c>
      <c r="E11" s="11">
        <v>6</v>
      </c>
      <c r="F11" s="11"/>
      <c r="G11" s="11"/>
      <c r="H11" s="11"/>
      <c r="I11" s="11"/>
      <c r="J11" s="91">
        <f t="shared" si="1"/>
        <v>9</v>
      </c>
      <c r="K11" s="92"/>
    </row>
    <row r="12" spans="1:11" ht="15.75" customHeight="1" thickBot="1" x14ac:dyDescent="0.25">
      <c r="A12" s="10" t="s">
        <v>13</v>
      </c>
      <c r="B12" s="11">
        <f t="shared" si="0"/>
        <v>28</v>
      </c>
      <c r="C12" s="11">
        <v>21</v>
      </c>
      <c r="D12" s="11">
        <v>2</v>
      </c>
      <c r="E12" s="11">
        <v>5</v>
      </c>
      <c r="F12" s="11"/>
      <c r="G12" s="11"/>
      <c r="H12" s="11"/>
      <c r="I12" s="11"/>
      <c r="J12" s="91">
        <f t="shared" si="1"/>
        <v>7</v>
      </c>
      <c r="K12" s="92"/>
    </row>
    <row r="13" spans="1:11" ht="15.75" customHeight="1" thickBot="1" x14ac:dyDescent="0.25">
      <c r="A13" s="10" t="s">
        <v>133</v>
      </c>
      <c r="B13" s="11">
        <f t="shared" si="0"/>
        <v>53</v>
      </c>
      <c r="C13" s="11">
        <v>39</v>
      </c>
      <c r="D13" s="11">
        <v>4</v>
      </c>
      <c r="E13" s="11">
        <v>10</v>
      </c>
      <c r="F13" s="11"/>
      <c r="G13" s="11"/>
      <c r="H13" s="11"/>
      <c r="I13" s="11"/>
      <c r="J13" s="91">
        <f t="shared" si="1"/>
        <v>14</v>
      </c>
      <c r="K13" s="92"/>
    </row>
    <row r="14" spans="1:11" ht="26.25" customHeight="1" thickBot="1" x14ac:dyDescent="0.25">
      <c r="A14" s="10" t="s">
        <v>123</v>
      </c>
      <c r="B14" s="11">
        <f t="shared" si="0"/>
        <v>4</v>
      </c>
      <c r="C14" s="11">
        <v>1</v>
      </c>
      <c r="D14" s="11">
        <v>3</v>
      </c>
      <c r="E14" s="11"/>
      <c r="F14" s="11"/>
      <c r="G14" s="11"/>
      <c r="H14" s="11"/>
      <c r="I14" s="11"/>
      <c r="J14" s="91">
        <f t="shared" si="1"/>
        <v>3</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Oceana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1763</v>
      </c>
      <c r="R7" s="42">
        <f t="shared" ref="R7:R15" si="5">SUM(N7:Q7)</f>
        <v>1782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46</v>
      </c>
      <c r="D8" s="34">
        <f>IF((AND(C67&gt;0,C8&gt;0)),(C8/C67),0)</f>
        <v>242.10526315789474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-27</v>
      </c>
      <c r="R8" s="42">
        <f t="shared" si="5"/>
        <v>19.049999999999997</v>
      </c>
      <c r="S8" s="30">
        <f t="shared" si="6"/>
        <v>100.7745</v>
      </c>
      <c r="T8" s="30">
        <f t="shared" si="7"/>
        <v>-1177.7150000000001</v>
      </c>
      <c r="U8" s="31">
        <f t="shared" si="8"/>
        <v>-8.55678156430036E-2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x14ac:dyDescent="0.25">
      <c r="B11" s="32" t="str">
        <f>'Data Entry'!A11</f>
        <v>6. Cases Petitioned (Charge Filed)</v>
      </c>
      <c r="C11" s="33">
        <f>'Data Entry'!C11</f>
        <v>24</v>
      </c>
      <c r="D11" s="34">
        <f>IF(((AND(C68&gt;0,C11&gt;0))),(C11/(C68)),0)</f>
        <v>52.173913043478258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22</v>
      </c>
      <c r="R11" s="42">
        <f t="shared" si="5"/>
        <v>46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87.5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x14ac:dyDescent="0.25">
      <c r="B13" s="32" t="str">
        <f>'Data Entry'!A13</f>
        <v>8. Cases Resulting in Probation Placement</v>
      </c>
      <c r="C13" s="33">
        <f>'Data Entry'!C13</f>
        <v>39</v>
      </c>
      <c r="D13" s="34">
        <f>IF(((AND(C70&gt;0,C13&gt;0))),(C13/(C70)),0)</f>
        <v>185.71428571428572</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39</v>
      </c>
      <c r="Q13" s="42">
        <f>(C70*L70)-C13</f>
        <v>-18</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20</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0</v>
      </c>
      <c r="E42" s="56">
        <f>MAX(C42:D42)</f>
        <v>1.782</v>
      </c>
      <c r="G42" s="1" t="str">
        <f>B42</f>
        <v>per 1000 youth</v>
      </c>
      <c r="L42" s="57">
        <v>1000</v>
      </c>
      <c r="M42" s="57"/>
      <c r="R42" s="49"/>
    </row>
    <row r="43" spans="2:18" ht="15" hidden="1" customHeight="1" x14ac:dyDescent="0.25">
      <c r="B43" s="49" t="s">
        <v>87</v>
      </c>
      <c r="C43" s="56">
        <f>C7/100</f>
        <v>0.19</v>
      </c>
      <c r="D43" s="56">
        <f>E7/100</f>
        <v>0</v>
      </c>
      <c r="E43" s="56">
        <f>MAX(C43:D43,0)</f>
        <v>0.19</v>
      </c>
      <c r="G43" s="1" t="str">
        <f>B43</f>
        <v>per 100 arrests</v>
      </c>
      <c r="L43" s="57">
        <v>100</v>
      </c>
      <c r="M43" s="57"/>
      <c r="R43" s="49"/>
    </row>
    <row r="44" spans="2:18" ht="15" hidden="1" customHeight="1" x14ac:dyDescent="0.25">
      <c r="B44" s="49" t="s">
        <v>88</v>
      </c>
      <c r="C44" s="56">
        <f>C8/100</f>
        <v>0.46</v>
      </c>
      <c r="D44" s="56">
        <f>E8/100</f>
        <v>0</v>
      </c>
      <c r="E44" s="56">
        <f>MAX(C44:D44,0)</f>
        <v>0.46</v>
      </c>
      <c r="G44" s="1" t="str">
        <f>B44</f>
        <v>per 100 referrals</v>
      </c>
      <c r="L44" s="57">
        <v>100</v>
      </c>
      <c r="M44" s="57"/>
      <c r="R44" s="49"/>
    </row>
    <row r="45" spans="2:18" ht="15" hidden="1" customHeight="1" x14ac:dyDescent="0.25">
      <c r="B45" s="49" t="s">
        <v>89</v>
      </c>
      <c r="C45" s="49">
        <f>C11/100</f>
        <v>0.24</v>
      </c>
      <c r="D45" s="49">
        <f>E11/100</f>
        <v>0</v>
      </c>
      <c r="E45" s="56">
        <f>MAX(C45:D45,0)</f>
        <v>0.24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0</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0</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0</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0</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Oceana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Entry'!J6</f>
        <v>737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Entry'!J7</f>
        <v>4</v>
      </c>
      <c r="F7" s="34">
        <f>IF((AND($E$7&gt;0,$D$66&gt;0)),($E$7/$D$66),0)</f>
        <v>5.4274084124830395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733</v>
      </c>
      <c r="P7" s="42">
        <f t="shared" ref="P7:P15" si="4">C7</f>
        <v>19</v>
      </c>
      <c r="Q7" s="42">
        <f>C6-C7</f>
        <v>1763</v>
      </c>
      <c r="R7" s="42">
        <f t="shared" ref="R7:R15" si="5">SUM(N7:Q7)</f>
        <v>2519</v>
      </c>
      <c r="S7" s="30">
        <f t="shared" ref="S7:S15" si="6">R7*((((N7*Q7)-(O7*P7))^2))</f>
        <v>119062109375</v>
      </c>
      <c r="T7" s="30">
        <f t="shared" ref="T7:T15" si="7">(N7+O7)*(P7+Q7)*(N7+P7)*(O7+Q7)</f>
        <v>75395878272</v>
      </c>
      <c r="U7" s="31">
        <f t="shared" ref="U7:U15" si="8">IF((S7&gt;0),S7/T7,"- -")</f>
        <v>1.5791593931099077</v>
      </c>
    </row>
    <row r="8" spans="2:21" ht="18" customHeight="1" x14ac:dyDescent="0.25">
      <c r="B8" s="32" t="str">
        <f>'Data Entry'!A8</f>
        <v>3. Refer to Juvenile Court</v>
      </c>
      <c r="C8" s="33">
        <f>'Data Entry'!C8</f>
        <v>46</v>
      </c>
      <c r="D8" s="34">
        <f>IF((AND(C67&gt;0,C8&gt;0)),(C8/C67),0)</f>
        <v>242.10526315789474</v>
      </c>
      <c r="E8" s="33">
        <f>'Data Entry'!J8</f>
        <v>14</v>
      </c>
      <c r="F8" s="34">
        <f>IF((AND($E$8&gt;0,$D$67&gt;0)),($E8/$D67),0)</f>
        <v>350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14</v>
      </c>
      <c r="O8" s="42">
        <f>((D67*L67)-E8)+0.05</f>
        <v>-9.9499999999999993</v>
      </c>
      <c r="P8" s="42">
        <f t="shared" si="4"/>
        <v>46</v>
      </c>
      <c r="Q8" s="42">
        <f>(C$67*L67)-C8</f>
        <v>-27</v>
      </c>
      <c r="R8" s="42">
        <f t="shared" si="5"/>
        <v>23.049999999999997</v>
      </c>
      <c r="S8" s="30">
        <f t="shared" si="6"/>
        <v>146415.67449999994</v>
      </c>
      <c r="T8" s="30">
        <f t="shared" si="7"/>
        <v>-170598.15000000005</v>
      </c>
      <c r="U8" s="31">
        <f t="shared" si="8"/>
        <v>-0.8582488995337868</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14.000000000000002</v>
      </c>
      <c r="P9" s="42">
        <f t="shared" si="4"/>
        <v>0</v>
      </c>
      <c r="Q9" s="42">
        <f>(C$68*L68)-C9</f>
        <v>46</v>
      </c>
      <c r="R9" s="42">
        <f t="shared" si="5"/>
        <v>60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2</v>
      </c>
      <c r="F10" s="34">
        <f>IF(((AND($E$10&gt;0,$D$68&gt;0))),($E$10/($D$68)),0)</f>
        <v>14.285714285714285</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12.000000000000002</v>
      </c>
      <c r="P10" s="42">
        <f t="shared" si="4"/>
        <v>0</v>
      </c>
      <c r="Q10" s="42">
        <f>(C$68*L68)-C10</f>
        <v>46</v>
      </c>
      <c r="R10" s="42">
        <f t="shared" si="5"/>
        <v>60</v>
      </c>
      <c r="S10" s="30">
        <f t="shared" si="6"/>
        <v>507840</v>
      </c>
      <c r="T10" s="30">
        <f t="shared" si="7"/>
        <v>74704.000000000015</v>
      </c>
      <c r="U10" s="31">
        <f t="shared" si="8"/>
        <v>6.7980295566502447</v>
      </c>
    </row>
    <row r="11" spans="2:21" ht="18" customHeight="1" x14ac:dyDescent="0.25">
      <c r="B11" s="32" t="str">
        <f>'Data Entry'!A11</f>
        <v>6. Cases Petitioned (Charge Filed)</v>
      </c>
      <c r="C11" s="33">
        <f>'Data Entry'!C11</f>
        <v>24</v>
      </c>
      <c r="D11" s="34">
        <f>IF(((AND(C68&gt;0,C11&gt;0))),(C11/(C68)),0)</f>
        <v>52.173913043478258</v>
      </c>
      <c r="E11" s="33">
        <f>'Data Entry'!J11</f>
        <v>9</v>
      </c>
      <c r="F11" s="34">
        <f>IF(((AND($E$11&gt;0,$D$68&gt;0))),($E$11/($D$68)),0)</f>
        <v>64.285714285714278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9</v>
      </c>
      <c r="O11" s="42">
        <f>(D$68*L68)-E11</f>
        <v>5.0000000000000018</v>
      </c>
      <c r="P11" s="42">
        <f t="shared" si="4"/>
        <v>24</v>
      </c>
      <c r="Q11" s="42">
        <f>(C$68*L68)-C11</f>
        <v>22</v>
      </c>
      <c r="R11" s="42">
        <f t="shared" si="5"/>
        <v>60</v>
      </c>
      <c r="S11" s="30">
        <f t="shared" si="6"/>
        <v>365039.99999999959</v>
      </c>
      <c r="T11" s="30">
        <f t="shared" si="7"/>
        <v>573804.00000000012</v>
      </c>
      <c r="U11" s="31">
        <f t="shared" si="8"/>
        <v>0.63617541878411354</v>
      </c>
    </row>
    <row r="12" spans="2:21" ht="18" customHeight="1" x14ac:dyDescent="0.25">
      <c r="B12" s="32" t="str">
        <f>'Data Entry'!A12</f>
        <v>7. Cases Resulting in Delinquent Findings</v>
      </c>
      <c r="C12" s="33">
        <f>'Data Entry'!C12</f>
        <v>21</v>
      </c>
      <c r="D12" s="34">
        <f>IF(((AND(C69&gt;0,C12&gt;0))),(C12/(C69)),0)</f>
        <v>87.5</v>
      </c>
      <c r="E12" s="33">
        <f>'Data Entry'!J12</f>
        <v>7</v>
      </c>
      <c r="F12" s="34">
        <f>IF(((AND($D$69&gt;0,$E$12&gt;0))),(E12/(D69)),0)</f>
        <v>77.777777777777786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7</v>
      </c>
      <c r="O12" s="42">
        <f>(D69*L69)-E12</f>
        <v>2</v>
      </c>
      <c r="P12" s="42">
        <f t="shared" si="4"/>
        <v>21</v>
      </c>
      <c r="Q12" s="42">
        <f>(C69*L69)-C12</f>
        <v>3</v>
      </c>
      <c r="R12" s="42">
        <f t="shared" si="5"/>
        <v>33</v>
      </c>
      <c r="S12" s="30">
        <f t="shared" si="6"/>
        <v>14553</v>
      </c>
      <c r="T12" s="30">
        <f t="shared" si="7"/>
        <v>30240</v>
      </c>
      <c r="U12" s="31">
        <f t="shared" si="8"/>
        <v>0.48125000000000001</v>
      </c>
    </row>
    <row r="13" spans="2:21" ht="18" customHeight="1" x14ac:dyDescent="0.25">
      <c r="B13" s="32" t="str">
        <f>'Data Entry'!A13</f>
        <v>8. Cases Resulting in Probation Placement</v>
      </c>
      <c r="C13" s="33">
        <f>'Data Entry'!C13</f>
        <v>39</v>
      </c>
      <c r="D13" s="34">
        <f>IF(((AND(C70&gt;0,C13&gt;0))),(C13/(C70)),0)</f>
        <v>185.71428571428572</v>
      </c>
      <c r="E13" s="33">
        <f>'Data Entry'!J13</f>
        <v>14</v>
      </c>
      <c r="F13" s="34">
        <f>IF(((AND($D$70&gt;0,$E$13&gt;0))),($E$13/($D$70)),0)</f>
        <v>199.99999999999997</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14</v>
      </c>
      <c r="O13" s="42">
        <f>(D70*L70)-E13</f>
        <v>-6.9999999999999991</v>
      </c>
      <c r="P13" s="42">
        <f t="shared" si="4"/>
        <v>39</v>
      </c>
      <c r="Q13" s="42">
        <f>(C70*L70)-C13</f>
        <v>-18</v>
      </c>
      <c r="R13" s="42">
        <f t="shared" si="5"/>
        <v>28</v>
      </c>
      <c r="S13" s="30">
        <f t="shared" si="6"/>
        <v>12347.999999999933</v>
      </c>
      <c r="T13" s="30">
        <f t="shared" si="7"/>
        <v>-194775.00000000006</v>
      </c>
      <c r="U13" s="31">
        <f t="shared" si="8"/>
        <v>-6.3396226415093973E-2</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Entry'!J14</f>
        <v>3</v>
      </c>
      <c r="F14" s="34">
        <f>IF(((AND($D$70&gt;0,$E$14&gt;0))), (($E$14/($D$70))),0)</f>
        <v>42.857142857142854</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3</v>
      </c>
      <c r="O14" s="42">
        <f>(D70*L70)-E14</f>
        <v>4.0000000000000009</v>
      </c>
      <c r="P14" s="42">
        <f t="shared" si="4"/>
        <v>1</v>
      </c>
      <c r="Q14" s="42">
        <f>(C70*L70)-C14</f>
        <v>20</v>
      </c>
      <c r="R14" s="42">
        <f t="shared" si="5"/>
        <v>28</v>
      </c>
      <c r="S14" s="30">
        <f t="shared" si="6"/>
        <v>87808</v>
      </c>
      <c r="T14" s="30">
        <f t="shared" si="7"/>
        <v>14112.000000000004</v>
      </c>
      <c r="U14" s="31">
        <f t="shared" si="8"/>
        <v>6.2222222222222205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24</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0.73699999999999999</v>
      </c>
      <c r="E42" s="56">
        <f>MAX(C42:D42)</f>
        <v>1.782</v>
      </c>
      <c r="G42" s="1" t="str">
        <f>B42</f>
        <v>per 1000 youth</v>
      </c>
      <c r="L42" s="57">
        <v>1000</v>
      </c>
      <c r="M42" s="57"/>
      <c r="R42" s="49"/>
    </row>
    <row r="43" spans="2:18" ht="15" hidden="1" customHeight="1" x14ac:dyDescent="0.25">
      <c r="B43" s="49" t="s">
        <v>87</v>
      </c>
      <c r="C43" s="56">
        <f>C7/100</f>
        <v>0.19</v>
      </c>
      <c r="D43" s="56">
        <f>E7/100</f>
        <v>0.04</v>
      </c>
      <c r="E43" s="56">
        <f>MAX(C43:D43,0)</f>
        <v>0.19</v>
      </c>
      <c r="G43" s="1" t="str">
        <f>B43</f>
        <v>per 100 arrests</v>
      </c>
      <c r="L43" s="57">
        <v>100</v>
      </c>
      <c r="M43" s="57"/>
      <c r="R43" s="49"/>
    </row>
    <row r="44" spans="2:18" ht="15" hidden="1" customHeight="1" x14ac:dyDescent="0.25">
      <c r="B44" s="49" t="s">
        <v>88</v>
      </c>
      <c r="C44" s="56">
        <f>C8/100</f>
        <v>0.46</v>
      </c>
      <c r="D44" s="56">
        <f>E8/100</f>
        <v>0.14000000000000001</v>
      </c>
      <c r="E44" s="56">
        <f>MAX(C44:D44,0)</f>
        <v>0.46</v>
      </c>
      <c r="G44" s="1" t="str">
        <f>B44</f>
        <v>per 100 referrals</v>
      </c>
      <c r="L44" s="57">
        <v>100</v>
      </c>
      <c r="M44" s="57"/>
      <c r="R44" s="49"/>
    </row>
    <row r="45" spans="2:18" ht="15" hidden="1" customHeight="1" x14ac:dyDescent="0.25">
      <c r="B45" s="49" t="s">
        <v>89</v>
      </c>
      <c r="C45" s="49">
        <f>C11/100</f>
        <v>0.24</v>
      </c>
      <c r="D45" s="49">
        <f>E11/100</f>
        <v>0.09</v>
      </c>
      <c r="E45" s="56">
        <f>MAX(C45:D45,0)</f>
        <v>0.24</v>
      </c>
      <c r="G45" s="1" t="str">
        <f>B45</f>
        <v>per 100 youth petitioned</v>
      </c>
      <c r="L45" s="57">
        <v>100</v>
      </c>
      <c r="M45" s="57"/>
      <c r="R45" s="49"/>
    </row>
    <row r="46" spans="2:18" ht="15" hidden="1" customHeight="1" x14ac:dyDescent="0.25">
      <c r="B46" s="49" t="s">
        <v>90</v>
      </c>
      <c r="C46" s="49">
        <f>C12/100</f>
        <v>0.21</v>
      </c>
      <c r="D46" s="49">
        <f>E12/100</f>
        <v>7.0000000000000007E-2</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0.73699999999999999</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0.19</v>
      </c>
      <c r="D49" s="49">
        <f t="shared" si="9"/>
        <v>0.04</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0.14000000000000001</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0.09</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7.0000000000000007E-2</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0.73699999999999999</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0.04</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0.14000000000000001</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0.09</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7.0000000000000007E-2</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0.73699999999999999</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0.04</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0.14000000000000001</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0.09</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7.0000000000000007E-2</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0.73699999999999999</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0.04</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0.14000000000000001</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0.09</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7.0000000000000007E-2</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Oceana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t="e">
        <f>Hispanic!L10</f>
        <v>#VALUE!</v>
      </c>
      <c r="N10" s="1" t="e">
        <f>Asian!L10</f>
        <v>#VALUE!</v>
      </c>
      <c r="O10" s="1" t="e">
        <f>Hawaiian!L10</f>
        <v>#VALUE!</v>
      </c>
      <c r="P10" s="1" t="e">
        <f>'Am Indian'!L10</f>
        <v>#VALUE!</v>
      </c>
      <c r="Q10" s="1" t="e">
        <f>'Other - Mixed'!L10</f>
        <v>#VALUE!</v>
      </c>
      <c r="R10" s="1">
        <f>'All Minorities'!L10</f>
        <v>20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40</v>
      </c>
      <c r="N14" s="1" t="e">
        <f>Asian!L14</f>
        <v>#VALUE!</v>
      </c>
      <c r="O14" s="1" t="e">
        <f>Hawaiian!L14</f>
        <v>#VALUE!</v>
      </c>
      <c r="P14" s="1" t="e">
        <f>'Am Indian'!L14</f>
        <v>#VALUE!</v>
      </c>
      <c r="Q14" s="1" t="e">
        <f>'Other - Mixed'!L14</f>
        <v>#VALUE!</v>
      </c>
      <c r="R14" s="1">
        <f>'All Minorities'!L14</f>
        <v>20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2519</v>
      </c>
      <c r="D3" s="57">
        <f>'Data Entry'!C6</f>
        <v>1782</v>
      </c>
      <c r="E3" s="57">
        <f>'Data Entry'!D6</f>
        <v>47</v>
      </c>
      <c r="F3" s="57">
        <f>'Data Entry'!E6</f>
        <v>662</v>
      </c>
      <c r="G3" s="57">
        <f>'Data Entry'!F6</f>
        <v>4</v>
      </c>
      <c r="H3" s="57">
        <f>'Data Entry'!G6</f>
        <v>0</v>
      </c>
      <c r="I3" s="57">
        <f>'Data Entry'!H6</f>
        <v>24</v>
      </c>
      <c r="J3" s="57">
        <f>'Data Entry'!I6</f>
        <v>0</v>
      </c>
      <c r="K3" s="57">
        <f>'Data Entry'!J6</f>
        <v>737</v>
      </c>
    </row>
    <row r="4" spans="2:11" ht="15" customHeight="1" x14ac:dyDescent="0.25">
      <c r="B4" s="16" t="s">
        <v>8</v>
      </c>
      <c r="C4" s="1">
        <f>IF((C$3&gt;0),(1000*('Data Entry'!B7/'Data Entry'!B$6)), 0)</f>
        <v>10.321556173084558</v>
      </c>
      <c r="D4" s="1">
        <f>IF((D$3&gt;0),(1000*('Data Entry'!C7/'Data Entry'!C$6)), 0)</f>
        <v>10.662177328843995</v>
      </c>
      <c r="E4" s="1">
        <f>IF((E$3&gt;0),(1000*('Data Entry'!D7/'Data Entry'!D$6)), 0)</f>
        <v>42.553191489361701</v>
      </c>
      <c r="F4" s="1">
        <f>IF((F$3&gt;0),(1000*('Data Entry'!E7/'Data Entry'!E$6)), 0)</f>
        <v>3.0211480362537766</v>
      </c>
      <c r="G4" s="1">
        <f>IF((G$3&gt;0),(1000*('Data Entry'!F7/'Data Entry'!F$6)), 0)</f>
        <v>0</v>
      </c>
      <c r="H4" s="1">
        <f>IF((H$3&gt;0),(1000*('Data Entry'!G7/'Data Entry'!G$6)), 0)</f>
        <v>0</v>
      </c>
      <c r="I4" s="1">
        <f>IF((I$3&gt;0),(1000*('Data Entry'!H7/'Data Entry'!H$6)), 0)</f>
        <v>0</v>
      </c>
      <c r="J4" s="1">
        <f>IF((J$3&gt;0),(1000*('Data Entry'!I7/'Data Entry'!I$6)), 0)</f>
        <v>0</v>
      </c>
      <c r="K4" s="1">
        <f>IF((K$3&gt;0),(1000*('Data Entry'!J7/'Data Entry'!J$6)), 0)</f>
        <v>5.4274084124830386</v>
      </c>
    </row>
    <row r="5" spans="2:11" ht="15" customHeight="1" x14ac:dyDescent="0.25">
      <c r="B5" s="16" t="s">
        <v>9</v>
      </c>
      <c r="C5" s="1">
        <f>IF((C$3&gt;0),(1000*('Data Entry'!B8/'Data Entry'!B$6)), 0)</f>
        <v>23.818975784041285</v>
      </c>
      <c r="D5" s="1">
        <f>IF((D$3&gt;0),(1000*('Data Entry'!C8/'Data Entry'!C$6)), 0)</f>
        <v>25.813692480359148</v>
      </c>
      <c r="E5" s="1">
        <f>IF((E$3&gt;0),(1000*('Data Entry'!D8/'Data Entry'!D$6)), 0)</f>
        <v>85.106382978723403</v>
      </c>
      <c r="F5" s="1">
        <f>IF((F$3&gt;0),(1000*('Data Entry'!E8/'Data Entry'!E$6)), 0)</f>
        <v>15.105740181268883</v>
      </c>
      <c r="G5" s="1">
        <f>IF((G$3&gt;0),(1000*('Data Entry'!F8/'Data Entry'!F$6)), 0)</f>
        <v>0</v>
      </c>
      <c r="H5" s="1">
        <f>IF((H$3&gt;0),(1000*('Data Entry'!G8/'Data Entry'!G$6)), 0)</f>
        <v>0</v>
      </c>
      <c r="I5" s="1">
        <f>IF((I$3&gt;0),(1000*('Data Entry'!H8/'Data Entry'!H$6)), 0)</f>
        <v>0</v>
      </c>
      <c r="J5" s="1">
        <f>IF((J$3&gt;0),(1000*('Data Entry'!I8/'Data Entry'!I$6)), 0)</f>
        <v>0</v>
      </c>
      <c r="K5" s="1">
        <f>IF((K$3&gt;0),(1000*('Data Entry'!J8/'Data Entry'!J$6)), 0)</f>
        <v>18.995929443690638</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0.79396585946804288</v>
      </c>
      <c r="D7" s="1">
        <f>IF((D$3&gt;0),(1000*('Data Entry'!C10/'Data Entry'!C$6)), 0)</f>
        <v>0</v>
      </c>
      <c r="E7" s="1">
        <f>IF((E$3&gt;0),(1000*('Data Entry'!D10/'Data Entry'!D$6)), 0)</f>
        <v>42.553191489361701</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2.7137042062415193</v>
      </c>
    </row>
    <row r="8" spans="2:11" ht="15" customHeight="1" x14ac:dyDescent="0.25">
      <c r="B8" s="16" t="s">
        <v>95</v>
      </c>
      <c r="C8" s="1">
        <f>IF((C$3&gt;0),(1000*('Data Entry'!B11/'Data Entry'!B$6)), 0)</f>
        <v>13.100436681222707</v>
      </c>
      <c r="D8" s="1">
        <f>IF((D$3&gt;0),(1000*('Data Entry'!C11/'Data Entry'!C$6)), 0)</f>
        <v>13.468013468013467</v>
      </c>
      <c r="E8" s="1">
        <f>IF((E$3&gt;0),(1000*('Data Entry'!D11/'Data Entry'!D$6)), 0)</f>
        <v>63.829787234042549</v>
      </c>
      <c r="F8" s="1">
        <f>IF((F$3&gt;0),(1000*('Data Entry'!E11/'Data Entry'!E$6)), 0)</f>
        <v>9.0634441087613293</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12.211668928086839</v>
      </c>
    </row>
    <row r="9" spans="2:11" ht="15" customHeight="1" x14ac:dyDescent="0.25">
      <c r="B9" s="16" t="s">
        <v>13</v>
      </c>
      <c r="C9" s="1">
        <f>IF((C$3&gt;0),(1000*('Data Entry'!B12/'Data Entry'!B$6)), 0)</f>
        <v>11.115522032552601</v>
      </c>
      <c r="D9" s="1">
        <f>IF((D$3&gt;0),(1000*('Data Entry'!C12/'Data Entry'!C$6)), 0)</f>
        <v>11.784511784511785</v>
      </c>
      <c r="E9" s="1">
        <f>IF((E$3&gt;0),(1000*('Data Entry'!D12/'Data Entry'!D$6)), 0)</f>
        <v>42.553191489361701</v>
      </c>
      <c r="F9" s="1">
        <f>IF((F$3&gt;0),(1000*('Data Entry'!E12/'Data Entry'!E$6)), 0)</f>
        <v>7.5528700906344417</v>
      </c>
      <c r="G9" s="1">
        <f>IF((G$3&gt;0),(1000*('Data Entry'!F12/'Data Entry'!F$6)), 0)</f>
        <v>0</v>
      </c>
      <c r="H9" s="1">
        <f>IF((H$3&gt;0),(1000*('Data Entry'!G12/'Data Entry'!G$6)), 0)</f>
        <v>0</v>
      </c>
      <c r="I9" s="1">
        <f>IF((I$3&gt;0),(1000*('Data Entry'!H12/'Data Entry'!H$6)), 0)</f>
        <v>0</v>
      </c>
      <c r="J9" s="1">
        <f>IF((J$3&gt;0),(1000*('Data Entry'!I12/'Data Entry'!I$6)), 0)</f>
        <v>0</v>
      </c>
      <c r="K9" s="1">
        <f>IF((K$3&gt;0),(1000*('Data Entry'!J12/'Data Entry'!J$6)), 0)</f>
        <v>9.4979647218453191</v>
      </c>
    </row>
    <row r="10" spans="2:11" ht="15" customHeight="1" x14ac:dyDescent="0.25">
      <c r="B10" s="16" t="s">
        <v>14</v>
      </c>
      <c r="C10" s="1">
        <f>IF((C$3&gt;0),(1000*('Data Entry'!B13/'Data Entry'!B$6)), 0)</f>
        <v>21.040095275903134</v>
      </c>
      <c r="D10" s="1">
        <f>IF((D$3&gt;0),(1000*('Data Entry'!C13/'Data Entry'!C$6)), 0)</f>
        <v>21.885521885521886</v>
      </c>
      <c r="E10" s="1">
        <f>IF((E$3&gt;0),(1000*('Data Entry'!D13/'Data Entry'!D$6)), 0)</f>
        <v>85.106382978723403</v>
      </c>
      <c r="F10" s="1">
        <f>IF((F$3&gt;0),(1000*('Data Entry'!E13/'Data Entry'!E$6)), 0)</f>
        <v>15.105740181268883</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18.995929443690638</v>
      </c>
    </row>
    <row r="11" spans="2:11" ht="25.5" customHeight="1" x14ac:dyDescent="0.25">
      <c r="B11" s="16" t="s">
        <v>15</v>
      </c>
      <c r="C11" s="1">
        <f>IF((C$3&gt;0),(1000*('Data Entry'!B14/'Data Entry'!B$6)), 0)</f>
        <v>1.5879317189360858</v>
      </c>
      <c r="D11" s="1">
        <f>IF((D$3&gt;0),(1000*('Data Entry'!C14/'Data Entry'!C$6)), 0)</f>
        <v>0.5611672278338945</v>
      </c>
      <c r="E11" s="1">
        <f>IF((E$3&gt;0),(1000*('Data Entry'!D14/'Data Entry'!D$6)), 0)</f>
        <v>63.829787234042549</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4.0705563093622796</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Oceana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3.9910414333706608</v>
      </c>
      <c r="E19" s="72">
        <f t="shared" si="1"/>
        <v>0.28335188424232788</v>
      </c>
      <c r="F19" s="72" t="str">
        <f t="shared" si="1"/>
        <v>--</v>
      </c>
      <c r="G19" s="72" t="str">
        <f t="shared" si="1"/>
        <v>--</v>
      </c>
      <c r="H19" s="72" t="str">
        <f t="shared" si="1"/>
        <v>--</v>
      </c>
      <c r="I19" s="72" t="str">
        <f t="shared" si="1"/>
        <v>--</v>
      </c>
      <c r="J19" s="73">
        <f t="shared" si="1"/>
        <v>0.50903377847604081</v>
      </c>
    </row>
    <row r="20" spans="2:10" ht="15" customHeight="1" x14ac:dyDescent="0.25">
      <c r="B20" s="71" t="s">
        <v>9</v>
      </c>
      <c r="C20" s="72">
        <f t="shared" ref="C20:J27" si="2">IF(AND(($D5&gt;0),(D5&gt;0)), (D5/$D5),"--")</f>
        <v>1</v>
      </c>
      <c r="D20" s="72">
        <f t="shared" si="2"/>
        <v>3.2969472710453283</v>
      </c>
      <c r="E20" s="72">
        <f t="shared" si="2"/>
        <v>0.58518323919611193</v>
      </c>
      <c r="F20" s="72" t="str">
        <f t="shared" si="2"/>
        <v>--</v>
      </c>
      <c r="G20" s="72" t="str">
        <f t="shared" si="2"/>
        <v>--</v>
      </c>
      <c r="H20" s="72" t="str">
        <f t="shared" si="2"/>
        <v>--</v>
      </c>
      <c r="I20" s="72" t="str">
        <f t="shared" si="2"/>
        <v>--</v>
      </c>
      <c r="J20" s="73">
        <f t="shared" si="2"/>
        <v>0.73588578844905905</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4.7393617021276597</v>
      </c>
      <c r="E23" s="72">
        <f t="shared" si="2"/>
        <v>0.67296072507552873</v>
      </c>
      <c r="F23" s="72" t="str">
        <f t="shared" si="2"/>
        <v>--</v>
      </c>
      <c r="G23" s="72" t="str">
        <f t="shared" si="2"/>
        <v>--</v>
      </c>
      <c r="H23" s="72" t="str">
        <f t="shared" si="2"/>
        <v>--</v>
      </c>
      <c r="I23" s="72" t="str">
        <f t="shared" si="2"/>
        <v>--</v>
      </c>
      <c r="J23" s="73">
        <f t="shared" si="2"/>
        <v>0.90671641791044788</v>
      </c>
    </row>
    <row r="24" spans="2:10" ht="15" customHeight="1" x14ac:dyDescent="0.25">
      <c r="B24" s="71" t="s">
        <v>13</v>
      </c>
      <c r="C24" s="72">
        <f t="shared" si="2"/>
        <v>1</v>
      </c>
      <c r="D24" s="72">
        <f t="shared" si="2"/>
        <v>3.6109422492401211</v>
      </c>
      <c r="E24" s="72">
        <f t="shared" si="2"/>
        <v>0.64091497626240823</v>
      </c>
      <c r="F24" s="72" t="str">
        <f t="shared" si="2"/>
        <v>--</v>
      </c>
      <c r="G24" s="72" t="str">
        <f t="shared" si="2"/>
        <v>--</v>
      </c>
      <c r="H24" s="72" t="str">
        <f t="shared" si="2"/>
        <v>--</v>
      </c>
      <c r="I24" s="72" t="str">
        <f t="shared" si="2"/>
        <v>--</v>
      </c>
      <c r="J24" s="73">
        <f t="shared" si="2"/>
        <v>0.80597014925373134</v>
      </c>
    </row>
    <row r="25" spans="2:10" ht="15" customHeight="1" x14ac:dyDescent="0.25">
      <c r="B25" s="71" t="s">
        <v>14</v>
      </c>
      <c r="C25" s="72">
        <f t="shared" si="2"/>
        <v>1</v>
      </c>
      <c r="D25" s="72">
        <f t="shared" si="2"/>
        <v>3.8887070376432078</v>
      </c>
      <c r="E25" s="72">
        <f t="shared" si="2"/>
        <v>0.6902161282825936</v>
      </c>
      <c r="F25" s="72" t="str">
        <f t="shared" si="2"/>
        <v>--</v>
      </c>
      <c r="G25" s="72" t="str">
        <f t="shared" si="2"/>
        <v>--</v>
      </c>
      <c r="H25" s="72" t="str">
        <f t="shared" si="2"/>
        <v>--</v>
      </c>
      <c r="I25" s="72" t="str">
        <f t="shared" si="2"/>
        <v>--</v>
      </c>
      <c r="J25" s="73">
        <f t="shared" si="2"/>
        <v>0.86796785304247992</v>
      </c>
    </row>
    <row r="26" spans="2:10" ht="25.5" customHeight="1" x14ac:dyDescent="0.25">
      <c r="B26" s="71" t="s">
        <v>15</v>
      </c>
      <c r="C26" s="72">
        <f t="shared" si="2"/>
        <v>1</v>
      </c>
      <c r="D26" s="72">
        <f t="shared" si="2"/>
        <v>113.74468085106382</v>
      </c>
      <c r="E26" s="72" t="str">
        <f t="shared" si="2"/>
        <v>--</v>
      </c>
      <c r="F26" s="72" t="str">
        <f t="shared" si="2"/>
        <v>--</v>
      </c>
      <c r="G26" s="72" t="str">
        <f t="shared" si="2"/>
        <v>--</v>
      </c>
      <c r="H26" s="72" t="str">
        <f t="shared" si="2"/>
        <v>--</v>
      </c>
      <c r="I26" s="72" t="str">
        <f t="shared" si="2"/>
        <v>--</v>
      </c>
      <c r="J26" s="73">
        <f t="shared" si="2"/>
        <v>7.2537313432835822</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Oceana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1782</v>
      </c>
      <c r="D7" s="105">
        <f>'Data Entry'!D6</f>
        <v>47</v>
      </c>
      <c r="E7" s="106"/>
      <c r="F7" s="107">
        <f>'Data Entry'!E6</f>
        <v>662</v>
      </c>
      <c r="G7" s="106"/>
      <c r="H7" s="107">
        <f>'Data Entry'!F6</f>
        <v>4</v>
      </c>
      <c r="I7" s="106"/>
      <c r="J7" s="107">
        <f>'Data Entry'!G6</f>
        <v>0</v>
      </c>
      <c r="K7" s="106"/>
      <c r="L7" s="107">
        <f>'Data Entry'!H6</f>
        <v>24</v>
      </c>
      <c r="M7" s="106"/>
      <c r="N7" s="107">
        <f>'Data Entry'!I6</f>
        <v>0</v>
      </c>
      <c r="O7" s="106"/>
      <c r="P7" s="107">
        <f>'Data Entry'!J6</f>
        <v>737</v>
      </c>
      <c r="Q7" s="108"/>
    </row>
    <row r="8" spans="2:26" s="1" customFormat="1" ht="15" customHeight="1" x14ac:dyDescent="0.3">
      <c r="B8" s="149" t="s">
        <v>8</v>
      </c>
      <c r="C8" s="104">
        <f>'Data Entry'!C7</f>
        <v>19</v>
      </c>
      <c r="D8" s="105">
        <f>'Data Entry'!D7</f>
        <v>2</v>
      </c>
      <c r="E8" s="106" t="str">
        <f>'Black or African-American'!$G7</f>
        <v>**</v>
      </c>
      <c r="F8" s="107">
        <f>'Data Entry'!E7</f>
        <v>2</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4</v>
      </c>
      <c r="Q8" s="108"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46</v>
      </c>
      <c r="D9" s="109">
        <f>'Data Entry'!D8</f>
        <v>4</v>
      </c>
      <c r="E9" s="110" t="str">
        <f>'Black or African-American'!$G8</f>
        <v>**</v>
      </c>
      <c r="F9" s="111">
        <f>'Data Entry'!E8</f>
        <v>10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14</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2</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2</v>
      </c>
      <c r="Q11" s="112" t="str">
        <f>'All Minorities'!G10</f>
        <v>**</v>
      </c>
      <c r="R11"/>
      <c r="T11" s="1">
        <f>'Black or African-American'!L10</f>
        <v>20</v>
      </c>
      <c r="U11" s="1" t="e">
        <f>Hispanic!L10</f>
        <v>#VALUE!</v>
      </c>
      <c r="V11" s="1" t="e">
        <f>Asian!L10</f>
        <v>#VALUE!</v>
      </c>
      <c r="W11" s="1" t="e">
        <f>Hawaiian!L10</f>
        <v>#VALUE!</v>
      </c>
      <c r="X11" s="1" t="e">
        <f>'Am Indian'!L10</f>
        <v>#VALUE!</v>
      </c>
      <c r="Y11" s="1" t="e">
        <f>'Other - Mixed'!L10</f>
        <v>#VALUE!</v>
      </c>
      <c r="Z11" s="1">
        <f>'All Minorities'!L10</f>
        <v>20</v>
      </c>
    </row>
    <row r="12" spans="2:26" s="1" customFormat="1" ht="15" customHeight="1" x14ac:dyDescent="0.3">
      <c r="B12" s="149" t="s">
        <v>95</v>
      </c>
      <c r="C12" s="104">
        <f>'Data Entry'!C11</f>
        <v>24</v>
      </c>
      <c r="D12" s="113">
        <f>'Data Entry'!D11</f>
        <v>3</v>
      </c>
      <c r="E12" s="114" t="str">
        <f>'Black or African-American'!$G11</f>
        <v>**</v>
      </c>
      <c r="F12" s="115">
        <f>'Data Entry'!E11</f>
        <v>6</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9</v>
      </c>
      <c r="Q12" s="116"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x14ac:dyDescent="0.3">
      <c r="B13" s="149" t="s">
        <v>13</v>
      </c>
      <c r="C13" s="104">
        <f>'Data Entry'!C12</f>
        <v>21</v>
      </c>
      <c r="D13" s="109">
        <f>'Data Entry'!D12</f>
        <v>2</v>
      </c>
      <c r="E13" s="110" t="str">
        <f>'Black or African-American'!$G12</f>
        <v>**</v>
      </c>
      <c r="F13" s="111">
        <f>'Data Entry'!E12</f>
        <v>5</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7</v>
      </c>
      <c r="Q13" s="112" t="str">
        <f>'All Minorities'!G12</f>
        <v>**</v>
      </c>
      <c r="R13"/>
      <c r="T13" s="1">
        <f>'Black or African-American'!L12</f>
        <v>40</v>
      </c>
      <c r="U13" s="1">
        <f>Hispanic!L12</f>
        <v>40</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39</v>
      </c>
      <c r="D14" s="113">
        <f>'Data Entry'!D13</f>
        <v>4</v>
      </c>
      <c r="E14" s="114" t="str">
        <f>'Black or African-American'!$G13</f>
        <v>**</v>
      </c>
      <c r="F14" s="115">
        <f>'Data Entry'!E13</f>
        <v>10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14</v>
      </c>
      <c r="Q14" s="116" t="str">
        <f>'All Minorities'!G13</f>
        <v>**</v>
      </c>
      <c r="R14"/>
      <c r="T14" s="1">
        <f>'Black or African-American'!L13</f>
        <v>40</v>
      </c>
      <c r="U14" s="1">
        <f>Hispanic!L13</f>
        <v>40</v>
      </c>
      <c r="V14" s="1" t="e">
        <f>Asian!L13</f>
        <v>#VALUE!</v>
      </c>
      <c r="W14" s="1" t="e">
        <f>Hawaiian!L13</f>
        <v>#VALUE!</v>
      </c>
      <c r="X14" s="1" t="e">
        <f>'Am Indian'!L13</f>
        <v>#VALUE!</v>
      </c>
      <c r="Y14" s="1" t="e">
        <f>'Other - Mixed'!L13</f>
        <v>#VALUE!</v>
      </c>
      <c r="Z14" s="1">
        <f>'All Minorities'!L13</f>
        <v>40</v>
      </c>
    </row>
    <row r="15" spans="2:26" s="1" customFormat="1" ht="33" x14ac:dyDescent="0.3">
      <c r="B15" s="151" t="s">
        <v>123</v>
      </c>
      <c r="C15" s="104">
        <f>'Data Entry'!C14</f>
        <v>1</v>
      </c>
      <c r="D15" s="109">
        <f>'Data Entry'!D14</f>
        <v>3</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3</v>
      </c>
      <c r="Q15" s="112" t="str">
        <f>'All Minorities'!G14</f>
        <v>**</v>
      </c>
      <c r="R15"/>
      <c r="T15" s="1">
        <f>'Black or African-American'!L14</f>
        <v>20</v>
      </c>
      <c r="U15" s="1">
        <f>Hispanic!L14</f>
        <v>40</v>
      </c>
      <c r="V15" s="1" t="e">
        <f>Asian!L14</f>
        <v>#VALUE!</v>
      </c>
      <c r="W15" s="1" t="e">
        <f>Hawaiian!L14</f>
        <v>#VALUE!</v>
      </c>
      <c r="X15" s="1" t="e">
        <f>'Am Indian'!L14</f>
        <v>#VALUE!</v>
      </c>
      <c r="Y15" s="1" t="e">
        <f>'Other - Mixed'!L14</f>
        <v>#VALUE!</v>
      </c>
      <c r="Z15" s="1">
        <f>'All Minorities'!L14</f>
        <v>20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Oceana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Oceana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2.4179104477611943</v>
      </c>
    </row>
    <row r="8" spans="1:12" ht="25.5" customHeight="1" x14ac:dyDescent="0.2">
      <c r="A8" s="158" t="str">
        <f>CONCATENATE("Confinement, total N=", 'Data Entry'!B14)</f>
        <v>Confinement, total N=4</v>
      </c>
      <c r="B8" s="157">
        <f>'Data Entry'!D14/'Data Entry'!B14</f>
        <v>0.75</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0.25</v>
      </c>
      <c r="K8" s="97" t="str">
        <f>A8</f>
        <v>Confinement, total N=4</v>
      </c>
      <c r="L8">
        <f>I14/(SUM(B14:G14))</f>
        <v>2.4179104477611943</v>
      </c>
    </row>
    <row r="9" spans="1:12" x14ac:dyDescent="0.2">
      <c r="A9" s="132" t="str">
        <f>CONCATENATE("Delinquent Findings, total N=", 'Data Entry'!B12)</f>
        <v>Delinquent Findings, total N=28</v>
      </c>
      <c r="B9" s="157">
        <f>'Data Entry'!D12/'Data Entry'!B12</f>
        <v>7.1428571428571425E-2</v>
      </c>
      <c r="C9" s="157">
        <f>'Data Entry'!E12/'Data Entry'!B12</f>
        <v>0.17857142857142858</v>
      </c>
      <c r="D9" s="157">
        <f>'Data Entry'!F12/'Data Entry'!B12</f>
        <v>0</v>
      </c>
      <c r="E9" s="157">
        <f>'Data Entry'!G12/'Data Entry'!B12</f>
        <v>0</v>
      </c>
      <c r="F9" s="157">
        <f>'Data Entry'!H12/'Data Entry'!B12</f>
        <v>0</v>
      </c>
      <c r="G9" s="157">
        <f>'Data Entry'!I12/'Data Entry'!B12</f>
        <v>0</v>
      </c>
      <c r="H9" s="157">
        <f>SUM(D9:G9)/'Data Entry'!B12</f>
        <v>0</v>
      </c>
      <c r="I9" s="157">
        <f>'Data Entry'!C12/'Data Entry'!B12</f>
        <v>0.75</v>
      </c>
      <c r="K9" s="97" t="str">
        <f t="shared" si="0"/>
        <v>Delinquent Findings, total N=28</v>
      </c>
      <c r="L9">
        <f>I14/(SUM(B14:G14))</f>
        <v>2.4179104477611943</v>
      </c>
    </row>
    <row r="10" spans="1:12" x14ac:dyDescent="0.2">
      <c r="A10" s="132" t="str">
        <f>CONCATENATE("Petitions, total N=", 'Data Entry'!B11)</f>
        <v>Petitions, total N=33</v>
      </c>
      <c r="B10" s="157">
        <f>'Data Entry'!D11/'Data Entry'!B11</f>
        <v>9.0909090909090912E-2</v>
      </c>
      <c r="C10" s="157">
        <f>'Data Entry'!E11/'Data Entry'!B11</f>
        <v>0.18181818181818182</v>
      </c>
      <c r="D10" s="157">
        <f>'Data Entry'!F11/'Data Entry'!B11</f>
        <v>0</v>
      </c>
      <c r="E10" s="157">
        <f>'Data Entry'!G11/'Data Entry'!B11</f>
        <v>0</v>
      </c>
      <c r="F10" s="157">
        <f>'Data Entry'!H11/'Data Entry'!B11</f>
        <v>0</v>
      </c>
      <c r="G10" s="157">
        <f>'Data Entry'!I11/'Data Entry'!B11</f>
        <v>0</v>
      </c>
      <c r="H10" s="157">
        <f>SUM(D10:G10)/'Data Entry'!B11</f>
        <v>0</v>
      </c>
      <c r="I10" s="157">
        <f>'Data Entry'!C11/'Data Entry'!B11</f>
        <v>0.72727272727272729</v>
      </c>
      <c r="K10" s="97" t="str">
        <f t="shared" si="0"/>
        <v>Petitions, total N=33</v>
      </c>
      <c r="L10">
        <f>I14/(SUM(B14:G14))</f>
        <v>2.4179104477611943</v>
      </c>
    </row>
    <row r="11" spans="1:12" x14ac:dyDescent="0.2">
      <c r="A11" s="132" t="str">
        <f>CONCATENATE("Detentions, total N=", 'Data Entry'!B10)</f>
        <v>Detentions, total N=2</v>
      </c>
      <c r="B11" s="157">
        <f>'Data Entry'!D10/'Data Entry'!B10</f>
        <v>1</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v>
      </c>
      <c r="K11" s="97" t="str">
        <f t="shared" si="0"/>
        <v>Detentions, total N=2</v>
      </c>
      <c r="L11">
        <f>I14/(SUM(B14:G14))</f>
        <v>2.4179104477611943</v>
      </c>
    </row>
    <row r="12" spans="1:12" x14ac:dyDescent="0.2">
      <c r="A12" s="132" t="str">
        <f>CONCATENATE("Referrals, total N=", 'Data Entry'!B8)</f>
        <v>Referrals, total N=60</v>
      </c>
      <c r="B12" s="157">
        <f>'Data Entry'!D8/'Data Entry'!B8</f>
        <v>6.6666666666666666E-2</v>
      </c>
      <c r="C12" s="157">
        <f>'Data Entry'!E8/'Data Entry'!B8</f>
        <v>0.16666666666666666</v>
      </c>
      <c r="D12" s="157">
        <f>'Data Entry'!F8/'Data Entry'!B8</f>
        <v>0</v>
      </c>
      <c r="E12" s="157">
        <f>'Data Entry'!G8/'Data Entry'!B8</f>
        <v>0</v>
      </c>
      <c r="F12" s="157">
        <f>'Data Entry'!H8/'Data Entry'!B8</f>
        <v>0</v>
      </c>
      <c r="G12" s="157">
        <f>'Data Entry'!I8/'Data Entry'!B8</f>
        <v>0</v>
      </c>
      <c r="H12" s="157">
        <f>SUM(D12:G12)/'Data Entry'!B8</f>
        <v>0</v>
      </c>
      <c r="I12" s="157">
        <f>'Data Entry'!C8/'Data Entry'!B8</f>
        <v>0.76666666666666672</v>
      </c>
      <c r="K12" s="97" t="str">
        <f t="shared" si="0"/>
        <v>Referrals, total N=60</v>
      </c>
      <c r="L12">
        <f>I14/(SUM(B14:G14))</f>
        <v>2.4179104477611943</v>
      </c>
    </row>
    <row r="13" spans="1:12" x14ac:dyDescent="0.2">
      <c r="A13" s="132" t="str">
        <f>CONCATENATE("Arrests, total N=", 'Data Entry'!B7)</f>
        <v>Arrests, total N=26</v>
      </c>
      <c r="B13" s="157">
        <f>'Data Entry'!D7/'Data Entry'!B7</f>
        <v>7.6923076923076927E-2</v>
      </c>
      <c r="C13" s="157">
        <f>'Data Entry'!E7/'Data Entry'!B7</f>
        <v>7.6923076923076927E-2</v>
      </c>
      <c r="D13" s="157">
        <f>'Data Entry'!F7/'Data Entry'!B7</f>
        <v>0</v>
      </c>
      <c r="E13" s="157">
        <f>'Data Entry'!G7/'Data Entry'!B7</f>
        <v>0</v>
      </c>
      <c r="F13" s="157">
        <f>'Data Entry'!H7/'Data Entry'!B7</f>
        <v>0</v>
      </c>
      <c r="G13" s="157">
        <f>'Data Entry'!I7/'Data Entry'!B7</f>
        <v>0</v>
      </c>
      <c r="H13" s="157">
        <f>SUM(D13:G13)/'Data Entry'!B7</f>
        <v>0</v>
      </c>
      <c r="I13" s="157">
        <f>'Data Entry'!C7/'Data Entry'!B7</f>
        <v>0.73076923076923073</v>
      </c>
      <c r="K13" s="97" t="str">
        <f t="shared" si="0"/>
        <v>Arrests, total N=26</v>
      </c>
      <c r="L13">
        <f>I14/(SUM(B14:G14))</f>
        <v>2.4179104477611943</v>
      </c>
    </row>
    <row r="14" spans="1:12" x14ac:dyDescent="0.2">
      <c r="A14" s="132" t="str">
        <f>CONCATENATE("Population, total N=", 'Data Entry'!B6)</f>
        <v>Population, total N=2519</v>
      </c>
      <c r="B14" s="157">
        <f>'Data Entry'!D6/'Data Entry'!B6</f>
        <v>1.8658197697499008E-2</v>
      </c>
      <c r="C14" s="157">
        <f>'Data Entry'!E6/'Data Entry'!B6</f>
        <v>0.26280269948392221</v>
      </c>
      <c r="D14" s="157">
        <f>'Data Entry'!F6/'Data Entry'!B6</f>
        <v>1.5879317189360857E-3</v>
      </c>
      <c r="E14" s="157">
        <f>'Data Entry'!G6/'Data Entry'!B6</f>
        <v>0</v>
      </c>
      <c r="F14" s="157">
        <f>'Data Entry'!H6/'Data Entry'!B6</f>
        <v>9.5275903136165137E-3</v>
      </c>
      <c r="G14" s="157">
        <f>'Data Entry'!I6/'Data Entry'!B6</f>
        <v>0</v>
      </c>
      <c r="H14" s="157">
        <f>SUM(D14:G14)/'Data Entry'!B6</f>
        <v>4.4126725020057951E-6</v>
      </c>
      <c r="I14" s="157">
        <f>'Data Entry'!C6/'Data Entry'!B6</f>
        <v>0.70742358078602618</v>
      </c>
      <c r="K14" s="97" t="str">
        <f t="shared" si="0"/>
        <v>Population, total N=2519</v>
      </c>
      <c r="L14">
        <f>I14/(SUM(B14:G14))</f>
        <v>2.4179104477611943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Oceana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1782</v>
      </c>
      <c r="D7" s="105">
        <f>'Data Entry'!D6</f>
        <v>47</v>
      </c>
      <c r="E7" s="106"/>
      <c r="F7" s="107">
        <f>'Data Entry'!E6</f>
        <v>662</v>
      </c>
      <c r="G7" s="106"/>
      <c r="H7" s="107">
        <f>'Data Entry'!F6</f>
        <v>4</v>
      </c>
      <c r="I7" s="106"/>
      <c r="J7" s="107">
        <f>'Data Entry'!J6</f>
        <v>737</v>
      </c>
      <c r="K7" s="108"/>
    </row>
    <row r="8" spans="2:30" s="1" customFormat="1" ht="15" customHeight="1" x14ac:dyDescent="0.3">
      <c r="B8" s="125" t="s">
        <v>8</v>
      </c>
      <c r="C8" s="104">
        <f>'Data Entry'!C7</f>
        <v>19</v>
      </c>
      <c r="D8" s="105">
        <f>'Data Entry'!D7</f>
        <v>2</v>
      </c>
      <c r="E8" s="106" t="str">
        <f>'Black or African-American'!$G7</f>
        <v>**</v>
      </c>
      <c r="F8" s="107">
        <f>'Data Entry'!E7</f>
        <v>2</v>
      </c>
      <c r="G8" s="106" t="str">
        <f>Hispanic!G7</f>
        <v>**</v>
      </c>
      <c r="H8" s="107">
        <f>'Data Entry'!F7</f>
        <v>0</v>
      </c>
      <c r="I8" s="106" t="str">
        <f>Asian!G7</f>
        <v>*</v>
      </c>
      <c r="J8" s="107">
        <f>'Data Entry'!J7</f>
        <v>4</v>
      </c>
      <c r="K8" s="108"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46</v>
      </c>
      <c r="D9" s="109">
        <f>'Data Entry'!D8</f>
        <v>4</v>
      </c>
      <c r="E9" s="110" t="str">
        <f>'Black or African-American'!$G8</f>
        <v>**</v>
      </c>
      <c r="F9" s="111">
        <f>'Data Entry'!E8</f>
        <v>10</v>
      </c>
      <c r="G9" s="110" t="str">
        <f>Hispanic!G8</f>
        <v>**</v>
      </c>
      <c r="H9" s="111">
        <f>'Data Entry'!F8</f>
        <v>0</v>
      </c>
      <c r="I9" s="110" t="str">
        <f>Asian!G8</f>
        <v>*</v>
      </c>
      <c r="J9" s="111">
        <f>'Data Entry'!J8</f>
        <v>14</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2</v>
      </c>
      <c r="E11" s="110" t="str">
        <f>'Black or African-American'!$G10</f>
        <v>**</v>
      </c>
      <c r="F11" s="111">
        <f>'Data Entry'!E10</f>
        <v>0</v>
      </c>
      <c r="G11" s="110" t="str">
        <f>Hispanic!G10</f>
        <v>--</v>
      </c>
      <c r="H11" s="111">
        <f>'Data Entry'!F10</f>
        <v>0</v>
      </c>
      <c r="I11" s="110" t="str">
        <f>Asian!G10</f>
        <v>*</v>
      </c>
      <c r="J11" s="111">
        <f>'Data Entry'!J10</f>
        <v>2</v>
      </c>
      <c r="K11" s="112" t="str">
        <f>'All Minorities'!G10</f>
        <v>**</v>
      </c>
      <c r="L11"/>
      <c r="N11" s="1">
        <f>'Black or African-American'!L10</f>
        <v>20</v>
      </c>
      <c r="O11" s="1" t="e">
        <f>Hispanic!L10</f>
        <v>#VALUE!</v>
      </c>
      <c r="P11" s="1" t="e">
        <f>Asian!L10</f>
        <v>#VALUE!</v>
      </c>
      <c r="Q11" s="1" t="e">
        <f>Hawaiian!L10</f>
        <v>#VALUE!</v>
      </c>
      <c r="R11" s="1" t="e">
        <f>'Am Indian'!L10</f>
        <v>#VALUE!</v>
      </c>
      <c r="S11" s="1" t="e">
        <f>'Other - Mixed'!L10</f>
        <v>#VALUE!</v>
      </c>
      <c r="T11" s="1">
        <f>'All Minorities'!L10</f>
        <v>20</v>
      </c>
    </row>
    <row r="12" spans="2:30" s="1" customFormat="1" ht="15" customHeight="1" x14ac:dyDescent="0.3">
      <c r="B12" s="125" t="s">
        <v>95</v>
      </c>
      <c r="C12" s="104">
        <f>'Data Entry'!C11</f>
        <v>24</v>
      </c>
      <c r="D12" s="113">
        <f>'Data Entry'!D11</f>
        <v>3</v>
      </c>
      <c r="E12" s="114" t="str">
        <f>'Black or African-American'!$G11</f>
        <v>**</v>
      </c>
      <c r="F12" s="115">
        <f>'Data Entry'!E11</f>
        <v>6</v>
      </c>
      <c r="G12" s="114" t="str">
        <f>Hispanic!G11</f>
        <v>**</v>
      </c>
      <c r="H12" s="115">
        <f>'Data Entry'!F11</f>
        <v>0</v>
      </c>
      <c r="I12" s="114" t="str">
        <f>Asian!G11</f>
        <v>*</v>
      </c>
      <c r="J12" s="115">
        <f>'Data Entry'!J11</f>
        <v>9</v>
      </c>
      <c r="K12" s="116"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x14ac:dyDescent="0.3">
      <c r="B13" s="125" t="s">
        <v>13</v>
      </c>
      <c r="C13" s="104">
        <f>'Data Entry'!C12</f>
        <v>21</v>
      </c>
      <c r="D13" s="109">
        <f>'Data Entry'!D12</f>
        <v>2</v>
      </c>
      <c r="E13" s="110" t="str">
        <f>'Black or African-American'!$G12</f>
        <v>**</v>
      </c>
      <c r="F13" s="111">
        <f>'Data Entry'!E12</f>
        <v>5</v>
      </c>
      <c r="G13" s="110" t="str">
        <f>Hispanic!G12</f>
        <v>**</v>
      </c>
      <c r="H13" s="111">
        <f>'Data Entry'!F12</f>
        <v>0</v>
      </c>
      <c r="I13" s="110" t="str">
        <f>Asian!G12</f>
        <v>*</v>
      </c>
      <c r="J13" s="111">
        <f>'Data Entry'!J12</f>
        <v>7</v>
      </c>
      <c r="K13" s="112" t="str">
        <f>'All Minorities'!G12</f>
        <v>**</v>
      </c>
      <c r="L13"/>
      <c r="N13" s="1">
        <f>'Black or African-American'!L12</f>
        <v>40</v>
      </c>
      <c r="O13" s="1">
        <f>Hispanic!L12</f>
        <v>40</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39</v>
      </c>
      <c r="D14" s="113">
        <f>'Data Entry'!D13</f>
        <v>4</v>
      </c>
      <c r="E14" s="114" t="str">
        <f>'Black or African-American'!$G13</f>
        <v>**</v>
      </c>
      <c r="F14" s="115">
        <f>'Data Entry'!E13</f>
        <v>10</v>
      </c>
      <c r="G14" s="114" t="str">
        <f>Hispanic!G13</f>
        <v>**</v>
      </c>
      <c r="H14" s="115">
        <f>'Data Entry'!F13</f>
        <v>0</v>
      </c>
      <c r="I14" s="114" t="str">
        <f>Asian!G13</f>
        <v>*</v>
      </c>
      <c r="J14" s="115">
        <f>'Data Entry'!J13</f>
        <v>14</v>
      </c>
      <c r="K14" s="116" t="str">
        <f>'All Minorities'!G13</f>
        <v>**</v>
      </c>
      <c r="L14"/>
      <c r="N14" s="1">
        <f>'Black or African-American'!L13</f>
        <v>40</v>
      </c>
      <c r="O14" s="1">
        <f>Hispanic!L13</f>
        <v>40</v>
      </c>
      <c r="P14" s="1" t="e">
        <f>Asian!L13</f>
        <v>#VALUE!</v>
      </c>
      <c r="Q14" s="1" t="e">
        <f>Hawaiian!L13</f>
        <v>#VALUE!</v>
      </c>
      <c r="R14" s="1" t="e">
        <f>'Am Indian'!L13</f>
        <v>#VALUE!</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1</v>
      </c>
      <c r="D15" s="109">
        <f>'Data Entry'!D14</f>
        <v>3</v>
      </c>
      <c r="E15" s="110" t="str">
        <f>'Black or African-American'!$G14</f>
        <v>**</v>
      </c>
      <c r="F15" s="111">
        <f>'Data Entry'!E14</f>
        <v>0</v>
      </c>
      <c r="G15" s="110" t="str">
        <f>Hispanic!G14</f>
        <v>**</v>
      </c>
      <c r="H15" s="111">
        <f>'Data Entry'!F14</f>
        <v>0</v>
      </c>
      <c r="I15" s="110" t="str">
        <f>Asian!G14</f>
        <v>*</v>
      </c>
      <c r="J15" s="111">
        <f>'Data Entry'!J14</f>
        <v>3</v>
      </c>
      <c r="K15" s="112" t="str">
        <f>'All Minorities'!G14</f>
        <v>**</v>
      </c>
      <c r="L15"/>
      <c r="N15" s="1">
        <f>'Black or African-American'!L14</f>
        <v>20</v>
      </c>
      <c r="O15" s="1">
        <f>Hispanic!L14</f>
        <v>40</v>
      </c>
      <c r="P15" s="1" t="e">
        <f>Asian!L14</f>
        <v>#VALUE!</v>
      </c>
      <c r="Q15" s="1" t="e">
        <f>Hawaiian!L14</f>
        <v>#VALUE!</v>
      </c>
      <c r="R15" s="1" t="e">
        <f>'Am Indian'!L14</f>
        <v>#VALUE!</v>
      </c>
      <c r="S15" s="1" t="e">
        <f>'Other - Mixed'!L14</f>
        <v>#VALUE!</v>
      </c>
      <c r="T15" s="1">
        <f>'All Minorities'!L14</f>
        <v>20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Oceana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Entry'!D6</f>
        <v>47</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Entry'!D7</f>
        <v>2</v>
      </c>
      <c r="F7" s="34">
        <f>IF((AND($E$7&gt;0,$D$66&gt;0)),($E$7/$D$66),0)</f>
        <v>42.553191489361701</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45</v>
      </c>
      <c r="P7" s="42">
        <f t="shared" ref="P7:P15" si="2">C7</f>
        <v>19</v>
      </c>
      <c r="Q7" s="42">
        <f>C6-C7</f>
        <v>1763</v>
      </c>
      <c r="R7" s="42">
        <f t="shared" ref="R7:R15" si="3">SUM(N7:Q7)</f>
        <v>1829</v>
      </c>
      <c r="S7" s="30">
        <f t="shared" ref="S7:S15" si="4">R7*((((N7*Q7)-(O7*P7))^2))</f>
        <v>13048526789</v>
      </c>
      <c r="T7" s="30">
        <f t="shared" ref="T7:T15" si="5">(N7+O7)*(P7+Q7)*(N7+P7)*(O7+Q7)</f>
        <v>3179971872</v>
      </c>
      <c r="U7" s="31">
        <f t="shared" ref="U7:U15" si="6">IF((S7&gt;0),S7/T7,"- -")</f>
        <v>4.1033466062683459</v>
      </c>
    </row>
    <row r="8" spans="2:21" ht="18" customHeight="1" x14ac:dyDescent="0.25">
      <c r="B8" s="32" t="str">
        <f>'Data Entry'!A8</f>
        <v>3. Refer to Juvenile Court</v>
      </c>
      <c r="C8" s="33">
        <f>'Data Entry'!C8</f>
        <v>46</v>
      </c>
      <c r="D8" s="34">
        <f>IF((AND(C67&gt;0,C8&gt;0)),(C8/C67),0)</f>
        <v>242.10526315789474</v>
      </c>
      <c r="E8" s="33">
        <f>'Data Entry'!D8</f>
        <v>4</v>
      </c>
      <c r="F8" s="34">
        <f>IF((AND($E$8&gt;0,$D$67&gt;0)),($E8/$D67),0)</f>
        <v>200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4</v>
      </c>
      <c r="O8" s="42">
        <f>((D67*L67)-E8)+0.05</f>
        <v>-1.95</v>
      </c>
      <c r="P8" s="42">
        <f t="shared" si="2"/>
        <v>46</v>
      </c>
      <c r="Q8" s="42">
        <f>(C$67*L67)-C8</f>
        <v>-27</v>
      </c>
      <c r="R8" s="42">
        <f t="shared" si="3"/>
        <v>21.049999999999997</v>
      </c>
      <c r="S8" s="30">
        <f t="shared" si="4"/>
        <v>7049.4344999999967</v>
      </c>
      <c r="T8" s="30">
        <f t="shared" si="5"/>
        <v>-56380.124999999993</v>
      </c>
      <c r="U8" s="31">
        <f t="shared" si="6"/>
        <v>-0.12503403459995871</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46</v>
      </c>
      <c r="R9" s="42">
        <f t="shared" si="3"/>
        <v>50</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2</v>
      </c>
      <c r="F10" s="34">
        <f>IF(((AND($E$10&gt;0,$D$68&gt;0))),($E$10/($D$68)),0)</f>
        <v>50</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2</v>
      </c>
      <c r="O10" s="42">
        <f>(D$68*L68)-E10</f>
        <v>2</v>
      </c>
      <c r="P10" s="42">
        <f t="shared" si="2"/>
        <v>0</v>
      </c>
      <c r="Q10" s="42">
        <f>(C$68*L68)-C10</f>
        <v>46</v>
      </c>
      <c r="R10" s="42">
        <f t="shared" si="3"/>
        <v>50</v>
      </c>
      <c r="S10" s="30">
        <f t="shared" si="4"/>
        <v>423200</v>
      </c>
      <c r="T10" s="30">
        <f t="shared" si="5"/>
        <v>17664</v>
      </c>
      <c r="U10" s="31">
        <f t="shared" si="6"/>
        <v>23.958333333333332</v>
      </c>
    </row>
    <row r="11" spans="2:21" ht="18" customHeight="1" x14ac:dyDescent="0.25">
      <c r="B11" s="32" t="str">
        <f>'Data Entry'!A11</f>
        <v>6. Cases Petitioned (Charge Filed)</v>
      </c>
      <c r="C11" s="33">
        <f>'Data Entry'!C11</f>
        <v>24</v>
      </c>
      <c r="D11" s="34">
        <f>IF(((AND(C68&gt;0,C11&gt;0))),(C11/(C68)),0)</f>
        <v>52.173913043478258</v>
      </c>
      <c r="E11" s="33">
        <f>'Data Entry'!D11</f>
        <v>3</v>
      </c>
      <c r="F11" s="34">
        <f>IF(((AND($E$11&gt;0,$D$68&gt;0))),($E$11/($D$68)),0)</f>
        <v>75</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1</v>
      </c>
      <c r="P11" s="42">
        <f t="shared" si="2"/>
        <v>24</v>
      </c>
      <c r="Q11" s="42">
        <f>(C$68*L68)-C11</f>
        <v>22</v>
      </c>
      <c r="R11" s="42">
        <f t="shared" si="3"/>
        <v>50</v>
      </c>
      <c r="S11" s="30">
        <f t="shared" si="4"/>
        <v>88200</v>
      </c>
      <c r="T11" s="30">
        <f t="shared" si="5"/>
        <v>114264</v>
      </c>
      <c r="U11" s="31">
        <f t="shared" si="6"/>
        <v>0.77189666036546944</v>
      </c>
    </row>
    <row r="12" spans="2:21" ht="18" customHeight="1" x14ac:dyDescent="0.25">
      <c r="B12" s="32" t="str">
        <f>'Data Entry'!A12</f>
        <v>7. Cases Resulting in Delinquent Findings</v>
      </c>
      <c r="C12" s="33">
        <f>'Data Entry'!C12</f>
        <v>21</v>
      </c>
      <c r="D12" s="34">
        <f>IF(((AND(C69&gt;0,C12&gt;0))),(C12/(C69)),0)</f>
        <v>87.5</v>
      </c>
      <c r="E12" s="33">
        <f>'Data Entry'!D12</f>
        <v>2</v>
      </c>
      <c r="F12" s="34">
        <f>IF(((AND($D$69&gt;0,$E$12&gt;0))),(E12/(D69)),0)</f>
        <v>66.666666666666671</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21</v>
      </c>
      <c r="Q12" s="42">
        <f>(C69*L69)-C12</f>
        <v>3</v>
      </c>
      <c r="R12" s="42">
        <f t="shared" si="3"/>
        <v>27</v>
      </c>
      <c r="S12" s="30">
        <f t="shared" si="4"/>
        <v>6075</v>
      </c>
      <c r="T12" s="30">
        <f t="shared" si="5"/>
        <v>6624</v>
      </c>
      <c r="U12" s="31">
        <f t="shared" si="6"/>
        <v>0.91711956521739135</v>
      </c>
    </row>
    <row r="13" spans="2:21" ht="18" customHeight="1" x14ac:dyDescent="0.25">
      <c r="B13" s="32" t="str">
        <f>'Data Entry'!A13</f>
        <v>8. Cases Resulting in Probation Placement</v>
      </c>
      <c r="C13" s="33">
        <f>'Data Entry'!C13</f>
        <v>39</v>
      </c>
      <c r="D13" s="34">
        <f>IF(((AND(C70&gt;0,C13&gt;0))),(C13/(C70)),0)</f>
        <v>185.71428571428572</v>
      </c>
      <c r="E13" s="33">
        <f>'Data Entry'!D13</f>
        <v>4</v>
      </c>
      <c r="F13" s="34">
        <f>IF(((AND($D$70&gt;0,$E$13&gt;0))),($E$13/($D$70)),0)</f>
        <v>200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4</v>
      </c>
      <c r="O13" s="42">
        <f>(D70*L70)-E13</f>
        <v>-2</v>
      </c>
      <c r="P13" s="42">
        <f t="shared" si="2"/>
        <v>39</v>
      </c>
      <c r="Q13" s="42">
        <f>(C70*L70)-C13</f>
        <v>-18</v>
      </c>
      <c r="R13" s="42">
        <f t="shared" si="3"/>
        <v>23</v>
      </c>
      <c r="S13" s="30">
        <f t="shared" si="4"/>
        <v>828</v>
      </c>
      <c r="T13" s="30">
        <f t="shared" si="5"/>
        <v>-36120</v>
      </c>
      <c r="U13" s="31">
        <f t="shared" si="6"/>
        <v>-2.2923588039867111E-2</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Entry'!D14</f>
        <v>3</v>
      </c>
      <c r="F14" s="34">
        <f>IF(((AND($D$70&gt;0,$E$14&gt;0))), (($E$14/($D$70))),0)</f>
        <v>150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3</v>
      </c>
      <c r="O14" s="42">
        <f>(D70*L70)-E14</f>
        <v>-1</v>
      </c>
      <c r="P14" s="42">
        <f t="shared" si="2"/>
        <v>1</v>
      </c>
      <c r="Q14" s="42">
        <f>(C70*L70)-C14</f>
        <v>20</v>
      </c>
      <c r="R14" s="42">
        <f t="shared" si="3"/>
        <v>23</v>
      </c>
      <c r="S14" s="30">
        <f t="shared" si="4"/>
        <v>85583</v>
      </c>
      <c r="T14" s="30">
        <f t="shared" si="5"/>
        <v>3192</v>
      </c>
      <c r="U14" s="31">
        <f t="shared" si="6"/>
        <v>26.811716791979951</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24</v>
      </c>
      <c r="R15" s="42">
        <f t="shared" si="3"/>
        <v>27</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4.7E-2</v>
      </c>
      <c r="E42" s="56">
        <f>MAX(C42:D42)</f>
        <v>1.782</v>
      </c>
      <c r="G42" s="1" t="str">
        <f>B42</f>
        <v>per 1000 youth</v>
      </c>
      <c r="L42" s="57">
        <v>1000</v>
      </c>
      <c r="M42" s="57"/>
      <c r="R42" s="49"/>
    </row>
    <row r="43" spans="2:18" ht="15" hidden="1" customHeight="1" x14ac:dyDescent="0.25">
      <c r="B43" s="49" t="s">
        <v>87</v>
      </c>
      <c r="C43" s="56">
        <f>C7/100</f>
        <v>0.19</v>
      </c>
      <c r="D43" s="56">
        <f>E7/100</f>
        <v>0.02</v>
      </c>
      <c r="E43" s="56">
        <f>MAX(C43:D43,0)</f>
        <v>0.19</v>
      </c>
      <c r="G43" s="1" t="str">
        <f>B43</f>
        <v>per 100 arrests</v>
      </c>
      <c r="L43" s="57">
        <v>100</v>
      </c>
      <c r="M43" s="57"/>
      <c r="R43" s="49"/>
    </row>
    <row r="44" spans="2:18" ht="15" hidden="1" customHeight="1" x14ac:dyDescent="0.25">
      <c r="B44" s="49" t="s">
        <v>88</v>
      </c>
      <c r="C44" s="56">
        <f>C8/100</f>
        <v>0.46</v>
      </c>
      <c r="D44" s="56">
        <f>E8/100</f>
        <v>0.04</v>
      </c>
      <c r="E44" s="56">
        <f>MAX(C44:D44,0)</f>
        <v>0.46</v>
      </c>
      <c r="G44" s="1" t="str">
        <f>B44</f>
        <v>per 100 referrals</v>
      </c>
      <c r="L44" s="57">
        <v>100</v>
      </c>
      <c r="M44" s="57"/>
      <c r="R44" s="49"/>
    </row>
    <row r="45" spans="2:18" ht="15" hidden="1" customHeight="1" x14ac:dyDescent="0.25">
      <c r="B45" s="49" t="s">
        <v>89</v>
      </c>
      <c r="C45" s="49">
        <f>C11/100</f>
        <v>0.24</v>
      </c>
      <c r="D45" s="49">
        <f>E11/100</f>
        <v>0.03</v>
      </c>
      <c r="E45" s="56">
        <f>MAX(C45:D45,0)</f>
        <v>0.24</v>
      </c>
      <c r="G45" s="1" t="str">
        <f>B45</f>
        <v>per 100 youth petitioned</v>
      </c>
      <c r="L45" s="57">
        <v>100</v>
      </c>
      <c r="M45" s="57"/>
      <c r="R45" s="49"/>
    </row>
    <row r="46" spans="2:18" ht="15" hidden="1" customHeight="1" x14ac:dyDescent="0.25">
      <c r="B46" s="49" t="s">
        <v>90</v>
      </c>
      <c r="C46" s="49">
        <f>C12/100</f>
        <v>0.21</v>
      </c>
      <c r="D46" s="49">
        <f>E12/100</f>
        <v>0.02</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4.7E-2</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0.19</v>
      </c>
      <c r="D49" s="49">
        <f t="shared" si="9"/>
        <v>0.02</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0.04</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0.03</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0.02</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4.7E-2</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0.02</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0.04</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0.03</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0.02</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4.7E-2</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0.02</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0.04</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0.03</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0.02</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4.7E-2</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0.02</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0.04</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0.03</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0.02</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Oceana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Entry'!F6</f>
        <v>4</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v>
      </c>
      <c r="P7" s="42">
        <f t="shared" ref="P7:P15" si="4">C7</f>
        <v>19</v>
      </c>
      <c r="Q7" s="42">
        <f>C6-C7</f>
        <v>1763</v>
      </c>
      <c r="R7" s="42">
        <f t="shared" ref="R7:R15" si="5">SUM(N7:Q7)</f>
        <v>1786</v>
      </c>
      <c r="S7" s="30">
        <f t="shared" ref="S7:S15" si="6">R7*((((N7*Q7)-(O7*P7))^2))</f>
        <v>10315936</v>
      </c>
      <c r="T7" s="30">
        <f t="shared" ref="T7:T15" si="7">(N7+O7)*(P7+Q7)*(N7+P7)*(O7+Q7)</f>
        <v>239308344</v>
      </c>
      <c r="U7" s="31">
        <f t="shared" ref="U7:U15" si="8">IF((S7&gt;0),S7/T7,"- -")</f>
        <v>4.3107297587584324E-2</v>
      </c>
    </row>
    <row r="8" spans="2:21" ht="18" customHeight="1" x14ac:dyDescent="0.25">
      <c r="B8" s="32" t="str">
        <f>'Data Entry'!A8</f>
        <v>3. Refer to Juvenile Court</v>
      </c>
      <c r="C8" s="33">
        <f>'Data Entry'!C8</f>
        <v>46</v>
      </c>
      <c r="D8" s="34">
        <f>IF((AND(C67&gt;0,C8&gt;0)),(C8/C67),0)</f>
        <v>242.10526315789474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-27</v>
      </c>
      <c r="R8" s="42">
        <f t="shared" si="5"/>
        <v>19.049999999999997</v>
      </c>
      <c r="S8" s="30">
        <f t="shared" si="6"/>
        <v>100.7745</v>
      </c>
      <c r="T8" s="30">
        <f t="shared" si="7"/>
        <v>-1177.7150000000001</v>
      </c>
      <c r="U8" s="31">
        <f t="shared" si="8"/>
        <v>-8.55678156430036E-2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x14ac:dyDescent="0.25">
      <c r="B11" s="32" t="str">
        <f>'Data Entry'!A11</f>
        <v>6. Cases Petitioned (Charge Filed)</v>
      </c>
      <c r="C11" s="33">
        <f>'Data Entry'!C11</f>
        <v>24</v>
      </c>
      <c r="D11" s="34">
        <f>IF(((AND(C68&gt;0,C11&gt;0))),(C11/(C68)),0)</f>
        <v>52.173913043478258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22</v>
      </c>
      <c r="R11" s="42">
        <f t="shared" si="5"/>
        <v>46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87.5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x14ac:dyDescent="0.25">
      <c r="B13" s="32" t="str">
        <f>'Data Entry'!A13</f>
        <v>8. Cases Resulting in Probation Placement</v>
      </c>
      <c r="C13" s="33">
        <f>'Data Entry'!C13</f>
        <v>39</v>
      </c>
      <c r="D13" s="34">
        <f>IF(((AND(C70&gt;0,C13&gt;0))),(C13/(C70)),0)</f>
        <v>185.71428571428572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39</v>
      </c>
      <c r="Q13" s="42">
        <f>(C70*L70)-C13</f>
        <v>-18</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20</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4.0000000000000001E-3</v>
      </c>
      <c r="E42" s="56">
        <f>MAX(C42:D42)</f>
        <v>1.782</v>
      </c>
      <c r="G42" s="1" t="str">
        <f>B42</f>
        <v>per 1000 youth</v>
      </c>
      <c r="L42" s="57">
        <v>1000</v>
      </c>
      <c r="M42" s="57"/>
      <c r="R42" s="49"/>
    </row>
    <row r="43" spans="2:18" ht="15" hidden="1" customHeight="1" x14ac:dyDescent="0.25">
      <c r="B43" s="49" t="s">
        <v>87</v>
      </c>
      <c r="C43" s="56">
        <f>C7/100</f>
        <v>0.19</v>
      </c>
      <c r="D43" s="56">
        <f>E7/100</f>
        <v>0</v>
      </c>
      <c r="E43" s="56">
        <f>MAX(C43:D43,0)</f>
        <v>0.19</v>
      </c>
      <c r="G43" s="1" t="str">
        <f>B43</f>
        <v>per 100 arrests</v>
      </c>
      <c r="L43" s="57">
        <v>100</v>
      </c>
      <c r="M43" s="57"/>
      <c r="R43" s="49"/>
    </row>
    <row r="44" spans="2:18" ht="15" hidden="1" customHeight="1" x14ac:dyDescent="0.25">
      <c r="B44" s="49" t="s">
        <v>88</v>
      </c>
      <c r="C44" s="56">
        <f>C8/100</f>
        <v>0.46</v>
      </c>
      <c r="D44" s="56">
        <f>E8/100</f>
        <v>0</v>
      </c>
      <c r="E44" s="56">
        <f>MAX(C44:D44,0)</f>
        <v>0.46</v>
      </c>
      <c r="G44" s="1" t="str">
        <f>B44</f>
        <v>per 100 referrals</v>
      </c>
      <c r="L44" s="57">
        <v>100</v>
      </c>
      <c r="M44" s="57"/>
      <c r="R44" s="49"/>
    </row>
    <row r="45" spans="2:18" ht="15" hidden="1" customHeight="1" x14ac:dyDescent="0.25">
      <c r="B45" s="49" t="s">
        <v>89</v>
      </c>
      <c r="C45" s="49">
        <f>C11/100</f>
        <v>0.24</v>
      </c>
      <c r="D45" s="49">
        <f>E11/100</f>
        <v>0</v>
      </c>
      <c r="E45" s="56">
        <f>MAX(C45:D45,0)</f>
        <v>0.24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4.0000000000000001E-3</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4.0000000000000001E-3</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4.0000000000000001E-3</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4.0000000000000001E-3</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Oceana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Entry'!E6</f>
        <v>662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Entry'!E7</f>
        <v>2</v>
      </c>
      <c r="F7" s="34">
        <f>IF((AND($E$7&gt;0,$D$66&gt;0)),($E$7/$D$66),0)</f>
        <v>3.0211480362537761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660</v>
      </c>
      <c r="P7" s="42">
        <f t="shared" ref="P7:P15" si="4">C7</f>
        <v>19</v>
      </c>
      <c r="Q7" s="42">
        <f>C6-C7</f>
        <v>1763</v>
      </c>
      <c r="R7" s="42">
        <f t="shared" ref="R7:R15" si="5">SUM(N7:Q7)</f>
        <v>2444</v>
      </c>
      <c r="S7" s="30">
        <f t="shared" ref="S7:S15" si="6">R7*((((N7*Q7)-(O7*P7))^2))</f>
        <v>198580367024</v>
      </c>
      <c r="T7" s="30">
        <f t="shared" ref="T7:T15" si="7">(N7+O7)*(P7+Q7)*(N7+P7)*(O7+Q7)</f>
        <v>60025860972</v>
      </c>
      <c r="U7" s="31">
        <f t="shared" ref="U7:U15" si="8">IF((S7&gt;0),S7/T7,"- -")</f>
        <v>3.3082468757362915</v>
      </c>
    </row>
    <row r="8" spans="2:21" ht="18" customHeight="1" x14ac:dyDescent="0.25">
      <c r="B8" s="32" t="str">
        <f>'Data Entry'!A8</f>
        <v>3. Refer to Juvenile Court</v>
      </c>
      <c r="C8" s="33">
        <f>'Data Entry'!C8</f>
        <v>46</v>
      </c>
      <c r="D8" s="34">
        <f>IF((AND(C67&gt;0,C8&gt;0)),(C8/C67),0)</f>
        <v>242.10526315789474</v>
      </c>
      <c r="E8" s="33">
        <f>'Data Entry'!E8</f>
        <v>10</v>
      </c>
      <c r="F8" s="34">
        <f>IF((AND($E$8&gt;0,$D$67&gt;0)),($E8/$D67),0)</f>
        <v>500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-7.95</v>
      </c>
      <c r="P8" s="42">
        <f t="shared" si="4"/>
        <v>46</v>
      </c>
      <c r="Q8" s="42">
        <f>(C$67*L67)-C8</f>
        <v>-27</v>
      </c>
      <c r="R8" s="42">
        <f t="shared" si="5"/>
        <v>21.049999999999997</v>
      </c>
      <c r="S8" s="30">
        <f t="shared" si="6"/>
        <v>192786.21449999994</v>
      </c>
      <c r="T8" s="30">
        <f t="shared" si="7"/>
        <v>-76232.94</v>
      </c>
      <c r="U8" s="31">
        <f t="shared" si="8"/>
        <v>-2.5289096091532079</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10</v>
      </c>
      <c r="P9" s="42">
        <f t="shared" si="4"/>
        <v>0</v>
      </c>
      <c r="Q9" s="42">
        <f>(C$68*L68)-C9</f>
        <v>46</v>
      </c>
      <c r="R9" s="42">
        <f t="shared" si="5"/>
        <v>56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10</v>
      </c>
      <c r="P10" s="42">
        <f t="shared" si="4"/>
        <v>0</v>
      </c>
      <c r="Q10" s="42">
        <f>(C$68*L68)-C10</f>
        <v>46</v>
      </c>
      <c r="R10" s="42">
        <f t="shared" si="5"/>
        <v>56</v>
      </c>
      <c r="S10" s="30">
        <f t="shared" si="6"/>
        <v>0</v>
      </c>
      <c r="T10" s="30">
        <f t="shared" si="7"/>
        <v>0</v>
      </c>
      <c r="U10" s="31" t="str">
        <f t="shared" si="8"/>
        <v>- -</v>
      </c>
    </row>
    <row r="11" spans="2:21" ht="18" customHeight="1" x14ac:dyDescent="0.25">
      <c r="B11" s="32" t="str">
        <f>'Data Entry'!A11</f>
        <v>6. Cases Petitioned (Charge Filed)</v>
      </c>
      <c r="C11" s="33">
        <f>'Data Entry'!C11</f>
        <v>24</v>
      </c>
      <c r="D11" s="34">
        <f>IF(((AND(C68&gt;0,C11&gt;0))),(C11/(C68)),0)</f>
        <v>52.173913043478258</v>
      </c>
      <c r="E11" s="33">
        <f>'Data Entry'!E11</f>
        <v>6</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4</v>
      </c>
      <c r="P11" s="42">
        <f t="shared" si="4"/>
        <v>24</v>
      </c>
      <c r="Q11" s="42">
        <f>(C$68*L68)-C11</f>
        <v>22</v>
      </c>
      <c r="R11" s="42">
        <f t="shared" si="5"/>
        <v>56</v>
      </c>
      <c r="S11" s="30">
        <f t="shared" si="6"/>
        <v>72576</v>
      </c>
      <c r="T11" s="30">
        <f t="shared" si="7"/>
        <v>358800</v>
      </c>
      <c r="U11" s="31">
        <f t="shared" si="8"/>
        <v>0.2022742474916388</v>
      </c>
    </row>
    <row r="12" spans="2:21" ht="18" customHeight="1" x14ac:dyDescent="0.25">
      <c r="B12" s="32" t="str">
        <f>'Data Entry'!A12</f>
        <v>7. Cases Resulting in Delinquent Findings</v>
      </c>
      <c r="C12" s="33">
        <f>'Data Entry'!C12</f>
        <v>21</v>
      </c>
      <c r="D12" s="34">
        <f>IF(((AND(C69&gt;0,C12&gt;0))),(C12/(C69)),0)</f>
        <v>87.5</v>
      </c>
      <c r="E12" s="33">
        <f>'Data Entry'!E12</f>
        <v>5</v>
      </c>
      <c r="F12" s="34">
        <f>IF(((AND($D$69&gt;0,$E$12&gt;0))),(E12/(D69)),0)</f>
        <v>83.333333333333343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1</v>
      </c>
      <c r="P12" s="42">
        <f t="shared" si="4"/>
        <v>21</v>
      </c>
      <c r="Q12" s="42">
        <f>(C69*L69)-C12</f>
        <v>3</v>
      </c>
      <c r="R12" s="42">
        <f t="shared" si="5"/>
        <v>30</v>
      </c>
      <c r="S12" s="30">
        <f t="shared" si="6"/>
        <v>1080</v>
      </c>
      <c r="T12" s="30">
        <f t="shared" si="7"/>
        <v>14976</v>
      </c>
      <c r="U12" s="31">
        <f t="shared" si="8"/>
        <v>7.2115384615384609E-2</v>
      </c>
    </row>
    <row r="13" spans="2:21" ht="18" customHeight="1" x14ac:dyDescent="0.25">
      <c r="B13" s="32" t="str">
        <f>'Data Entry'!A13</f>
        <v>8. Cases Resulting in Probation Placement</v>
      </c>
      <c r="C13" s="33">
        <f>'Data Entry'!C13</f>
        <v>39</v>
      </c>
      <c r="D13" s="34">
        <f>IF(((AND(C70&gt;0,C13&gt;0))),(C13/(C70)),0)</f>
        <v>185.71428571428572</v>
      </c>
      <c r="E13" s="33">
        <f>'Data Entry'!E13</f>
        <v>10</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10</v>
      </c>
      <c r="O13" s="42">
        <f>(D70*L70)-E13</f>
        <v>-5</v>
      </c>
      <c r="P13" s="42">
        <f t="shared" si="4"/>
        <v>39</v>
      </c>
      <c r="Q13" s="42">
        <f>(C70*L70)-C13</f>
        <v>-18</v>
      </c>
      <c r="R13" s="42">
        <f t="shared" si="5"/>
        <v>26</v>
      </c>
      <c r="S13" s="30">
        <f t="shared" si="6"/>
        <v>5850</v>
      </c>
      <c r="T13" s="30">
        <f t="shared" si="7"/>
        <v>-118335</v>
      </c>
      <c r="U13" s="31">
        <f t="shared" si="8"/>
        <v>-4.9435923437698058E-2</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5</v>
      </c>
      <c r="P14" s="42">
        <f t="shared" si="4"/>
        <v>1</v>
      </c>
      <c r="Q14" s="42">
        <f>(C70*L70)-C14</f>
        <v>20</v>
      </c>
      <c r="R14" s="42">
        <f t="shared" si="5"/>
        <v>26</v>
      </c>
      <c r="S14" s="30">
        <f t="shared" si="6"/>
        <v>650</v>
      </c>
      <c r="T14" s="30">
        <f t="shared" si="7"/>
        <v>2625</v>
      </c>
      <c r="U14" s="31">
        <f t="shared" si="8"/>
        <v>0.24761904761904763</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24</v>
      </c>
      <c r="R15" s="42">
        <f t="shared" si="5"/>
        <v>30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0.66200000000000003</v>
      </c>
      <c r="E42" s="56">
        <f>MAX(C42:D42)</f>
        <v>1.782</v>
      </c>
      <c r="G42" s="1" t="str">
        <f>B42</f>
        <v>per 1000 youth</v>
      </c>
      <c r="L42" s="57">
        <v>1000</v>
      </c>
      <c r="M42" s="57"/>
      <c r="R42" s="49"/>
    </row>
    <row r="43" spans="2:18" ht="15" hidden="1" customHeight="1" x14ac:dyDescent="0.25">
      <c r="B43" s="49" t="s">
        <v>87</v>
      </c>
      <c r="C43" s="56">
        <f>C7/100</f>
        <v>0.19</v>
      </c>
      <c r="D43" s="56">
        <f>E7/100</f>
        <v>0.02</v>
      </c>
      <c r="E43" s="56">
        <f>MAX(C43:D43,0)</f>
        <v>0.19</v>
      </c>
      <c r="G43" s="1" t="str">
        <f>B43</f>
        <v>per 100 arrests</v>
      </c>
      <c r="L43" s="57">
        <v>100</v>
      </c>
      <c r="M43" s="57"/>
      <c r="R43" s="49"/>
    </row>
    <row r="44" spans="2:18" ht="15" hidden="1" customHeight="1" x14ac:dyDescent="0.25">
      <c r="B44" s="49" t="s">
        <v>88</v>
      </c>
      <c r="C44" s="56">
        <f>C8/100</f>
        <v>0.46</v>
      </c>
      <c r="D44" s="56">
        <f>E8/100</f>
        <v>0.1</v>
      </c>
      <c r="E44" s="56">
        <f>MAX(C44:D44,0)</f>
        <v>0.46</v>
      </c>
      <c r="G44" s="1" t="str">
        <f>B44</f>
        <v>per 100 referrals</v>
      </c>
      <c r="L44" s="57">
        <v>100</v>
      </c>
      <c r="M44" s="57"/>
      <c r="R44" s="49"/>
    </row>
    <row r="45" spans="2:18" ht="15" hidden="1" customHeight="1" x14ac:dyDescent="0.25">
      <c r="B45" s="49" t="s">
        <v>89</v>
      </c>
      <c r="C45" s="49">
        <f>C11/100</f>
        <v>0.24</v>
      </c>
      <c r="D45" s="49">
        <f>E11/100</f>
        <v>0.06</v>
      </c>
      <c r="E45" s="56">
        <f>MAX(C45:D45,0)</f>
        <v>0.24</v>
      </c>
      <c r="G45" s="1" t="str">
        <f>B45</f>
        <v>per 100 youth petitioned</v>
      </c>
      <c r="L45" s="57">
        <v>100</v>
      </c>
      <c r="M45" s="57"/>
      <c r="R45" s="49"/>
    </row>
    <row r="46" spans="2:18" ht="15" hidden="1" customHeight="1" x14ac:dyDescent="0.25">
      <c r="B46" s="49" t="s">
        <v>90</v>
      </c>
      <c r="C46" s="49">
        <f>C12/100</f>
        <v>0.21</v>
      </c>
      <c r="D46" s="49">
        <f>E12/100</f>
        <v>0.05</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0.66200000000000003</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0.19</v>
      </c>
      <c r="D49" s="49">
        <f t="shared" si="9"/>
        <v>0.02</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0.1</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0.06</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0.05</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0.66200000000000003</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0.02</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0.1</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0.06</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0.05</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0.66200000000000003</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0.02</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0.1</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0.06</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0.05</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0.66200000000000003</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0.02</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0.1</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0.06</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0.05</v>
      </c>
      <c r="E70" s="56">
        <f>MAX(C70:D70)</f>
        <v>0.21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Oceana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1763</v>
      </c>
      <c r="R7" s="42">
        <f t="shared" ref="R7:R15" si="5">SUM(N7:Q7)</f>
        <v>1782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46</v>
      </c>
      <c r="D8" s="34">
        <f>IF((AND(C67&gt;0,C8&gt;0)),(C8/C67),0)</f>
        <v>242.10526315789474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-27</v>
      </c>
      <c r="R8" s="42">
        <f t="shared" si="5"/>
        <v>19.049999999999997</v>
      </c>
      <c r="S8" s="30">
        <f t="shared" si="6"/>
        <v>100.7745</v>
      </c>
      <c r="T8" s="30">
        <f t="shared" si="7"/>
        <v>-1177.7150000000001</v>
      </c>
      <c r="U8" s="31">
        <f t="shared" si="8"/>
        <v>-8.55678156430036E-2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x14ac:dyDescent="0.25">
      <c r="B11" s="32" t="str">
        <f>'Data Entry'!A11</f>
        <v>6. Cases Petitioned (Charge Filed)</v>
      </c>
      <c r="C11" s="33">
        <f>'Data Entry'!C11</f>
        <v>24</v>
      </c>
      <c r="D11" s="34">
        <f>IF(((AND(C68&gt;0,C11&gt;0))),(C11/(C68)),0)</f>
        <v>52.173913043478258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22</v>
      </c>
      <c r="R11" s="42">
        <f t="shared" si="5"/>
        <v>46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87.5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x14ac:dyDescent="0.25">
      <c r="B13" s="32" t="str">
        <f>'Data Entry'!A13</f>
        <v>8. Cases Resulting in Probation Placement</v>
      </c>
      <c r="C13" s="33">
        <f>'Data Entry'!C13</f>
        <v>39</v>
      </c>
      <c r="D13" s="34">
        <f>IF(((AND(C70&gt;0,C13&gt;0))),(C13/(C70)),0)</f>
        <v>185.71428571428572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39</v>
      </c>
      <c r="Q13" s="42">
        <f>(C70*L70)-C13</f>
        <v>-18</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20</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0</v>
      </c>
      <c r="E42" s="56">
        <f>MAX(C42:D42)</f>
        <v>1.782</v>
      </c>
      <c r="G42" s="1" t="str">
        <f>B42</f>
        <v>per 1000 youth</v>
      </c>
      <c r="L42" s="57">
        <v>1000</v>
      </c>
      <c r="M42" s="57"/>
      <c r="R42" s="49"/>
    </row>
    <row r="43" spans="2:18" ht="15" hidden="1" customHeight="1" x14ac:dyDescent="0.25">
      <c r="B43" s="49" t="s">
        <v>87</v>
      </c>
      <c r="C43" s="56">
        <f>C7/100</f>
        <v>0.19</v>
      </c>
      <c r="D43" s="56">
        <f>E7/100</f>
        <v>0</v>
      </c>
      <c r="E43" s="56">
        <f>MAX(C43:D43,0)</f>
        <v>0.19</v>
      </c>
      <c r="G43" s="1" t="str">
        <f>B43</f>
        <v>per 100 arrests</v>
      </c>
      <c r="L43" s="57">
        <v>100</v>
      </c>
      <c r="M43" s="57"/>
      <c r="R43" s="49"/>
    </row>
    <row r="44" spans="2:18" ht="15" hidden="1" customHeight="1" x14ac:dyDescent="0.25">
      <c r="B44" s="49" t="s">
        <v>88</v>
      </c>
      <c r="C44" s="56">
        <f>C8/100</f>
        <v>0.46</v>
      </c>
      <c r="D44" s="56">
        <f>E8/100</f>
        <v>0</v>
      </c>
      <c r="E44" s="56">
        <f>MAX(C44:D44,0)</f>
        <v>0.46</v>
      </c>
      <c r="G44" s="1" t="str">
        <f>B44</f>
        <v>per 100 referrals</v>
      </c>
      <c r="L44" s="57">
        <v>100</v>
      </c>
      <c r="M44" s="57"/>
      <c r="R44" s="49"/>
    </row>
    <row r="45" spans="2:18" ht="15" hidden="1" customHeight="1" x14ac:dyDescent="0.25">
      <c r="B45" s="49" t="s">
        <v>89</v>
      </c>
      <c r="C45" s="49">
        <f>C11/100</f>
        <v>0.24</v>
      </c>
      <c r="D45" s="49">
        <f>E11/100</f>
        <v>0</v>
      </c>
      <c r="E45" s="56">
        <f>MAX(C45:D45,0)</f>
        <v>0.24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0</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0</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0</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0</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Oceana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1782</v>
      </c>
      <c r="D6" s="34"/>
      <c r="E6" s="33">
        <f>'Data Entry'!H6</f>
        <v>24</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19</v>
      </c>
      <c r="D7" s="34">
        <f>IF((AND(C66&gt;0,C7&gt;0)),(C7/C66),0)</f>
        <v>10.662177328843995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24</v>
      </c>
      <c r="P7" s="42">
        <f t="shared" ref="P7:P15" si="4">C7</f>
        <v>19</v>
      </c>
      <c r="Q7" s="42">
        <f>C6-C7</f>
        <v>1763</v>
      </c>
      <c r="R7" s="42">
        <f t="shared" ref="R7:R15" si="5">SUM(N7:Q7)</f>
        <v>1806</v>
      </c>
      <c r="S7" s="30">
        <f t="shared" ref="S7:S15" si="6">R7*((((N7*Q7)-(O7*P7))^2))</f>
        <v>375532416</v>
      </c>
      <c r="T7" s="30">
        <f t="shared" ref="T7:T15" si="7">(N7+O7)*(P7+Q7)*(N7+P7)*(O7+Q7)</f>
        <v>1452101904</v>
      </c>
      <c r="U7" s="31">
        <f t="shared" ref="U7:U15" si="8">IF((S7&gt;0),S7/T7,"- -")</f>
        <v>0.25861299056598441</v>
      </c>
    </row>
    <row r="8" spans="2:21" ht="18" customHeight="1" x14ac:dyDescent="0.25">
      <c r="B8" s="32" t="str">
        <f>'Data Entry'!A8</f>
        <v>3. Refer to Juvenile Court</v>
      </c>
      <c r="C8" s="33">
        <f>'Data Entry'!C8</f>
        <v>46</v>
      </c>
      <c r="D8" s="34">
        <f>IF((AND(C67&gt;0,C8&gt;0)),(C8/C67),0)</f>
        <v>242.10526315789474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46</v>
      </c>
      <c r="Q8" s="42">
        <f>(C$67*L67)-C8</f>
        <v>-27</v>
      </c>
      <c r="R8" s="42">
        <f t="shared" si="5"/>
        <v>19.049999999999997</v>
      </c>
      <c r="S8" s="30">
        <f t="shared" si="6"/>
        <v>100.7745</v>
      </c>
      <c r="T8" s="30">
        <f t="shared" si="7"/>
        <v>-1177.7150000000001</v>
      </c>
      <c r="U8" s="31">
        <f t="shared" si="8"/>
        <v>-8.55678156430036E-2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46</v>
      </c>
      <c r="R9" s="42">
        <f t="shared" si="5"/>
        <v>46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46</v>
      </c>
      <c r="R10" s="42">
        <f t="shared" si="5"/>
        <v>46</v>
      </c>
      <c r="S10" s="30">
        <f t="shared" si="6"/>
        <v>0</v>
      </c>
      <c r="T10" s="30">
        <f t="shared" si="7"/>
        <v>0</v>
      </c>
      <c r="U10" s="31" t="str">
        <f t="shared" si="8"/>
        <v>- -</v>
      </c>
    </row>
    <row r="11" spans="2:21" ht="18" customHeight="1" x14ac:dyDescent="0.25">
      <c r="B11" s="32" t="str">
        <f>'Data Entry'!A11</f>
        <v>6. Cases Petitioned (Charge Filed)</v>
      </c>
      <c r="C11" s="33">
        <f>'Data Entry'!C11</f>
        <v>24</v>
      </c>
      <c r="D11" s="34">
        <f>IF(((AND(C68&gt;0,C11&gt;0))),(C11/(C68)),0)</f>
        <v>52.173913043478258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22</v>
      </c>
      <c r="R11" s="42">
        <f t="shared" si="5"/>
        <v>46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87.5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x14ac:dyDescent="0.25">
      <c r="B13" s="32" t="str">
        <f>'Data Entry'!A13</f>
        <v>8. Cases Resulting in Probation Placement</v>
      </c>
      <c r="C13" s="33">
        <f>'Data Entry'!C13</f>
        <v>39</v>
      </c>
      <c r="D13" s="34">
        <f>IF(((AND(C70&gt;0,C13&gt;0))),(C13/(C70)),0)</f>
        <v>185.71428571428572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39</v>
      </c>
      <c r="Q13" s="42">
        <f>(C70*L70)-C13</f>
        <v>-18</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4.7619047619047619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20</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1.782</v>
      </c>
      <c r="D42" s="56">
        <f>E6/1000</f>
        <v>2.4E-2</v>
      </c>
      <c r="E42" s="56">
        <f>MAX(C42:D42)</f>
        <v>1.782</v>
      </c>
      <c r="G42" s="1" t="str">
        <f>B42</f>
        <v>per 1000 youth</v>
      </c>
      <c r="L42" s="57">
        <v>1000</v>
      </c>
      <c r="M42" s="57"/>
      <c r="R42" s="49"/>
    </row>
    <row r="43" spans="2:18" ht="15" hidden="1" customHeight="1" x14ac:dyDescent="0.25">
      <c r="B43" s="49" t="s">
        <v>87</v>
      </c>
      <c r="C43" s="56">
        <f>C7/100</f>
        <v>0.19</v>
      </c>
      <c r="D43" s="56">
        <f>E7/100</f>
        <v>0</v>
      </c>
      <c r="E43" s="56">
        <f>MAX(C43:D43,0)</f>
        <v>0.19</v>
      </c>
      <c r="G43" s="1" t="str">
        <f>B43</f>
        <v>per 100 arrests</v>
      </c>
      <c r="L43" s="57">
        <v>100</v>
      </c>
      <c r="M43" s="57"/>
      <c r="R43" s="49"/>
    </row>
    <row r="44" spans="2:18" ht="15" hidden="1" customHeight="1" x14ac:dyDescent="0.25">
      <c r="B44" s="49" t="s">
        <v>88</v>
      </c>
      <c r="C44" s="56">
        <f>C8/100</f>
        <v>0.46</v>
      </c>
      <c r="D44" s="56">
        <f>E8/100</f>
        <v>0</v>
      </c>
      <c r="E44" s="56">
        <f>MAX(C44:D44,0)</f>
        <v>0.46</v>
      </c>
      <c r="G44" s="1" t="str">
        <f>B44</f>
        <v>per 100 referrals</v>
      </c>
      <c r="L44" s="57">
        <v>100</v>
      </c>
      <c r="M44" s="57"/>
      <c r="R44" s="49"/>
    </row>
    <row r="45" spans="2:18" ht="15" hidden="1" customHeight="1" x14ac:dyDescent="0.25">
      <c r="B45" s="49" t="s">
        <v>89</v>
      </c>
      <c r="C45" s="49">
        <f>C11/100</f>
        <v>0.24</v>
      </c>
      <c r="D45" s="49">
        <f>E11/100</f>
        <v>0</v>
      </c>
      <c r="E45" s="56">
        <f>MAX(C45:D45,0)</f>
        <v>0.24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1.782</v>
      </c>
      <c r="D48" s="56">
        <f>D42</f>
        <v>2.4E-2</v>
      </c>
      <c r="E48" s="56">
        <f>MAX(C48:D48)</f>
        <v>1.782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0.46</v>
      </c>
      <c r="D50" s="49">
        <f t="shared" si="9"/>
        <v>0</v>
      </c>
      <c r="E50" s="49">
        <f>MAX(C50:D50)</f>
        <v>0.46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1.782</v>
      </c>
      <c r="D54" s="56">
        <f>D48</f>
        <v>2.4E-2</v>
      </c>
      <c r="E54" s="56">
        <f>MAX(C54:D54)</f>
        <v>1.782</v>
      </c>
      <c r="G54" s="1" t="str">
        <f>G48</f>
        <v>per 1000 youth</v>
      </c>
      <c r="L54" s="58">
        <f>L48</f>
        <v>1000</v>
      </c>
      <c r="M54" s="58"/>
    </row>
    <row r="55" spans="2:18" ht="15" hidden="1" customHeight="1" x14ac:dyDescent="0.25">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x14ac:dyDescent="0.25">
      <c r="B56" s="49" t="str">
        <f t="shared" si="10"/>
        <v>per 100 referrals</v>
      </c>
      <c r="C56" s="49">
        <f t="shared" si="10"/>
        <v>0.46</v>
      </c>
      <c r="D56" s="49">
        <f t="shared" si="10"/>
        <v>0</v>
      </c>
      <c r="E56" s="49">
        <f>MAX(C56:D56)</f>
        <v>0.46</v>
      </c>
      <c r="G56" s="1" t="str">
        <f>G50</f>
        <v>per 100 referrals</v>
      </c>
      <c r="L56" s="58">
        <f>IF(($E50&gt;0),L50,L49)</f>
        <v>100</v>
      </c>
      <c r="M56" s="58"/>
    </row>
    <row r="57" spans="2:18" ht="15" hidden="1" customHeight="1" x14ac:dyDescent="0.25">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1.782</v>
      </c>
      <c r="D60" s="56">
        <f>D54</f>
        <v>2.4E-2</v>
      </c>
      <c r="E60" s="56">
        <f>MAX(C60:D60)</f>
        <v>1.782</v>
      </c>
      <c r="G60" s="1" t="str">
        <f>G54</f>
        <v>per 1000 youth</v>
      </c>
      <c r="L60" s="58">
        <f>L54</f>
        <v>1000</v>
      </c>
      <c r="M60" s="58"/>
    </row>
    <row r="61" spans="2:18" ht="15" hidden="1" customHeight="1" x14ac:dyDescent="0.25">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x14ac:dyDescent="0.25">
      <c r="B62" s="49" t="str">
        <f t="shared" si="11"/>
        <v>per 100 referrals</v>
      </c>
      <c r="C62" s="49">
        <f t="shared" si="11"/>
        <v>0.46</v>
      </c>
      <c r="D62" s="49">
        <f t="shared" si="11"/>
        <v>0</v>
      </c>
      <c r="E62" s="49">
        <f>MAX(C62:D62)</f>
        <v>0.46</v>
      </c>
      <c r="G62" s="1" t="str">
        <f>G56</f>
        <v>per 100 referrals</v>
      </c>
      <c r="L62" s="58">
        <f>IF(($E56&gt;0),L56,L55)</f>
        <v>100</v>
      </c>
      <c r="M62" s="58"/>
    </row>
    <row r="63" spans="2:18" ht="15" hidden="1" customHeight="1" x14ac:dyDescent="0.25">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1.782</v>
      </c>
      <c r="D66" s="56">
        <f>D60</f>
        <v>2.4E-2</v>
      </c>
      <c r="E66" s="56">
        <f>MAX(C66:D66)</f>
        <v>1.782</v>
      </c>
      <c r="G66" s="1" t="str">
        <f>G60</f>
        <v>per 1000 youth</v>
      </c>
      <c r="L66" s="58">
        <f>L60</f>
        <v>1000</v>
      </c>
      <c r="M66" s="58">
        <f>IF((B66=G66),1,2)</f>
        <v>1</v>
      </c>
    </row>
    <row r="67" spans="2:13" ht="15" hidden="1" customHeight="1" x14ac:dyDescent="0.25">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x14ac:dyDescent="0.25">
      <c r="B68" s="49" t="str">
        <f t="shared" si="12"/>
        <v>per 100 referrals</v>
      </c>
      <c r="C68" s="49">
        <f t="shared" si="12"/>
        <v>0.46</v>
      </c>
      <c r="D68" s="49">
        <f t="shared" si="12"/>
        <v>0</v>
      </c>
      <c r="E68" s="49">
        <f>MAX(C68:D68)</f>
        <v>0.46</v>
      </c>
      <c r="G68" s="1" t="str">
        <f>G62</f>
        <v>per 100 referrals</v>
      </c>
      <c r="L68" s="58">
        <f>IF(($E62&gt;0),L62,L61)</f>
        <v>100</v>
      </c>
      <c r="M68" s="58">
        <f>IF((B68=G68),1,2)</f>
        <v>1</v>
      </c>
    </row>
    <row r="69" spans="2:13" ht="15" hidden="1" customHeight="1" x14ac:dyDescent="0.25">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U47JMPN4QEAR-1806752177-30210</_dlc_DocId>
    <_dlc_DocIdUrl xmlns="ac3811b5-0f3e-49e2-ba69-f2ffa0c782af">
      <Url>https://michiganphi.sharepoint.com/sites/CMDMC/_layouts/15/DocIdRedir.aspx?ID=U47JMPN4QEAR-1806752177-30210</Url>
      <Description>U47JMPN4QEAR-1806752177-30210</Description>
    </_dlc_DocIdUrl>
  </documentManagement>
</p:properties>
</file>

<file path=customXml/itemProps1.xml><?xml version="1.0" encoding="utf-8"?>
<ds:datastoreItem xmlns:ds="http://schemas.openxmlformats.org/officeDocument/2006/customXml" ds:itemID="{38185C30-4AF6-4342-B67F-E72F95B96E18}"/>
</file>

<file path=customXml/itemProps2.xml><?xml version="1.0" encoding="utf-8"?>
<ds:datastoreItem xmlns:ds="http://schemas.openxmlformats.org/officeDocument/2006/customXml" ds:itemID="{4A5CAA68-2862-4A31-921F-54DE0287E055}"/>
</file>

<file path=customXml/itemProps3.xml><?xml version="1.0" encoding="utf-8"?>
<ds:datastoreItem xmlns:ds="http://schemas.openxmlformats.org/officeDocument/2006/customXml" ds:itemID="{29A06FEB-FA0D-4A38-ADC5-E51913AF14DA}"/>
</file>

<file path=customXml/itemProps4.xml><?xml version="1.0" encoding="utf-8"?>
<ds:datastoreItem xmlns:ds="http://schemas.openxmlformats.org/officeDocument/2006/customXml" ds:itemID="{417D6A1F-FBD0-4B4C-AD20-3FF56B3A9F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0f9eb59d-49fe-4dcc-9c48-2c14548ad0bd</vt:lpwstr>
  </property>
</Properties>
</file>