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5034E08-B59E-4D43-AF2B-5D96CFC35695}" xr6:coauthVersionLast="47" xr6:coauthVersionMax="47" xr10:uidLastSave="{2BEEB022-0522-4DA3-B9A1-6E6B44A8A0C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J9" i="1"/>
  <c r="J10" i="1"/>
  <c r="J11" i="1"/>
  <c r="J12" i="1"/>
  <c r="J13" i="1"/>
  <c r="J14" i="1"/>
  <c r="J15" i="1"/>
  <c r="J8" i="1"/>
  <c r="B9" i="1" l="1"/>
  <c r="B8" i="1" l="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8"/>
  <c r="M66" i="8"/>
  <c r="F27" i="6"/>
  <c r="M66" i="6"/>
  <c r="F27" i="3"/>
  <c r="M66" i="3"/>
  <c r="F27" i="2"/>
  <c r="M66" i="2"/>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4" i="16"/>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3" i="16"/>
  <c r="E12" i="2"/>
  <c r="J6" i="1"/>
  <c r="E6" i="2"/>
  <c r="D42" i="2" s="1"/>
  <c r="D48" i="2" s="1"/>
  <c r="D54" i="2" s="1"/>
  <c r="D60" i="2" s="1"/>
  <c r="D66" i="2" s="1"/>
  <c r="E3" i="10"/>
  <c r="F3" i="10"/>
  <c r="E6" i="4"/>
  <c r="J10" i="16"/>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5" i="16"/>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2" i="16"/>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6" i="16"/>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1" i="16"/>
  <c r="L6" i="3"/>
  <c r="C43" i="6"/>
  <c r="E43" i="6" s="1"/>
  <c r="P7" i="6"/>
  <c r="C43" i="2"/>
  <c r="P7" i="2"/>
  <c r="D42" i="5"/>
  <c r="D48" i="5" s="1"/>
  <c r="D54" i="5" s="1"/>
  <c r="D60" i="5" s="1"/>
  <c r="D66" i="5" s="1"/>
  <c r="J9" i="16"/>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B52" i="7" s="1"/>
  <c r="E46" i="3"/>
  <c r="L52" i="3"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B49" i="7"/>
  <c r="C49" i="7"/>
  <c r="D52" i="3"/>
  <c r="B52" i="3"/>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L51" i="2"/>
  <c r="E52" i="3"/>
  <c r="D58" i="3" s="1"/>
  <c r="E49" i="5"/>
  <c r="B55" i="5" s="1"/>
  <c r="D51" i="2"/>
  <c r="E51" i="2" s="1"/>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C55" i="5" l="1"/>
  <c r="D55" i="5"/>
  <c r="L55" i="5"/>
  <c r="L58" i="3"/>
  <c r="C58" i="3"/>
  <c r="E58" i="3" s="1"/>
  <c r="B58" i="3"/>
  <c r="L58" i="8"/>
  <c r="B58" i="8"/>
  <c r="D58" i="8"/>
  <c r="E58" i="5"/>
  <c r="C56" i="2"/>
  <c r="E56" i="2" s="1"/>
  <c r="U7" i="8"/>
  <c r="J7" i="8" s="1"/>
  <c r="M7" i="8" s="1"/>
  <c r="E50" i="8"/>
  <c r="C56" i="8" s="1"/>
  <c r="E58" i="4"/>
  <c r="D64" i="4" s="1"/>
  <c r="E51" i="8"/>
  <c r="L57" i="8" s="1"/>
  <c r="E49" i="8"/>
  <c r="C55" i="8" s="1"/>
  <c r="L62" i="3"/>
  <c r="W8" i="13"/>
  <c r="O7" i="9"/>
  <c r="V8" i="13"/>
  <c r="M8" i="13"/>
  <c r="B56" i="2"/>
  <c r="L56" i="2"/>
  <c r="N7" i="9"/>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56" i="8" l="1"/>
  <c r="L56" i="8"/>
  <c r="L64" i="3"/>
  <c r="E58" i="8"/>
  <c r="L64" i="8" s="1"/>
  <c r="L64" i="5"/>
  <c r="D64" i="5"/>
  <c r="C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Q8" i="13"/>
  <c r="E64" i="5"/>
  <c r="B64" i="8"/>
  <c r="D64" i="8"/>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L70" i="5" s="1"/>
  <c r="F8" i="5"/>
  <c r="E64" i="8" l="1"/>
  <c r="C70" i="5"/>
  <c r="Q13" i="5" s="1"/>
  <c r="B70" i="3"/>
  <c r="M70" i="3" s="1"/>
  <c r="L63" i="8"/>
  <c r="C69" i="7"/>
  <c r="D12" i="7" s="1"/>
  <c r="C63" i="8"/>
  <c r="L69" i="7"/>
  <c r="E63" i="3"/>
  <c r="C69" i="3" s="1"/>
  <c r="D15" i="3" s="1"/>
  <c r="D63" i="8"/>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F33" i="3"/>
  <c r="F34" i="3"/>
  <c r="D70" i="8"/>
  <c r="F13" i="8" s="1"/>
  <c r="L70" i="8"/>
  <c r="Q14" i="8" s="1"/>
  <c r="B70" i="8"/>
  <c r="M70" i="8" s="1"/>
  <c r="E70" i="6"/>
  <c r="D12" i="3"/>
  <c r="Q15" i="7"/>
  <c r="D15" i="7"/>
  <c r="B69" i="3"/>
  <c r="M69" i="3" s="1"/>
  <c r="E63" i="8"/>
  <c r="D69" i="8" s="1"/>
  <c r="F12" i="8" s="1"/>
  <c r="Q12" i="7"/>
  <c r="D69" i="3"/>
  <c r="E69" i="3" s="1"/>
  <c r="L69" i="3"/>
  <c r="Q12" i="3" s="1"/>
  <c r="O14" i="6"/>
  <c r="C69" i="6"/>
  <c r="D12" i="6" s="1"/>
  <c r="B69" i="6"/>
  <c r="M69" i="6" s="1"/>
  <c r="O13" i="6"/>
  <c r="F14" i="6"/>
  <c r="D13" i="3"/>
  <c r="E69" i="7"/>
  <c r="D13" i="6"/>
  <c r="O13" i="3"/>
  <c r="F14" i="3"/>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D13" i="8"/>
  <c r="K14" i="5"/>
  <c r="D70" i="2"/>
  <c r="O14" i="2" s="1"/>
  <c r="D14"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9" i="5" l="1"/>
  <c r="J9" i="5" s="1"/>
  <c r="O13" i="8"/>
  <c r="F14" i="8"/>
  <c r="Q13" i="8"/>
  <c r="U10" i="3"/>
  <c r="J10" i="3" s="1"/>
  <c r="M10" i="3" s="1"/>
  <c r="G10" i="3" s="1"/>
  <c r="I11" i="16" s="1"/>
  <c r="O14" i="8"/>
  <c r="K14" i="8" s="1"/>
  <c r="F33" i="8"/>
  <c r="E70" i="8"/>
  <c r="F34" i="8"/>
  <c r="F15" i="8"/>
  <c r="K12" i="7"/>
  <c r="F15" i="3"/>
  <c r="B69" i="8"/>
  <c r="M69" i="8" s="1"/>
  <c r="O15" i="3"/>
  <c r="F12" i="3"/>
  <c r="U9" i="4"/>
  <c r="J9" i="4" s="1"/>
  <c r="M9" i="4" s="1"/>
  <c r="G9" i="4" s="1"/>
  <c r="G10" i="16" s="1"/>
  <c r="Q15" i="3"/>
  <c r="O12" i="3"/>
  <c r="R12" i="3" s="1"/>
  <c r="S12" i="3" s="1"/>
  <c r="C69" i="8"/>
  <c r="E69" i="8" s="1"/>
  <c r="L69" i="8"/>
  <c r="O15" i="8" s="1"/>
  <c r="F32" i="3"/>
  <c r="R15" i="7"/>
  <c r="S15" i="7" s="1"/>
  <c r="U15" i="7" s="1"/>
  <c r="J15" i="7" s="1"/>
  <c r="F35" i="3"/>
  <c r="U14" i="4"/>
  <c r="J14" i="4" s="1"/>
  <c r="M14" i="4" s="1"/>
  <c r="G14" i="4" s="1"/>
  <c r="G15" i="16" s="1"/>
  <c r="U13" i="4"/>
  <c r="J13" i="4" s="1"/>
  <c r="M13" i="4" s="1"/>
  <c r="G13" i="4" s="1"/>
  <c r="G14" i="16" s="1"/>
  <c r="T12" i="7"/>
  <c r="T13" i="6"/>
  <c r="T14" i="6"/>
  <c r="Q12" i="6"/>
  <c r="Q15" i="6"/>
  <c r="K15" i="7"/>
  <c r="D15" i="6"/>
  <c r="G11" i="3"/>
  <c r="E11" i="9" s="1"/>
  <c r="U10" i="4"/>
  <c r="J10" i="4" s="1"/>
  <c r="M10" i="4" s="1"/>
  <c r="G10" i="4" s="1"/>
  <c r="G11" i="16" s="1"/>
  <c r="K13" i="6"/>
  <c r="O15" i="6"/>
  <c r="F32" i="6"/>
  <c r="R12" i="7"/>
  <c r="S12" i="7" s="1"/>
  <c r="E69" i="6"/>
  <c r="O12" i="6"/>
  <c r="F35" i="6"/>
  <c r="R14" i="6"/>
  <c r="S14" i="6" s="1"/>
  <c r="U14" i="6" s="1"/>
  <c r="J14" i="6" s="1"/>
  <c r="M14" i="6" s="1"/>
  <c r="G14" i="6" s="1"/>
  <c r="M15" i="13" s="1"/>
  <c r="K14" i="6"/>
  <c r="R14" i="3"/>
  <c r="S14" i="3" s="1"/>
  <c r="R13" i="6"/>
  <c r="S13" i="6" s="1"/>
  <c r="K13" i="3"/>
  <c r="T13" i="3"/>
  <c r="K14" i="3"/>
  <c r="T14" i="3"/>
  <c r="R13" i="3"/>
  <c r="S13" i="3" s="1"/>
  <c r="T15" i="7"/>
  <c r="F15" i="6"/>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6" l="1"/>
  <c r="J13" i="6" s="1"/>
  <c r="M13" i="6" s="1"/>
  <c r="G13" i="6" s="1"/>
  <c r="G13" i="9" s="1"/>
  <c r="U13" i="3"/>
  <c r="J13" i="3" s="1"/>
  <c r="L13" i="3" s="1"/>
  <c r="P14" i="16" s="1"/>
  <c r="R14" i="8"/>
  <c r="S14" i="8" s="1"/>
  <c r="K13" i="8"/>
  <c r="T14" i="8"/>
  <c r="R13" i="8"/>
  <c r="S13" i="8" s="1"/>
  <c r="T13" i="8"/>
  <c r="R15" i="3"/>
  <c r="S15" i="3" s="1"/>
  <c r="U15" i="3" s="1"/>
  <c r="J15" i="3" s="1"/>
  <c r="M15" i="3" s="1"/>
  <c r="G15" i="3" s="1"/>
  <c r="I16" i="16" s="1"/>
  <c r="T15" i="3"/>
  <c r="K15" i="3"/>
  <c r="U12" i="7"/>
  <c r="J12" i="7" s="1"/>
  <c r="M12" i="7" s="1"/>
  <c r="F35" i="8"/>
  <c r="F32" i="8"/>
  <c r="U13" i="7"/>
  <c r="J13" i="7" s="1"/>
  <c r="M13" i="7" s="1"/>
  <c r="I12" i="16"/>
  <c r="L9" i="4"/>
  <c r="O10" i="16" s="1"/>
  <c r="T12" i="3"/>
  <c r="U12" i="3" s="1"/>
  <c r="J12" i="3" s="1"/>
  <c r="K12" i="3"/>
  <c r="D12" i="8"/>
  <c r="N30" i="4"/>
  <c r="Q15" i="8"/>
  <c r="R15" i="8" s="1"/>
  <c r="S15" i="8" s="1"/>
  <c r="L15" i="7"/>
  <c r="S16" i="16" s="1"/>
  <c r="R15" i="6"/>
  <c r="S15" i="6" s="1"/>
  <c r="U15" i="6" s="1"/>
  <c r="J15" i="6" s="1"/>
  <c r="M15" i="6" s="1"/>
  <c r="G15" i="6" s="1"/>
  <c r="D9" i="9"/>
  <c r="Q12" i="8"/>
  <c r="D15" i="8"/>
  <c r="M15" i="7"/>
  <c r="O12" i="8"/>
  <c r="L13" i="4"/>
  <c r="O14" i="16" s="1"/>
  <c r="G10" i="13"/>
  <c r="L14" i="4"/>
  <c r="O15" i="16" s="1"/>
  <c r="G11" i="13"/>
  <c r="I12" i="13"/>
  <c r="T12" i="6"/>
  <c r="K12" i="6"/>
  <c r="I11" i="13"/>
  <c r="L10" i="4"/>
  <c r="O11" i="16" s="1"/>
  <c r="R12" i="6"/>
  <c r="S12" i="6" s="1"/>
  <c r="U12" i="6" s="1"/>
  <c r="J12" i="6" s="1"/>
  <c r="M12" i="6" s="1"/>
  <c r="G12" i="6" s="1"/>
  <c r="E10" i="9"/>
  <c r="K15" i="6"/>
  <c r="T15" i="6"/>
  <c r="U14" i="3"/>
  <c r="J14" i="3" s="1"/>
  <c r="L14" i="3" s="1"/>
  <c r="P15" i="16" s="1"/>
  <c r="D10" i="9"/>
  <c r="L13" i="6"/>
  <c r="R14" i="16" s="1"/>
  <c r="M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U14" i="8" l="1"/>
  <c r="J14" i="8" s="1"/>
  <c r="N30" i="8" s="1"/>
  <c r="M13" i="3"/>
  <c r="G13" i="3" s="1"/>
  <c r="E13" i="9" s="1"/>
  <c r="U13" i="8"/>
  <c r="J13" i="8" s="1"/>
  <c r="M13" i="8" s="1"/>
  <c r="G13" i="8" s="1"/>
  <c r="Q14" i="13" s="1"/>
  <c r="L12" i="7"/>
  <c r="S13" i="16" s="1"/>
  <c r="E15" i="9"/>
  <c r="L15" i="3"/>
  <c r="P16" i="16" s="1"/>
  <c r="I16" i="13"/>
  <c r="K15" i="8"/>
  <c r="Y16" i="13"/>
  <c r="U15" i="13"/>
  <c r="L13" i="7"/>
  <c r="S14" i="16" s="1"/>
  <c r="L15" i="6"/>
  <c r="R16" i="16" s="1"/>
  <c r="Q15" i="9"/>
  <c r="U10" i="13"/>
  <c r="M9" i="9"/>
  <c r="U13" i="2"/>
  <c r="J13" i="2" s="1"/>
  <c r="M13" i="2" s="1"/>
  <c r="G13" i="2" s="1"/>
  <c r="E14" i="16" s="1"/>
  <c r="L12" i="3"/>
  <c r="P13" i="16" s="1"/>
  <c r="M12" i="3"/>
  <c r="G12" i="3" s="1"/>
  <c r="I13" i="16" s="1"/>
  <c r="R12" i="8"/>
  <c r="S12" i="8" s="1"/>
  <c r="M13" i="9"/>
  <c r="U14" i="13"/>
  <c r="Q12" i="9"/>
  <c r="T15" i="8"/>
  <c r="U15" i="8" s="1"/>
  <c r="J15" i="8" s="1"/>
  <c r="T12" i="8"/>
  <c r="K12" i="8"/>
  <c r="U11" i="13"/>
  <c r="M10" i="9"/>
  <c r="M14" i="9"/>
  <c r="M14" i="8"/>
  <c r="G14" i="8" s="1"/>
  <c r="K15" i="16" s="1"/>
  <c r="U11" i="7"/>
  <c r="J11" i="7" s="1"/>
  <c r="L11" i="7" s="1"/>
  <c r="S12" i="16" s="1"/>
  <c r="U14" i="2"/>
  <c r="J14" i="2" s="1"/>
  <c r="M14" i="2" s="1"/>
  <c r="G14" i="2" s="1"/>
  <c r="E15" i="16" s="1"/>
  <c r="L14" i="8"/>
  <c r="T15" i="16" s="1"/>
  <c r="P13" i="9"/>
  <c r="L12" i="6"/>
  <c r="R13" i="16" s="1"/>
  <c r="V15" i="13"/>
  <c r="N13" i="9"/>
  <c r="Y13" i="13"/>
  <c r="X14" i="13"/>
  <c r="I14" i="13"/>
  <c r="M14" i="3"/>
  <c r="G14" i="3" s="1"/>
  <c r="N30" i="3"/>
  <c r="U10" i="7"/>
  <c r="J10" i="7" s="1"/>
  <c r="L10" i="7" s="1"/>
  <c r="S11" i="16" s="1"/>
  <c r="V14" i="13"/>
  <c r="N14" i="9"/>
  <c r="I14" i="16"/>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N15" i="9" l="1"/>
  <c r="L13" i="8"/>
  <c r="T14" i="16" s="1"/>
  <c r="K14" i="16"/>
  <c r="I13" i="9"/>
  <c r="V16" i="13"/>
  <c r="Y14" i="13"/>
  <c r="P15" i="9"/>
  <c r="X16" i="13"/>
  <c r="Q13" i="9"/>
  <c r="L13" i="2"/>
  <c r="N14" i="16" s="1"/>
  <c r="U12" i="8"/>
  <c r="J12" i="8" s="1"/>
  <c r="M12" i="8" s="1"/>
  <c r="G12" i="8" s="1"/>
  <c r="K13" i="16" s="1"/>
  <c r="V13" i="13"/>
  <c r="N12" i="9"/>
  <c r="I13" i="13"/>
  <c r="E12" i="9"/>
  <c r="L15" i="8"/>
  <c r="T16" i="16" s="1"/>
  <c r="M15" i="8"/>
  <c r="G15" i="8" s="1"/>
  <c r="K16" i="16" s="1"/>
  <c r="M11" i="7"/>
  <c r="Z15" i="13"/>
  <c r="Q15" i="13"/>
  <c r="I14" i="9"/>
  <c r="R14" i="9"/>
  <c r="P12" i="9"/>
  <c r="E15" i="13"/>
  <c r="C13" i="9"/>
  <c r="E14" i="13"/>
  <c r="C14" i="9"/>
  <c r="L14" i="2"/>
  <c r="N15" i="16" s="1"/>
  <c r="N30" i="2"/>
  <c r="X13" i="13"/>
  <c r="M10" i="7"/>
  <c r="I15" i="16"/>
  <c r="I15" i="13"/>
  <c r="E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Q11" i="9"/>
  <c r="Y12" i="13"/>
  <c r="D15" i="9"/>
  <c r="G16" i="13"/>
  <c r="M10" i="8"/>
  <c r="G10" i="8" s="1"/>
  <c r="K11" i="16" s="1"/>
  <c r="L10" i="8"/>
  <c r="T11" i="16" s="1"/>
  <c r="L11" i="8"/>
  <c r="T12" i="16" s="1"/>
  <c r="M11" i="8"/>
  <c r="G11" i="8" s="1"/>
  <c r="K12" i="16" s="1"/>
  <c r="R13" i="9" l="1"/>
  <c r="Z14" i="13"/>
  <c r="T14" i="13"/>
  <c r="L12" i="8"/>
  <c r="T13" i="16" s="1"/>
  <c r="L13" i="9"/>
  <c r="Z16" i="13"/>
  <c r="R15" i="9"/>
  <c r="Q16" i="13"/>
  <c r="I15" i="9"/>
  <c r="Q13" i="13"/>
  <c r="I12" i="9"/>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<sst xmlns="http://schemas.openxmlformats.org/spreadsheetml/2006/main" count="654" uniqueCount="141">
  <si>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</si>
  <si>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</si>
  <si>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</si>
  <si>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</si>
  <si>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</si>
  <si>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</si>
  <si>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</si>
  <si>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</si>
  <si>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</si>
  <si>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</si>
  <si>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</si>
  <si>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</si>
  <si>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</si>
  <si>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</si>
  <si>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</si>
  <si>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</si>
  <si>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</si>
  <si>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</si>
  <si>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</si>
  <si>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</si>
  <si>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</si>
  <si>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</si>
  <si>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</si>
  <si>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</si>
  <si>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</si>
  <si>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</si>
  <si>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</si>
  <si>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</si>
  <si>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</si>
  <si>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</si>
  <si>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</si>
  <si>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</si>
  <si>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</si>
  <si>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</si>
  <si>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</si>
  <si>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</si>
  <si>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</si>
  <si>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</si>
  <si>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</si>
  <si>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</si>
  <si>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</si>
  <si>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</si>
  <si>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</si>
  <si>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</si>
  <si>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</si>
  <si>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</si>
  <si>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</si>
  <si>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</si>
  <si>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</si>
  <si>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</si>
  <si>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</si>
  <si>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</si>
  <si>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</si>
  <si>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</si>
  <si>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</si>
  <si>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</si>
  <si>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</si>
  <si>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</si>
  <si>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</si>
  <si>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</si>
  <si>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</si>
  <si>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</si>
  <si>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</si>
  <si>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</si>
  <si>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</si>
  <si>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</si>
  <si>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</si>
  <si>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</si>
  <si>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</si>
  <si>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</si>
  <si>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</si>
  <si>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</si>
  <si>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</si>
  <si>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</si>
  <si>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</si>
  <si>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</si>
  <si>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</si>
  <si>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</si>
  <si>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</si>
  <si>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</si>
  <si>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</si>
  <si>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</si>
  <si>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</si>
  <si>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</si>
  <si>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</si>
  <si>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</si>
  <si>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</si>
  <si>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</si>
  <si>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</si>
  <si>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</si>
  <si>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</si>
  <si>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</si>
  <si>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</si>
  <si>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</si>
  <si>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</si>
  <si>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</si>
  <si>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</si>
  <si>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</si>
  <si>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</si>
  <si>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</si>
  <si>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</si>
  <si>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</si>
  <si>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</si>
  <si>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</si>
  <si>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</si>
  <si>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</si>
  <si>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</si>
  <si>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</si>
  <si>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</si>
  <si>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</si>
  <si>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</si>
  <si>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</si>
  <si>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</si>
  <si>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</si>
  <si>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</si>
  <si>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</si>
  <si>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</si>
  <si>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</si>
  <si>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</si>
  <si>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</si>
  <si>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</si>
  <si>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</si>
  <si>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</si>
  <si>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</si>
  <si>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</si>
  <si>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</si>
  <si>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</si>
  <si>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</si>
  <si>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Oakland</t>
  </si>
  <si>
    <t>Item 3.Referral: Oakland County Juvenile Court</t>
  </si>
  <si>
    <t>Item 4.Diversion: Oakland County Juvenile Court</t>
  </si>
  <si>
    <t>Item 5.Detention: Oakland County Juvenile Court</t>
  </si>
  <si>
    <t>Item 7.Delinquent: Oakland County Juvenile Court</t>
  </si>
  <si>
    <t>Item 9.Confinement: Oakland County Juvenile Court</t>
  </si>
  <si>
    <t>Item 6.Petitioned: Oakland County Juvenile Court</t>
  </si>
  <si>
    <t>Item 8.Probation: Oakland County Juvenile Court</t>
  </si>
  <si>
    <t>Item 10.Transferred: Oakland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</si>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</sst>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Oakland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N=253</c:v>
                </c:pt>
                <c:pt idx="2">
                  <c:v>Delinquent Findings, total N=165</c:v>
                </c:pt>
                <c:pt idx="3">
                  <c:v>Petitions, total N=327</c:v>
                </c:pt>
                <c:pt idx="4">
                  <c:v>Detentions, total N=282</c:v>
                </c:pt>
                <c:pt idx="5">
                  <c:v>Referrals, total N=1603</c:v>
                </c:pt>
                <c:pt idx="6">
                  <c:v>Arrests, total N=838</c:v>
                </c:pt>
                <c:pt idx="7">
                  <c:v>Population, total N=120314</c:v>
                </c:pt>
              </c:strCache>
            </c:strRef>
          </c:cat>
          <c:val>
            <c:numRef>
              <c:f>'Stacked 100%'!$B$7:$B$14</c:f>
              <c:numCache>
                <c:formatCode>0%</c:formatCode>
                <c:ptCount val="8"/>
                <c:pt idx="0">
                  <c:v>0</c:v>
                </c:pt>
                <c:pt idx="1">
                  <c:v>0.53754940711462451</c:v>
                </c:pt>
                <c:pt idx="2">
                  <c:v>0.50303030303030305</c:v>
                </c:pt>
                <c:pt idx="3">
                  <c:v>0.52293577981651373</c:v>
                </c:pt>
                <c:pt idx="4">
                  <c:v>0.52127659574468088</c:v>
                </c:pt>
                <c:pt idx="5">
                  <c:v>0.4922021210230817</c:v>
                </c:pt>
                <c:pt idx="6">
                  <c:v>0.59069212410501193</c:v>
                </c:pt>
                <c:pt idx="7">
                  <c:v>0.14999085725684458</c:v>
                </c:pt>
              </c:numCache>
            </c:numRef>
          </c:val>
          <c:extLst>
            <c:ext xmlns:c16="http://schemas.microsoft.com/office/drawing/2014/chart" uri="{C3380CC4-5D6E-409C-BE32-E72D297353CC}">
              <c16:uniqueId val="{00000000-5A59-446F-90F1-4B9D2B13DB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N=253</c:v>
                </c:pt>
                <c:pt idx="2">
                  <c:v>Delinquent Findings, total N=165</c:v>
                </c:pt>
                <c:pt idx="3">
                  <c:v>Petitions, total N=327</c:v>
                </c:pt>
                <c:pt idx="4">
                  <c:v>Detentions, total N=282</c:v>
                </c:pt>
                <c:pt idx="5">
                  <c:v>Referrals, total N=1603</c:v>
                </c:pt>
                <c:pt idx="6">
                  <c:v>Arrests, total N=838</c:v>
                </c:pt>
                <c:pt idx="7">
                  <c:v>Population, total N=120314</c:v>
                </c:pt>
              </c:strCache>
            </c:strRef>
          </c:cat>
          <c:val>
            <c:numRef>
              <c:f>'Stacked 100%'!$C$7:$C$14</c:f>
              <c:numCache>
                <c:formatCode>0%</c:formatCode>
                <c:ptCount val="8"/>
                <c:pt idx="0">
                  <c:v>0</c:v>
                </c:pt>
                <c:pt idx="1">
                  <c:v>1.1857707509881422E-2</c:v>
                </c:pt>
                <c:pt idx="2">
                  <c:v>0</c:v>
                </c:pt>
                <c:pt idx="3">
                  <c:v>3.0581039755351682E-3</c:v>
                </c:pt>
                <c:pt idx="4">
                  <c:v>1.0638297872340425E-2</c:v>
                </c:pt>
                <c:pt idx="5">
                  <c:v>6.8621334996880846E-3</c:v>
                </c:pt>
                <c:pt idx="6">
                  <c:v>3.9379474940334128E-2</c:v>
                </c:pt>
                <c:pt idx="7">
                  <c:v>7.699020895323902E-2</c:v>
                </c:pt>
              </c:numCache>
            </c:numRef>
          </c:val>
          <c:extLst>
            <c:ext xmlns:c16="http://schemas.microsoft.com/office/drawing/2014/chart" uri="{C3380CC4-5D6E-409C-BE32-E72D297353CC}">
              <c16:uniqueId val="{00000001-5A59-446F-90F1-4B9D2B13DB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N=253</c:v>
                </c:pt>
                <c:pt idx="2">
                  <c:v>Delinquent Findings, total N=165</c:v>
                </c:pt>
                <c:pt idx="3">
                  <c:v>Petitions, total N=327</c:v>
                </c:pt>
                <c:pt idx="4">
                  <c:v>Detentions, total N=282</c:v>
                </c:pt>
                <c:pt idx="5">
                  <c:v>Referrals, total N=1603</c:v>
                </c:pt>
                <c:pt idx="6">
                  <c:v>Arrests, total N=838</c:v>
                </c:pt>
                <c:pt idx="7">
                  <c:v>Population, total N=120314</c:v>
                </c:pt>
              </c:strCache>
            </c:strRef>
          </c:cat>
          <c:val>
            <c:numRef>
              <c:f>'Stacked 100%'!$H$7:$H$14</c:f>
              <c:numCache>
                <c:formatCode>0%</c:formatCode>
                <c:ptCount val="8"/>
                <c:pt idx="0">
                  <c:v>0</c:v>
                </c:pt>
                <c:pt idx="1">
                  <c:v>3.5932446999640676E-4</c:v>
                </c:pt>
                <c:pt idx="2">
                  <c:v>3.6730945821854911E-4</c:v>
                </c:pt>
                <c:pt idx="3">
                  <c:v>1.1222399910220802E-4</c:v>
                </c:pt>
                <c:pt idx="4">
                  <c:v>2.8922086414164282E-4</c:v>
                </c:pt>
                <c:pt idx="5">
                  <c:v>1.7512391963135246E-5</c:v>
                </c:pt>
                <c:pt idx="6">
                  <c:v>1.7088077648224835E-5</c:v>
                </c:pt>
                <c:pt idx="7">
                  <c:v>8.4411833441853603E-7</c:v>
                </c:pt>
              </c:numCache>
            </c:numRef>
          </c:val>
          <c:extLst>
            <c:ext xmlns:c16="http://schemas.microsoft.com/office/drawing/2014/chart" uri="{C3380CC4-5D6E-409C-BE32-E72D297353CC}">
              <c16:uniqueId val="{00000002-5A59-446F-90F1-4B9D2B13DB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N=253</c:v>
                </c:pt>
                <c:pt idx="2">
                  <c:v>Delinquent Findings, total N=165</c:v>
                </c:pt>
                <c:pt idx="3">
                  <c:v>Petitions, total N=327</c:v>
                </c:pt>
                <c:pt idx="4">
                  <c:v>Detentions, total N=282</c:v>
                </c:pt>
                <c:pt idx="5">
                  <c:v>Referrals, total N=1603</c:v>
                </c:pt>
                <c:pt idx="6">
                  <c:v>Arrests, total N=838</c:v>
                </c:pt>
                <c:pt idx="7">
                  <c:v>Population, total N=120314</c:v>
                </c:pt>
              </c:strCache>
            </c:strRef>
          </c:cat>
          <c:val>
            <c:numRef>
              <c:f>'Stacked 100%'!$I$7:$I$14</c:f>
              <c:numCache>
                <c:formatCode>0%</c:formatCode>
                <c:ptCount val="8"/>
                <c:pt idx="0">
                  <c:v>0</c:v>
                </c:pt>
                <c:pt idx="1">
                  <c:v>0.34387351778656128</c:v>
                </c:pt>
                <c:pt idx="2">
                  <c:v>0.41818181818181815</c:v>
                </c:pt>
                <c:pt idx="3">
                  <c:v>0.42507645259938837</c:v>
                </c:pt>
                <c:pt idx="4">
                  <c:v>0.36879432624113473</c:v>
                </c:pt>
                <c:pt idx="5">
                  <c:v>0.42794759825327511</c:v>
                </c:pt>
                <c:pt idx="6">
                  <c:v>0.34486873508353222</c:v>
                </c:pt>
                <c:pt idx="7">
                  <c:v>0.67145968050268467</c:v>
                </c:pt>
              </c:numCache>
            </c:numRef>
          </c:val>
          <c:extLst>
            <c:ext xmlns:c16="http://schemas.microsoft.com/office/drawing/2014/chart" uri="{C3380CC4-5D6E-409C-BE32-E72D297353CC}">
              <c16:uniqueId val="{00000003-5A59-446F-90F1-4B9D2B13DB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N=253</c:v>
                </c:pt>
                <c:pt idx="2">
                  <c:v>Delinquent Findings, total N=165</c:v>
                </c:pt>
                <c:pt idx="3">
                  <c:v>Petitions, total N=327</c:v>
                </c:pt>
                <c:pt idx="4">
                  <c:v>Detentions, total N=282</c:v>
                </c:pt>
                <c:pt idx="5">
                  <c:v>Referrals, total N=1603</c:v>
                </c:pt>
                <c:pt idx="6">
                  <c:v>Arrests, total N=838</c:v>
                </c:pt>
                <c:pt idx="7">
                  <c:v>Population, total N=120314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A59-446F-90F1-4B9D2B13DB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120314</v>
      </c>
      <c r="C6" s="11">
        <v>80786</v>
      </c>
      <c r="D6" s="11">
        <v>18046</v>
      </c>
      <c r="E6" s="11">
        <v>9263</v>
      </c>
      <c r="F6" s="11">
        <v>11744</v>
      </c>
      <c r="G6" s="11"/>
      <c r="H6" s="11">
        <v>475</v>
      </c>
      <c r="I6" s="11"/>
      <c r="J6" s="91">
        <f>SUM(D6:I6)</f>
        <v>39528</v>
      </c>
      <c r="K6" s="92"/>
    </row>
    <row r="7" spans="1:11" ht="15.75" customHeight="1" thickBot="1">
      <c r="A7" s="10" t="s">
        <v>8</v>
      </c>
      <c r="B7" s="11">
        <f t="shared" ref="B7:B15" si="0">SUM(C7:I7)+K7</f>
        <v>838</v>
      </c>
      <c r="C7" s="11">
        <v>289</v>
      </c>
      <c r="D7" s="11">
        <v>495</v>
      </c>
      <c r="E7" s="11">
        <v>33</v>
      </c>
      <c r="F7" s="11">
        <v>8</v>
      </c>
      <c r="G7" s="11">
        <v>0</v>
      </c>
      <c r="H7" s="11">
        <v>4</v>
      </c>
      <c r="I7" s="11"/>
      <c r="J7" s="91">
        <f t="shared" ref="J7" si="1">SUM(D7:I7)</f>
        <v>540</v>
      </c>
      <c r="K7" s="92">
        <v>9</v>
      </c>
    </row>
    <row r="8" spans="1:11" ht="15.75" customHeight="1" thickBot="1">
      <c r="A8" s="10" t="s">
        <v>9</v>
      </c>
      <c r="B8" s="11">
        <f t="shared" si="0"/>
        <v>1603</v>
      </c>
      <c r="C8" s="11">
        <v>686</v>
      </c>
      <c r="D8" s="11">
        <v>789</v>
      </c>
      <c r="E8" s="11">
        <v>11</v>
      </c>
      <c r="F8" s="11">
        <v>28</v>
      </c>
      <c r="G8" s="11">
        <v>1</v>
      </c>
      <c r="H8" s="11"/>
      <c r="I8" s="11">
        <v>16</v>
      </c>
      <c r="J8" s="91">
        <f>SUM(D8:I8)</f>
        <v>845</v>
      </c>
      <c r="K8" s="92">
        <v>72</v>
      </c>
    </row>
    <row r="9" spans="1:11" ht="15.75" customHeight="1" thickBot="1">
      <c r="A9" s="10" t="s">
        <v>10</v>
      </c>
      <c r="B9" s="11">
        <f>SUM(C9:I9)+K9</f>
        <v>445</v>
      </c>
      <c r="C9" s="11">
        <v>227</v>
      </c>
      <c r="D9" s="11">
        <v>177</v>
      </c>
      <c r="E9" s="11">
        <v>1</v>
      </c>
      <c r="F9" s="11">
        <v>5</v>
      </c>
      <c r="G9" s="11">
        <v>1</v>
      </c>
      <c r="H9" s="11"/>
      <c r="I9" s="11">
        <v>2</v>
      </c>
      <c r="J9" s="91">
        <f t="shared" ref="J9:J15" si="2">SUM(D9:I9)</f>
        <v>186</v>
      </c>
      <c r="K9" s="92">
        <v>32</v>
      </c>
    </row>
    <row r="10" spans="1:11" ht="15.75" customHeight="1" thickBot="1">
      <c r="A10" s="10" t="s">
        <v>11</v>
      </c>
      <c r="B10" s="11">
        <f t="shared" si="0"/>
        <v>282</v>
      </c>
      <c r="C10" s="11">
        <v>104</v>
      </c>
      <c r="D10" s="11">
        <v>147</v>
      </c>
      <c r="E10" s="11">
        <v>3</v>
      </c>
      <c r="F10" s="11">
        <v>13</v>
      </c>
      <c r="G10" s="11"/>
      <c r="H10" s="11"/>
      <c r="I10" s="11">
        <v>10</v>
      </c>
      <c r="J10" s="91">
        <f t="shared" si="2"/>
        <v>173</v>
      </c>
      <c r="K10" s="92">
        <v>5</v>
      </c>
    </row>
    <row r="11" spans="1:11" ht="15.75" customHeight="1" thickBot="1">
      <c r="A11" s="10" t="s">
        <v>12</v>
      </c>
      <c r="B11" s="11">
        <f t="shared" si="0"/>
        <v>327</v>
      </c>
      <c r="C11" s="11">
        <v>139</v>
      </c>
      <c r="D11" s="11">
        <v>171</v>
      </c>
      <c r="E11" s="11">
        <v>1</v>
      </c>
      <c r="F11" s="11">
        <v>7</v>
      </c>
      <c r="G11" s="11"/>
      <c r="H11" s="11"/>
      <c r="I11" s="11">
        <v>5</v>
      </c>
      <c r="J11" s="91">
        <f t="shared" si="2"/>
        <v>184</v>
      </c>
      <c r="K11" s="92">
        <v>4</v>
      </c>
    </row>
    <row r="12" spans="1:11" ht="15.75" customHeight="1" thickBot="1">
      <c r="A12" s="10" t="s">
        <v>13</v>
      </c>
      <c r="B12" s="11">
        <f t="shared" si="0"/>
        <v>165</v>
      </c>
      <c r="C12" s="11">
        <v>69</v>
      </c>
      <c r="D12" s="11">
        <v>83</v>
      </c>
      <c r="E12" s="11"/>
      <c r="F12" s="11">
        <v>5</v>
      </c>
      <c r="G12" s="11"/>
      <c r="H12" s="11"/>
      <c r="I12" s="11">
        <v>5</v>
      </c>
      <c r="J12" s="91">
        <f t="shared" si="2"/>
        <v>93</v>
      </c>
      <c r="K12" s="92">
        <v>3</v>
      </c>
    </row>
    <row r="13" spans="1:11" ht="15.75" customHeight="1" thickBot="1">
      <c r="A13" s="10" t="s">
        <v>125</v>
      </c>
      <c r="B13" s="11">
        <f t="shared" si="0"/>
        <v>33</v>
      </c>
      <c r="C13" s="11">
        <v>12</v>
      </c>
      <c r="D13" s="11">
        <v>17</v>
      </c>
      <c r="E13" s="11"/>
      <c r="F13" s="11">
        <v>2</v>
      </c>
      <c r="G13" s="11"/>
      <c r="H13" s="11"/>
      <c r="I13" s="11">
        <v>2</v>
      </c>
      <c r="J13" s="91">
        <f t="shared" si="2"/>
        <v>21</v>
      </c>
      <c r="K13" s="92"/>
    </row>
    <row r="14" spans="1:11" ht="26.25" customHeight="1" thickBot="1">
      <c r="A14" s="10" t="s">
        <v>115</v>
      </c>
      <c r="B14" s="11">
        <f t="shared" si="0"/>
        <v>253</v>
      </c>
      <c r="C14" s="11">
        <v>87</v>
      </c>
      <c r="D14" s="11">
        <v>136</v>
      </c>
      <c r="E14" s="11">
        <v>3</v>
      </c>
      <c r="F14" s="11">
        <v>15</v>
      </c>
      <c r="G14" s="11"/>
      <c r="H14" s="11"/>
      <c r="I14" s="11">
        <v>8</v>
      </c>
      <c r="J14" s="91">
        <f t="shared" si="2"/>
        <v>162</v>
      </c>
      <c r="K14" s="92">
        <v>4</v>
      </c>
    </row>
    <row r="15" spans="1:11" ht="15.75" customHeight="1" thickBot="1">
      <c r="A15" s="10" t="s">
        <v>16</v>
      </c>
      <c r="B15" s="11">
        <f t="shared" si="0"/>
        <v>0</v>
      </c>
      <c r="C15" s="11"/>
      <c r="D15" s="11"/>
      <c r="E15" s="11"/>
      <c r="F15" s="11"/>
      <c r="G15" s="11"/>
      <c r="H15" s="11"/>
      <c r="I15" s="11"/>
      <c r="J15" s="91">
        <f t="shared" si="2"/>
        <v>0</v>
      </c>
      <c r="K15" s="92"/>
    </row>
    <row r="16" spans="1:11" s="14" customFormat="1" ht="15" customHeight="1">
      <c r="A16" s="12" t="s">
        <v>17</v>
      </c>
      <c r="B16" s="13" t="str">
        <f>IF((B6 &gt; ($B6/100)),"Yes","No")</f>
        <v>Yes</v>
      </c>
      <c r="C16" s="13" t="str">
        <f>IF((C6 &gt; ($B6/100)),"Yes","No")</f>
        <v>Yes</v>
      </c>
      <c r="D16" s="13" t="str">
        <f t="shared" ref="D16:J16" si="3">IF((D6 &gt; ($B6/100)),"Yes","No")</f>
        <v>Yes</v>
      </c>
      <c r="E16" s="13" t="str">
        <f t="shared" si="3"/>
        <v>Yes</v>
      </c>
      <c r="F16" s="13" t="str">
        <f t="shared" si="3"/>
        <v>Yes</v>
      </c>
      <c r="G16" s="13" t="str">
        <f t="shared" si="3"/>
        <v>No</v>
      </c>
      <c r="H16" s="13" t="str">
        <f t="shared" si="3"/>
        <v>No</v>
      </c>
      <c r="I16" s="13" t="str">
        <f t="shared" si="3"/>
        <v>No</v>
      </c>
      <c r="J16" s="13" t="str">
        <f t="shared" si="3"/>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134</v>
      </c>
      <c r="E21" s="169"/>
      <c r="F21" s="169"/>
      <c r="G21" s="169"/>
      <c r="H21" s="169"/>
      <c r="I21" s="169"/>
    </row>
    <row r="22" spans="1:9" ht="15" customHeight="1">
      <c r="A22" s="169" t="s">
        <v>132</v>
      </c>
      <c r="B22" s="169"/>
      <c r="C22" s="8"/>
      <c r="D22" s="169" t="s">
        <v>135</v>
      </c>
      <c r="E22" s="169"/>
      <c r="F22" s="169"/>
      <c r="G22" s="169"/>
      <c r="H22" s="169"/>
      <c r="I22" s="169"/>
    </row>
    <row r="23" spans="1:9" ht="15" customHeight="1">
      <c r="A23" s="169" t="s">
        <v>133</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289</v>
      </c>
      <c r="Q7" s="42">
        <f>C6-C7</f>
        <v>80497</v>
      </c>
      <c r="R7" s="42">
        <f t="shared" ref="R7:R15" si="5">SUM(N7:Q7)</f>
        <v>80786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686</v>
      </c>
      <c r="D8" s="34">
        <f>IF((AND(C67&gt;0,C8&gt;0)),(C8/C67),0)</f>
        <v>237.37024221453285</v>
      </c>
      <c r="E8" s="33">
        <f>'Data Entry'!I8</f>
        <v>16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16</v>
      </c>
      <c r="O8" s="42">
        <f>((D67*L67)-E8)+0.05</f>
        <v>-15.95</v>
      </c>
      <c r="P8" s="42">
        <f t="shared" si="4"/>
        <v>686</v>
      </c>
      <c r="Q8" s="42">
        <f>(C$67*L67)-C8</f>
        <v>-397</v>
      </c>
      <c r="R8" s="42">
        <f t="shared" si="5"/>
        <v>289.04999999999995</v>
      </c>
      <c r="S8" s="30">
        <f t="shared" si="6"/>
        <v>6088938287.314496</v>
      </c>
      <c r="T8" s="30">
        <f t="shared" si="7"/>
        <v>-4188923.505000059</v>
      </c>
      <c r="U8" s="31">
        <f t="shared" si="8"/>
        <v>-1453.5806824943227</v>
      </c>
    </row>
    <row r="9" spans="2:21" ht="18" customHeight="1">
      <c r="B9" s="32" t="str">
        <f>'Data Entry'!A9</f>
        <v xml:space="preserve">4. Cases Diverted </v>
      </c>
      <c r="C9" s="33">
        <f>'Data Entry'!C9</f>
        <v>227</v>
      </c>
      <c r="D9" s="34">
        <f>IF((AND(C68&gt;0,C9&gt;0)),((C9/C68)),0)</f>
        <v>33.090379008746353</v>
      </c>
      <c r="E9" s="33">
        <f>'Data Entry'!I9</f>
        <v>2</v>
      </c>
      <c r="F9" s="34">
        <f>IF((AND($E$9&gt;0,$D$68&gt;0)),(($E$9/$D$68)),0)</f>
        <v>12.5</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2</v>
      </c>
      <c r="O9" s="42">
        <f>(D$68*L68)-E9</f>
        <v>14</v>
      </c>
      <c r="P9" s="42">
        <f t="shared" si="4"/>
        <v>227</v>
      </c>
      <c r="Q9" s="42">
        <f>(C$68*L68)-C9</f>
        <v>459</v>
      </c>
      <c r="R9" s="42">
        <f t="shared" si="5"/>
        <v>702</v>
      </c>
      <c r="S9" s="30">
        <f t="shared" si="6"/>
        <v>3585535200</v>
      </c>
      <c r="T9" s="30">
        <f t="shared" si="7"/>
        <v>1188887392</v>
      </c>
      <c r="U9" s="31">
        <f t="shared" si="8"/>
        <v>3.0158745261552911</v>
      </c>
    </row>
    <row r="10" spans="2:21" ht="18" customHeight="1">
      <c r="B10" s="32" t="str">
        <f>'Data Entry'!A10</f>
        <v>5. Cases Involving Secure Detention</v>
      </c>
      <c r="C10" s="33">
        <f>'Data Entry'!C10</f>
        <v>104</v>
      </c>
      <c r="D10" s="34">
        <f>IF(((AND(C68&gt;0,C10&gt;0))),(C10/(C68)),0)</f>
        <v>15.160349854227405</v>
      </c>
      <c r="E10" s="33">
        <f>'Data Entry'!I10</f>
        <v>10</v>
      </c>
      <c r="F10" s="34">
        <f>IF(((AND($E$10&gt;0,$D$68&gt;0))),($E$10/($D$68)),0)</f>
        <v>62.5</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10</v>
      </c>
      <c r="O10" s="42">
        <f>(D$68*L68)-E10</f>
        <v>6</v>
      </c>
      <c r="P10" s="42">
        <f t="shared" si="4"/>
        <v>104</v>
      </c>
      <c r="Q10" s="42">
        <f>(C$68*L68)-C10</f>
        <v>582</v>
      </c>
      <c r="R10" s="42">
        <f t="shared" si="5"/>
        <v>702</v>
      </c>
      <c r="S10" s="30">
        <f t="shared" si="6"/>
        <v>18952888032</v>
      </c>
      <c r="T10" s="30">
        <f t="shared" si="7"/>
        <v>735743232</v>
      </c>
      <c r="U10" s="31">
        <f t="shared" si="8"/>
        <v>25.760193512728094</v>
      </c>
    </row>
    <row r="11" spans="2:21" ht="18" customHeight="1">
      <c r="B11" s="32" t="str">
        <f>'Data Entry'!A11</f>
        <v>6. Cases Petitioned (Charge Filed)</v>
      </c>
      <c r="C11" s="33">
        <f>'Data Entry'!C11</f>
        <v>139</v>
      </c>
      <c r="D11" s="34">
        <f>IF(((AND(C68&gt;0,C11&gt;0))),(C11/(C68)),0)</f>
        <v>20.262390670553934</v>
      </c>
      <c r="E11" s="33">
        <f>'Data Entry'!I11</f>
        <v>5</v>
      </c>
      <c r="F11" s="34">
        <f>IF(((AND($E$11&gt;0,$D$68&gt;0))),($E$11/($D$68)),0)</f>
        <v>31.25</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5</v>
      </c>
      <c r="O11" s="42">
        <f>(D$68*L68)-E11</f>
        <v>11</v>
      </c>
      <c r="P11" s="42">
        <f t="shared" si="4"/>
        <v>139</v>
      </c>
      <c r="Q11" s="42">
        <f>(C$68*L68)-C11</f>
        <v>547</v>
      </c>
      <c r="R11" s="42">
        <f t="shared" si="5"/>
        <v>702</v>
      </c>
      <c r="S11" s="30">
        <f t="shared" si="6"/>
        <v>1021014072</v>
      </c>
      <c r="T11" s="30">
        <f t="shared" si="7"/>
        <v>881943552</v>
      </c>
      <c r="U11" s="31">
        <f t="shared" si="8"/>
        <v>1.1576864184613938</v>
      </c>
    </row>
    <row r="12" spans="2:21" ht="18" customHeight="1">
      <c r="B12" s="32" t="str">
        <f>'Data Entry'!A12</f>
        <v>7. Cases Resulting in Delinquent Findings</v>
      </c>
      <c r="C12" s="33">
        <f>'Data Entry'!C12</f>
        <v>69</v>
      </c>
      <c r="D12" s="34">
        <f>IF(((AND(C69&gt;0,C12&gt;0))),(C12/(C69)),0)</f>
        <v>49.640287769784173</v>
      </c>
      <c r="E12" s="33">
        <f>'Data Entry'!I12</f>
        <v>5</v>
      </c>
      <c r="F12" s="34">
        <f>IF(((AND($D$69&gt;0,$E$12&gt;0))),(E12/(D69)),0)</f>
        <v>100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5</v>
      </c>
      <c r="O12" s="42">
        <f>(D69*L69)-E12</f>
        <v>0</v>
      </c>
      <c r="P12" s="42">
        <f t="shared" si="4"/>
        <v>69</v>
      </c>
      <c r="Q12" s="42">
        <f>(C69*L69)-C12</f>
        <v>70</v>
      </c>
      <c r="R12" s="42">
        <f t="shared" si="5"/>
        <v>144</v>
      </c>
      <c r="S12" s="30">
        <f t="shared" si="6"/>
        <v>17640000</v>
      </c>
      <c r="T12" s="30">
        <f t="shared" si="7"/>
        <v>3600100</v>
      </c>
      <c r="U12" s="31">
        <f t="shared" si="8"/>
        <v>4.8998638926696483</v>
      </c>
    </row>
    <row r="13" spans="2:21" ht="18" customHeight="1">
      <c r="B13" s="32" t="str">
        <f>'Data Entry'!A13</f>
        <v>8. Cases Resulting in Probation Placement</v>
      </c>
      <c r="C13" s="33">
        <f>'Data Entry'!C13</f>
        <v>12</v>
      </c>
      <c r="D13" s="34">
        <f>IF(((AND(C70&gt;0,C13&gt;0))),(C13/(C70)),0)</f>
        <v>17.39130434782609</v>
      </c>
      <c r="E13" s="33">
        <f>'Data Entry'!I13</f>
        <v>2</v>
      </c>
      <c r="F13" s="34">
        <f>IF(((AND($D$70&gt;0,$E$13&gt;0))),($E$13/($D$70)),0)</f>
        <v>40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3</v>
      </c>
      <c r="P13" s="42">
        <f t="shared" si="4"/>
        <v>12</v>
      </c>
      <c r="Q13" s="42">
        <f>(C70*L70)-C13</f>
        <v>57</v>
      </c>
      <c r="R13" s="42">
        <f t="shared" si="5"/>
        <v>74</v>
      </c>
      <c r="S13" s="30">
        <f t="shared" si="6"/>
        <v>450216</v>
      </c>
      <c r="T13" s="30">
        <f t="shared" si="7"/>
        <v>289800</v>
      </c>
      <c r="U13" s="31">
        <f t="shared" si="8"/>
        <v>1.5535403726708075</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Entry'!I14</f>
        <v>8</v>
      </c>
      <c r="F14" s="34">
        <f>IF(((AND($D$70&gt;0,$E$14&gt;0))), (($E$14/($D$70))),0)</f>
        <v>160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8</v>
      </c>
      <c r="O14" s="42">
        <f>(D70*L70)-E14</f>
        <v>-3</v>
      </c>
      <c r="P14" s="42">
        <f t="shared" si="4"/>
        <v>87</v>
      </c>
      <c r="Q14" s="42">
        <f>(C70*L70)-C14</f>
        <v>-18</v>
      </c>
      <c r="R14" s="42">
        <f t="shared" si="5"/>
        <v>74</v>
      </c>
      <c r="S14" s="30">
        <f t="shared" si="6"/>
        <v>1012986</v>
      </c>
      <c r="T14" s="30">
        <f t="shared" si="7"/>
        <v>-688275</v>
      </c>
      <c r="U14" s="31">
        <f t="shared" si="8"/>
        <v>-1.4717750898986597</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139</v>
      </c>
      <c r="R15" s="42">
        <f t="shared" si="5"/>
        <v>144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0</v>
      </c>
      <c r="E42" s="56">
        <f>MAX(C42:D42)</f>
        <v>80.786000000000001</v>
      </c>
      <c r="G42" s="1" t="str">
        <f>B42</f>
        <v>per 1000 youth</v>
      </c>
      <c r="L42" s="57">
        <v>1000</v>
      </c>
      <c r="M42" s="57"/>
      <c r="R42" s="49"/>
    </row>
    <row r="43" spans="2:18" ht="15" hidden="1" customHeight="1">
      <c r="B43" s="49" t="s">
        <v>87</v>
      </c>
      <c r="C43" s="56">
        <f>C7/100</f>
        <v>2.89</v>
      </c>
      <c r="D43" s="56">
        <f>E7/100</f>
        <v>0</v>
      </c>
      <c r="E43" s="56">
        <f>MAX(C43:D43,0)</f>
        <v>2.89</v>
      </c>
      <c r="G43" s="1" t="str">
        <f>B43</f>
        <v>per 100 arrests</v>
      </c>
      <c r="L43" s="57">
        <v>100</v>
      </c>
      <c r="M43" s="57"/>
      <c r="R43" s="49"/>
    </row>
    <row r="44" spans="2:18" ht="15" hidden="1" customHeight="1">
      <c r="B44" s="49" t="s">
        <v>88</v>
      </c>
      <c r="C44" s="56">
        <f>C8/100</f>
        <v>6.86</v>
      </c>
      <c r="D44" s="56">
        <f>E8/100</f>
        <v>0.16</v>
      </c>
      <c r="E44" s="56">
        <f>MAX(C44:D44,0)</f>
        <v>6.86</v>
      </c>
      <c r="G44" s="1" t="str">
        <f>B44</f>
        <v>per 100 referrals</v>
      </c>
      <c r="L44" s="57">
        <v>100</v>
      </c>
      <c r="M44" s="57"/>
      <c r="R44" s="49"/>
    </row>
    <row r="45" spans="2:18" ht="15" hidden="1" customHeight="1">
      <c r="B45" s="49" t="s">
        <v>89</v>
      </c>
      <c r="C45" s="49">
        <f>C11/100</f>
        <v>1.39</v>
      </c>
      <c r="D45" s="49">
        <f>E11/100</f>
        <v>0.05</v>
      </c>
      <c r="E45" s="56">
        <f>MAX(C45:D45,0)</f>
        <v>1.39</v>
      </c>
      <c r="G45" s="1" t="str">
        <f>B45</f>
        <v>per 100 youth petitioned</v>
      </c>
      <c r="L45" s="57">
        <v>100</v>
      </c>
      <c r="M45" s="57"/>
      <c r="R45" s="49"/>
    </row>
    <row r="46" spans="2:18" ht="15" hidden="1" customHeight="1">
      <c r="B46" s="49" t="s">
        <v>90</v>
      </c>
      <c r="C46" s="49">
        <f>C12/100</f>
        <v>0.69</v>
      </c>
      <c r="D46" s="49">
        <f>E12/100</f>
        <v>0.05</v>
      </c>
      <c r="E46" s="56">
        <f>MAX(C46:D46)</f>
        <v>0.69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0</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0</v>
      </c>
      <c r="E49" s="49">
        <f>MAX(C49:D49)</f>
        <v>2.89</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0.16</v>
      </c>
      <c r="E50" s="49">
        <f>MAX(C50:D50)</f>
        <v>6.86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0.05</v>
      </c>
      <c r="E51" s="49">
        <f>MAX(C51:D51)</f>
        <v>1.39</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0.05</v>
      </c>
      <c r="E52" s="56">
        <f>MAX(C52:D52)</f>
        <v>0.69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0</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0</v>
      </c>
      <c r="E55" s="49">
        <f>MAX(C55:D55)</f>
        <v>2.89</v>
      </c>
      <c r="G55" s="1" t="str">
        <f>G49</f>
        <v>per 100 arrests</v>
      </c>
      <c r="L55" s="58">
        <f>IF(($E49&gt;0),L49,L48)</f>
        <v>100</v>
      </c>
      <c r="M55" s="58"/>
    </row>
    <row r="56" spans="2:18" ht="15" hidden="1" customHeight="1">
      <c r="B56" s="49" t="str">
        <f t="shared" si="10"/>
        <v>per 100 referrals</v>
      </c>
      <c r="C56" s="49">
        <f t="shared" si="10"/>
        <v>6.86</v>
      </c>
      <c r="D56" s="49">
        <f t="shared" si="10"/>
        <v>0.16</v>
      </c>
      <c r="E56" s="49">
        <f>MAX(C56:D56)</f>
        <v>6.86</v>
      </c>
      <c r="G56" s="1" t="str">
        <f>G50</f>
        <v>per 100 referrals</v>
      </c>
      <c r="L56" s="58">
        <f>IF(($E50&gt;0),L50,L49)</f>
        <v>100</v>
      </c>
      <c r="M56" s="58"/>
    </row>
    <row r="57" spans="2:18" ht="15" hidden="1" customHeight="1">
      <c r="B57" s="49" t="str">
        <f>IF(($E51&gt;0),B51,B49)</f>
        <v>per 100 youth petitioned</v>
      </c>
      <c r="C57" s="49">
        <f>IF(($E51&gt;0),C51,C50)</f>
        <v>1.39</v>
      </c>
      <c r="D57" s="49">
        <f>IF(($E51&gt;0),D51,D50)</f>
        <v>0.05</v>
      </c>
      <c r="E57" s="49">
        <f>MAX(C57:D57)</f>
        <v>1.39</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0.05</v>
      </c>
      <c r="E58" s="56">
        <f>MAX(C58:D58)</f>
        <v>0.69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0</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0</v>
      </c>
      <c r="E61" s="49">
        <f>MAX(C61:D61)</f>
        <v>2.89</v>
      </c>
      <c r="G61" s="1" t="str">
        <f>G55</f>
        <v>per 100 arrests</v>
      </c>
      <c r="L61" s="58">
        <f>IF(($E55&gt;0),L55,L54)</f>
        <v>100</v>
      </c>
      <c r="M61" s="58"/>
    </row>
    <row r="62" spans="2:18" ht="15" hidden="1" customHeight="1">
      <c r="B62" s="49" t="str">
        <f t="shared" si="11"/>
        <v>per 100 referrals</v>
      </c>
      <c r="C62" s="49">
        <f t="shared" si="11"/>
        <v>6.86</v>
      </c>
      <c r="D62" s="49">
        <f t="shared" si="11"/>
        <v>0.16</v>
      </c>
      <c r="E62" s="49">
        <f>MAX(C62:D62)</f>
        <v>6.86</v>
      </c>
      <c r="G62" s="1" t="str">
        <f>G56</f>
        <v>per 100 referrals</v>
      </c>
      <c r="L62" s="58">
        <f>IF(($E56&gt;0),L56,L55)</f>
        <v>100</v>
      </c>
      <c r="M62" s="58"/>
    </row>
    <row r="63" spans="2:18" ht="15" hidden="1" customHeight="1">
      <c r="B63" s="49" t="str">
        <f>IF(($E57&gt;0),B57,B55)</f>
        <v>per 100 youth petitioned</v>
      </c>
      <c r="C63" s="49">
        <f>IF(($E57&gt;0),C57,C56)</f>
        <v>1.39</v>
      </c>
      <c r="D63" s="49">
        <f>IF(($E57&gt;0),D57,D56)</f>
        <v>0.05</v>
      </c>
      <c r="E63" s="49">
        <f>MAX(C63:D63)</f>
        <v>1.39</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0.05</v>
      </c>
      <c r="E64" s="56">
        <f>MAX(C64:D64)</f>
        <v>0.69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0</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0</v>
      </c>
      <c r="E67" s="49">
        <f>MAX(C67:D67)</f>
        <v>2.89</v>
      </c>
      <c r="G67" s="1" t="str">
        <f>G61</f>
        <v>per 100 arrests</v>
      </c>
      <c r="L67" s="58">
        <f>IF(($E61&gt;0),L61,L60)</f>
        <v>100</v>
      </c>
      <c r="M67" s="58">
        <f>IF((B67=G67),1,2)</f>
        <v>1</v>
      </c>
    </row>
    <row r="68" spans="2:13" ht="15" hidden="1" customHeight="1">
      <c r="B68" s="49" t="str">
        <f t="shared" si="12"/>
        <v>per 100 referrals</v>
      </c>
      <c r="C68" s="49">
        <f t="shared" si="12"/>
        <v>6.86</v>
      </c>
      <c r="D68" s="49">
        <f t="shared" si="12"/>
        <v>0.16</v>
      </c>
      <c r="E68" s="49">
        <f>MAX(C68:D68)</f>
        <v>6.86</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0.05</v>
      </c>
      <c r="E69" s="49">
        <f>MAX(C69:D69)</f>
        <v>1.39</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0.05</v>
      </c>
      <c r="E70" s="56">
        <f>MAX(C70:D70)</f>
        <v>0.69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Entry'!J6</f>
        <v>39528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Entry'!J7</f>
        <v>540</v>
      </c>
      <c r="F7" s="34">
        <f>IF((AND($E$7&gt;0,$D$66&gt;0)),($E$7/$D$66),0)</f>
        <v>13.66120218579235</v>
      </c>
      <c r="G7" s="39">
        <f t="shared" ref="G7:G15" si="0">IF(L$6=100,"*",IF(M7=FALSE,"--",IF(K7=20,"**",($F7/$D7))))</f>
        <v>3.8188023521848469</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540</v>
      </c>
      <c r="O7" s="42">
        <f>E6-E7</f>
        <v>38988</v>
      </c>
      <c r="P7" s="42">
        <f t="shared" ref="P7:P15" si="4">C7</f>
        <v>289</v>
      </c>
      <c r="Q7" s="42">
        <f>C6-C7</f>
        <v>80497</v>
      </c>
      <c r="R7" s="42">
        <f t="shared" ref="R7:R15" si="5">SUM(N7:Q7)</f>
        <v>120314</v>
      </c>
      <c r="S7" s="30">
        <f t="shared" ref="S7:S15" si="6">R7*((((N7*Q7)-(O7*P7))^2))</f>
        <v>1.2475293833843507E+20</v>
      </c>
      <c r="T7" s="30">
        <f t="shared" ref="T7:T15" si="7">(N7+O7)*(P7+Q7)*(N7+P7)*(O7+Q7)</f>
        <v>3.163070447345095E+17</v>
      </c>
      <c r="U7" s="31">
        <f t="shared" ref="U7:U15" si="8">IF((S7&gt;0),S7/T7,"- -")</f>
        <v>394.4045522070042</v>
      </c>
    </row>
    <row r="8" spans="2:21" ht="18" customHeight="1">
      <c r="B8" s="32" t="str">
        <f>'Data Entry'!A8</f>
        <v>3. Refer to Juvenile Court</v>
      </c>
      <c r="C8" s="33">
        <f>'Data Entry'!C8</f>
        <v>686</v>
      </c>
      <c r="D8" s="34">
        <f>IF((AND(C67&gt;0,C8&gt;0)),(C8/C67),0)</f>
        <v>237.37024221453285</v>
      </c>
      <c r="E8" s="33">
        <f>'Data Entry'!J8</f>
        <v>845</v>
      </c>
      <c r="F8" s="34">
        <f>IF((AND($E$8&gt;0,$D$67&gt;0)),($E8/$D67),0)</f>
        <v>156.48148148148147</v>
      </c>
      <c r="G8" s="39">
        <f t="shared" si="0"/>
        <v>0.65922956484180972</v>
      </c>
      <c r="H8" s="40"/>
      <c r="I8" s="41"/>
      <c r="J8" s="40">
        <f>IF((ABS($U8)&gt;Defaults!D$7),1,2)</f>
        <v>1</v>
      </c>
      <c r="K8" s="39">
        <f>IF((AND(N8&gt;Defaults!B$12,(N8+O8)&gt;Defaults!B$13, P8 &gt; Defaults!B$12, (P8+Q8) &gt; Defaults!B$13)),1,20)</f>
        <v>1</v>
      </c>
      <c r="L8" s="1">
        <f t="shared" si="1"/>
        <v>1</v>
      </c>
      <c r="M8" s="1" t="b">
        <f t="shared" si="2"/>
        <v>1</v>
      </c>
      <c r="N8" s="42">
        <f t="shared" si="3"/>
        <v>845</v>
      </c>
      <c r="O8" s="42">
        <f>((D67*L67)-E8)+0.05</f>
        <v>-304.95</v>
      </c>
      <c r="P8" s="42">
        <f t="shared" si="4"/>
        <v>686</v>
      </c>
      <c r="Q8" s="42">
        <f>(C$67*L67)-C8</f>
        <v>-397</v>
      </c>
      <c r="R8" s="42">
        <f t="shared" si="5"/>
        <v>829.05</v>
      </c>
      <c r="S8" s="30">
        <f t="shared" si="6"/>
        <v>13218320242350.336</v>
      </c>
      <c r="T8" s="30">
        <f t="shared" si="7"/>
        <v>-167730940531.7525</v>
      </c>
      <c r="U8" s="31">
        <f t="shared" si="8"/>
        <v>-78.806690050414559</v>
      </c>
    </row>
    <row r="9" spans="2:21" ht="18" customHeight="1">
      <c r="B9" s="32" t="str">
        <f>'Data Entry'!A9</f>
        <v xml:space="preserve">4. Cases Diverted </v>
      </c>
      <c r="C9" s="33">
        <f>'Data Entry'!C9</f>
        <v>227</v>
      </c>
      <c r="D9" s="34">
        <f>IF((AND(C68&gt;0,C9&gt;0)),((C9/C68)),0)</f>
        <v>33.090379008746353</v>
      </c>
      <c r="E9" s="33">
        <f>'Data Entry'!J9</f>
        <v>186</v>
      </c>
      <c r="F9" s="34">
        <f>IF((AND($E$9&gt;0,$D$68&gt;0)),(($E$9/$D$68)),0)</f>
        <v>22.011834319526628</v>
      </c>
      <c r="G9" s="39">
        <f t="shared" si="0"/>
        <v>0.66520345124208224</v>
      </c>
      <c r="H9" s="40"/>
      <c r="I9" s="41"/>
      <c r="J9" s="40">
        <f>IF((ABS($U9)&gt;Defaults!D$7),1,2)</f>
        <v>1</v>
      </c>
      <c r="K9" s="39">
        <f>IF((AND(N9&gt;Defaults!B$12,(N9+O9)&gt;Defaults!B$13, P9 &gt; Defaults!B$12, (P9+Q9) &gt; Defaults!B$13)),1,20)</f>
        <v>1</v>
      </c>
      <c r="L9" s="1">
        <f t="shared" si="1"/>
        <v>1</v>
      </c>
      <c r="M9" s="1" t="b">
        <f t="shared" si="2"/>
        <v>1</v>
      </c>
      <c r="N9" s="42">
        <f t="shared" si="3"/>
        <v>186</v>
      </c>
      <c r="O9" s="42">
        <f>(D$68*L68)-E9</f>
        <v>658.99999999999989</v>
      </c>
      <c r="P9" s="42">
        <f t="shared" si="4"/>
        <v>227</v>
      </c>
      <c r="Q9" s="42">
        <f>(C$68*L68)-C9</f>
        <v>459</v>
      </c>
      <c r="R9" s="42">
        <f t="shared" si="5"/>
        <v>1531</v>
      </c>
      <c r="S9" s="30">
        <f t="shared" si="6"/>
        <v>6313966420290.9941</v>
      </c>
      <c r="T9" s="30">
        <f t="shared" si="7"/>
        <v>267653347779.99994</v>
      </c>
      <c r="U9" s="31">
        <f t="shared" si="8"/>
        <v>23.590089467069976</v>
      </c>
    </row>
    <row r="10" spans="2:21" ht="18" customHeight="1">
      <c r="B10" s="32" t="str">
        <f>'Data Entry'!A10</f>
        <v>5. Cases Involving Secure Detention</v>
      </c>
      <c r="C10" s="33">
        <f>'Data Entry'!C10</f>
        <v>104</v>
      </c>
      <c r="D10" s="34">
        <f>IF(((AND(C68&gt;0,C10&gt;0))),(C10/(C68)),0)</f>
        <v>15.160349854227405</v>
      </c>
      <c r="E10" s="33">
        <f>'Data Entry'!J10</f>
        <v>173</v>
      </c>
      <c r="F10" s="34">
        <f>IF(((AND($E$10&gt;0,$D$68&gt;0))),($E$10/($D$68)),0)</f>
        <v>20.473372781065091</v>
      </c>
      <c r="G10" s="39">
        <f t="shared" si="0"/>
        <v>1.3504551661356397</v>
      </c>
      <c r="H10" s="40"/>
      <c r="I10" s="41"/>
      <c r="J10" s="40">
        <f>IF((ABS($U10)&gt;Defaults!D$7),1,2)</f>
        <v>1</v>
      </c>
      <c r="K10" s="39">
        <f>IF((AND(N10&gt;Defaults!B$12,(N10+O10)&gt;Defaults!B$13, P10 &gt; Defaults!B$12, (P10+Q10) &gt; Defaults!B$13)),1,20)</f>
        <v>1</v>
      </c>
      <c r="L10" s="1">
        <f t="shared" si="1"/>
        <v>1</v>
      </c>
      <c r="M10" s="1" t="b">
        <f t="shared" si="2"/>
        <v>1</v>
      </c>
      <c r="N10" s="42">
        <f t="shared" si="3"/>
        <v>173</v>
      </c>
      <c r="O10" s="42">
        <f>(D$68*L68)-E10</f>
        <v>671.99999999999989</v>
      </c>
      <c r="P10" s="42">
        <f t="shared" si="4"/>
        <v>104</v>
      </c>
      <c r="Q10" s="42">
        <f>(C$68*L68)-C10</f>
        <v>582</v>
      </c>
      <c r="R10" s="42">
        <f t="shared" si="5"/>
        <v>1531</v>
      </c>
      <c r="S10" s="30">
        <f t="shared" si="6"/>
        <v>1452179226924.0015</v>
      </c>
      <c r="T10" s="30">
        <f t="shared" si="7"/>
        <v>201353011859.99997</v>
      </c>
      <c r="U10" s="31">
        <f t="shared" si="8"/>
        <v>7.2121058111298408</v>
      </c>
    </row>
    <row r="11" spans="2:21" ht="18" customHeight="1">
      <c r="B11" s="32" t="str">
        <f>'Data Entry'!A11</f>
        <v>6. Cases Petitioned (Charge Filed)</v>
      </c>
      <c r="C11" s="33">
        <f>'Data Entry'!C11</f>
        <v>139</v>
      </c>
      <c r="D11" s="34">
        <f>IF(((AND(C68&gt;0,C11&gt;0))),(C11/(C68)),0)</f>
        <v>20.262390670553934</v>
      </c>
      <c r="E11" s="33">
        <f>'Data Entry'!J11</f>
        <v>184</v>
      </c>
      <c r="F11" s="34">
        <f>IF(((AND($E$11&gt;0,$D$68&gt;0))),($E$11/($D$68)),0)</f>
        <v>21.775147928994084</v>
      </c>
      <c r="G11" s="39">
        <f t="shared" si="0"/>
        <v>1.0746583798050318</v>
      </c>
      <c r="H11" s="40"/>
      <c r="I11" s="41"/>
      <c r="J11" s="40">
        <f>IF((ABS($U11)&gt;Defaults!D$7),1,2)</f>
        <v>2</v>
      </c>
      <c r="K11" s="39">
        <f>IF((AND(N11&gt;Defaults!B$12,(N11+O11)&gt;Defaults!B$13, P11 &gt; Defaults!B$12, (P11+Q11) &gt; Defaults!B$13)),1,20)</f>
        <v>1</v>
      </c>
      <c r="L11" s="1">
        <f t="shared" si="1"/>
        <v>2</v>
      </c>
      <c r="M11" s="1" t="b">
        <f t="shared" si="2"/>
        <v>1</v>
      </c>
      <c r="N11" s="42">
        <f t="shared" si="3"/>
        <v>184</v>
      </c>
      <c r="O11" s="42">
        <f>(D$68*L68)-E11</f>
        <v>660.99999999999989</v>
      </c>
      <c r="P11" s="42">
        <f t="shared" si="4"/>
        <v>139</v>
      </c>
      <c r="Q11" s="42">
        <f>(C$68*L68)-C11</f>
        <v>547</v>
      </c>
      <c r="R11" s="42">
        <f t="shared" si="5"/>
        <v>1531</v>
      </c>
      <c r="S11" s="30">
        <f t="shared" si="6"/>
        <v>117726797691.00038</v>
      </c>
      <c r="T11" s="30">
        <f t="shared" si="7"/>
        <v>226177959279.99997</v>
      </c>
      <c r="U11" s="31">
        <f t="shared" si="8"/>
        <v>0.52050517241275018</v>
      </c>
    </row>
    <row r="12" spans="2:21" ht="18" customHeight="1">
      <c r="B12" s="32" t="str">
        <f>'Data Entry'!A12</f>
        <v>7. Cases Resulting in Delinquent Findings</v>
      </c>
      <c r="C12" s="33">
        <f>'Data Entry'!C12</f>
        <v>69</v>
      </c>
      <c r="D12" s="34">
        <f>IF(((AND(C69&gt;0,C12&gt;0))),(C12/(C69)),0)</f>
        <v>49.640287769784173</v>
      </c>
      <c r="E12" s="33">
        <f>'Data Entry'!J12</f>
        <v>93</v>
      </c>
      <c r="F12" s="34">
        <f>IF(((AND($D$69&gt;0,$E$12&gt;0))),(E12/(D69)),0)</f>
        <v>50.543478260869563</v>
      </c>
      <c r="G12" s="39">
        <f t="shared" si="0"/>
        <v>1.0181947069943289</v>
      </c>
      <c r="H12" s="40"/>
      <c r="I12" s="41"/>
      <c r="J12" s="40">
        <f>IF((ABS($U12)&gt;Defaults!D$7),1,2)</f>
        <v>2</v>
      </c>
      <c r="K12" s="39">
        <f>IF((AND(N12&gt;Defaults!B$12,(N12+O12)&gt;Defaults!B$13, P12 &gt; Defaults!B$12, (P12+Q12) &gt; Defaults!B$13)),1,20)</f>
        <v>1</v>
      </c>
      <c r="L12" s="1">
        <f t="shared" si="1"/>
        <v>2</v>
      </c>
      <c r="M12" s="1" t="b">
        <f t="shared" si="2"/>
        <v>1</v>
      </c>
      <c r="N12" s="42">
        <f t="shared" si="3"/>
        <v>93</v>
      </c>
      <c r="O12" s="42">
        <f>(D69*L69)-E12</f>
        <v>91</v>
      </c>
      <c r="P12" s="42">
        <f t="shared" si="4"/>
        <v>69</v>
      </c>
      <c r="Q12" s="42">
        <f>(C69*L69)-C12</f>
        <v>70</v>
      </c>
      <c r="R12" s="42">
        <f t="shared" si="5"/>
        <v>323</v>
      </c>
      <c r="S12" s="30">
        <f t="shared" si="6"/>
        <v>17235603</v>
      </c>
      <c r="T12" s="30">
        <f t="shared" si="7"/>
        <v>667073232</v>
      </c>
      <c r="U12" s="31">
        <f t="shared" si="8"/>
        <v>2.5837647462370369E-2</v>
      </c>
    </row>
    <row r="13" spans="2:21" ht="18" customHeight="1">
      <c r="B13" s="32" t="str">
        <f>'Data Entry'!A13</f>
        <v>8. Cases Resulting in Probation Placement</v>
      </c>
      <c r="C13" s="33">
        <f>'Data Entry'!C13</f>
        <v>12</v>
      </c>
      <c r="D13" s="34">
        <f>IF(((AND(C70&gt;0,C13&gt;0))),(C13/(C70)),0)</f>
        <v>17.39130434782609</v>
      </c>
      <c r="E13" s="33">
        <f>'Data Entry'!J13</f>
        <v>21</v>
      </c>
      <c r="F13" s="34">
        <f>IF(((AND($D$70&gt;0,$E$13&gt;0))),($E$13/($D$70)),0)</f>
        <v>22.58064516129032</v>
      </c>
      <c r="G13" s="39">
        <f t="shared" si="0"/>
        <v>1.2983870967741933</v>
      </c>
      <c r="H13" s="40"/>
      <c r="I13" s="41"/>
      <c r="J13" s="40">
        <f>IF((ABS($U13)&gt;Defaults!D$7),1,2)</f>
        <v>2</v>
      </c>
      <c r="K13" s="39">
        <f>IF((AND(N13&gt;Defaults!B$12,(N13+O13)&gt;Defaults!B$13, P13 &gt; Defaults!B$12, (P13+Q13) &gt; Defaults!B$13)),1,20)</f>
        <v>1</v>
      </c>
      <c r="L13" s="1">
        <f t="shared" si="1"/>
        <v>2</v>
      </c>
      <c r="M13" s="1" t="b">
        <f t="shared" si="2"/>
        <v>1</v>
      </c>
      <c r="N13" s="42">
        <f t="shared" si="3"/>
        <v>21</v>
      </c>
      <c r="O13" s="42">
        <f>(D70*L70)-E13</f>
        <v>72</v>
      </c>
      <c r="P13" s="42">
        <f t="shared" si="4"/>
        <v>12</v>
      </c>
      <c r="Q13" s="42">
        <f>(C70*L70)-C13</f>
        <v>57</v>
      </c>
      <c r="R13" s="42">
        <f t="shared" si="5"/>
        <v>162</v>
      </c>
      <c r="S13" s="30">
        <f t="shared" si="6"/>
        <v>17964018</v>
      </c>
      <c r="T13" s="30">
        <f t="shared" si="7"/>
        <v>27317169</v>
      </c>
      <c r="U13" s="31">
        <f t="shared" si="8"/>
        <v>0.65760906629819516</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Entry'!J14</f>
        <v>162</v>
      </c>
      <c r="F14" s="34">
        <f>IF(((AND($D$70&gt;0,$E$14&gt;0))), (($E$14/($D$70))),0)</f>
        <v>174.19354838709677</v>
      </c>
      <c r="G14" s="39">
        <f t="shared" si="0"/>
        <v>1.3815350389321466</v>
      </c>
      <c r="H14" s="40"/>
      <c r="I14" s="41"/>
      <c r="J14" s="40">
        <f>IF((ABS($U14)&gt;Defaults!D$7),1,2)</f>
        <v>1</v>
      </c>
      <c r="K14" s="39">
        <f>IF((AND(N14&gt;Defaults!B$12,(N14+O14)&gt;Defaults!B$13, P14 &gt; Defaults!B$12, (P14+Q14) &gt; Defaults!B$13)),1,20)</f>
        <v>1</v>
      </c>
      <c r="L14" s="1">
        <f t="shared" si="1"/>
        <v>1</v>
      </c>
      <c r="M14" s="1" t="b">
        <f t="shared" si="2"/>
        <v>1</v>
      </c>
      <c r="N14" s="42">
        <f t="shared" si="3"/>
        <v>162</v>
      </c>
      <c r="O14" s="42">
        <f>(D70*L70)-E14</f>
        <v>-69</v>
      </c>
      <c r="P14" s="42">
        <f t="shared" si="4"/>
        <v>87</v>
      </c>
      <c r="Q14" s="42">
        <f>(C70*L70)-C14</f>
        <v>-18</v>
      </c>
      <c r="R14" s="42">
        <f t="shared" si="5"/>
        <v>162</v>
      </c>
      <c r="S14" s="30">
        <f t="shared" si="6"/>
        <v>1543790178</v>
      </c>
      <c r="T14" s="30">
        <f t="shared" si="7"/>
        <v>-139011471</v>
      </c>
      <c r="U14" s="31">
        <f t="shared" si="8"/>
        <v>-11.105487675905538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184</v>
      </c>
      <c r="P15" s="42">
        <f t="shared" si="4"/>
        <v>0</v>
      </c>
      <c r="Q15" s="42">
        <f>(C69*L69)-C15</f>
        <v>139</v>
      </c>
      <c r="R15" s="42">
        <f t="shared" si="5"/>
        <v>323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39.527999999999999</v>
      </c>
      <c r="E42" s="56">
        <f>MAX(C42:D42)</f>
        <v>80.786000000000001</v>
      </c>
      <c r="G42" s="1" t="str">
        <f>B42</f>
        <v>per 1000 youth</v>
      </c>
      <c r="L42" s="57">
        <v>1000</v>
      </c>
      <c r="M42" s="57"/>
      <c r="R42" s="49"/>
    </row>
    <row r="43" spans="2:18" ht="15" hidden="1" customHeight="1">
      <c r="B43" s="49" t="s">
        <v>87</v>
      </c>
      <c r="C43" s="56">
        <f>C7/100</f>
        <v>2.89</v>
      </c>
      <c r="D43" s="56">
        <f>E7/100</f>
        <v>5.4</v>
      </c>
      <c r="E43" s="56">
        <f>MAX(C43:D43,0)</f>
        <v>5.4</v>
      </c>
      <c r="G43" s="1" t="str">
        <f>B43</f>
        <v>per 100 arrests</v>
      </c>
      <c r="L43" s="57">
        <v>100</v>
      </c>
      <c r="M43" s="57"/>
      <c r="R43" s="49"/>
    </row>
    <row r="44" spans="2:18" ht="15" hidden="1" customHeight="1">
      <c r="B44" s="49" t="s">
        <v>88</v>
      </c>
      <c r="C44" s="56">
        <f>C8/100</f>
        <v>6.86</v>
      </c>
      <c r="D44" s="56">
        <f>E8/100</f>
        <v>8.4499999999999993</v>
      </c>
      <c r="E44" s="56">
        <f>MAX(C44:D44,0)</f>
        <v>8.4499999999999993</v>
      </c>
      <c r="G44" s="1" t="str">
        <f>B44</f>
        <v>per 100 referrals</v>
      </c>
      <c r="L44" s="57">
        <v>100</v>
      </c>
      <c r="M44" s="57"/>
      <c r="R44" s="49"/>
    </row>
    <row r="45" spans="2:18" ht="15" hidden="1" customHeight="1">
      <c r="B45" s="49" t="s">
        <v>89</v>
      </c>
      <c r="C45" s="49">
        <f>C11/100</f>
        <v>1.39</v>
      </c>
      <c r="D45" s="49">
        <f>E11/100</f>
        <v>1.84</v>
      </c>
      <c r="E45" s="56">
        <f>MAX(C45:D45,0)</f>
        <v>1.84</v>
      </c>
      <c r="G45" s="1" t="str">
        <f>B45</f>
        <v>per 100 youth petitioned</v>
      </c>
      <c r="L45" s="57">
        <v>100</v>
      </c>
      <c r="M45" s="57"/>
      <c r="R45" s="49"/>
    </row>
    <row r="46" spans="2:18" ht="15" hidden="1" customHeight="1">
      <c r="B46" s="49" t="s">
        <v>90</v>
      </c>
      <c r="C46" s="49">
        <f>C12/100</f>
        <v>0.69</v>
      </c>
      <c r="D46" s="49">
        <f>E12/100</f>
        <v>0.93</v>
      </c>
      <c r="E46" s="56">
        <f>MAX(C46:D46)</f>
        <v>0.93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39.527999999999999</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5.4</v>
      </c>
      <c r="E49" s="49">
        <f>MAX(C49:D49)</f>
        <v>5.4</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8.4499999999999993</v>
      </c>
      <c r="E50" s="49">
        <f>MAX(C50:D50)</f>
        <v>8.4499999999999993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1.84</v>
      </c>
      <c r="E51" s="49">
        <f>MAX(C51:D51)</f>
        <v>1.84</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0.93</v>
      </c>
      <c r="E52" s="56">
        <f>MAX(C52:D52)</f>
        <v>0.93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39.527999999999999</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5.4</v>
      </c>
      <c r="E55" s="49">
        <f>MAX(C55:D55)</f>
        <v>5.4</v>
      </c>
      <c r="G55" s="1" t="str">
        <f>G49</f>
        <v>per 100 arrests</v>
      </c>
      <c r="L55" s="58">
        <f>IF(($E49&gt;0),L49,L48)</f>
        <v>100</v>
      </c>
      <c r="M55" s="58"/>
    </row>
    <row r="56" spans="2:18" ht="15" hidden="1" customHeight="1">
      <c r="B56" s="49" t="str">
        <f t="shared" si="10"/>
        <v>per 100 referrals</v>
      </c>
      <c r="C56" s="49">
        <f t="shared" si="10"/>
        <v>6.86</v>
      </c>
      <c r="D56" s="49">
        <f t="shared" si="10"/>
        <v>8.4499999999999993</v>
      </c>
      <c r="E56" s="49">
        <f>MAX(C56:D56)</f>
        <v>8.4499999999999993</v>
      </c>
      <c r="G56" s="1" t="str">
        <f>G50</f>
        <v>per 100 referrals</v>
      </c>
      <c r="L56" s="58">
        <f>IF(($E50&gt;0),L50,L49)</f>
        <v>100</v>
      </c>
      <c r="M56" s="58"/>
    </row>
    <row r="57" spans="2:18" ht="15" hidden="1" customHeight="1">
      <c r="B57" s="49" t="str">
        <f>IF(($E51&gt;0),B51,B49)</f>
        <v>per 100 youth petitioned</v>
      </c>
      <c r="C57" s="49">
        <f>IF(($E51&gt;0),C51,C50)</f>
        <v>1.39</v>
      </c>
      <c r="D57" s="49">
        <f>IF(($E51&gt;0),D51,D50)</f>
        <v>1.84</v>
      </c>
      <c r="E57" s="49">
        <f>MAX(C57:D57)</f>
        <v>1.84</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0.93</v>
      </c>
      <c r="E58" s="56">
        <f>MAX(C58:D58)</f>
        <v>0.93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39.527999999999999</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5.4</v>
      </c>
      <c r="E61" s="49">
        <f>MAX(C61:D61)</f>
        <v>5.4</v>
      </c>
      <c r="G61" s="1" t="str">
        <f>G55</f>
        <v>per 100 arrests</v>
      </c>
      <c r="L61" s="58">
        <f>IF(($E55&gt;0),L55,L54)</f>
        <v>100</v>
      </c>
      <c r="M61" s="58"/>
    </row>
    <row r="62" spans="2:18" ht="15" hidden="1" customHeight="1">
      <c r="B62" s="49" t="str">
        <f t="shared" si="11"/>
        <v>per 100 referrals</v>
      </c>
      <c r="C62" s="49">
        <f t="shared" si="11"/>
        <v>6.86</v>
      </c>
      <c r="D62" s="49">
        <f t="shared" si="11"/>
        <v>8.4499999999999993</v>
      </c>
      <c r="E62" s="49">
        <f>MAX(C62:D62)</f>
        <v>8.4499999999999993</v>
      </c>
      <c r="G62" s="1" t="str">
        <f>G56</f>
        <v>per 100 referrals</v>
      </c>
      <c r="L62" s="58">
        <f>IF(($E56&gt;0),L56,L55)</f>
        <v>100</v>
      </c>
      <c r="M62" s="58"/>
    </row>
    <row r="63" spans="2:18" ht="15" hidden="1" customHeight="1">
      <c r="B63" s="49" t="str">
        <f>IF(($E57&gt;0),B57,B55)</f>
        <v>per 100 youth petitioned</v>
      </c>
      <c r="C63" s="49">
        <f>IF(($E57&gt;0),C57,C56)</f>
        <v>1.39</v>
      </c>
      <c r="D63" s="49">
        <f>IF(($E57&gt;0),D57,D56)</f>
        <v>1.84</v>
      </c>
      <c r="E63" s="49">
        <f>MAX(C63:D63)</f>
        <v>1.84</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0.93</v>
      </c>
      <c r="E64" s="56">
        <f>MAX(C64:D64)</f>
        <v>0.93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39.527999999999999</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5.4</v>
      </c>
      <c r="E67" s="49">
        <f>MAX(C67:D67)</f>
        <v>5.4</v>
      </c>
      <c r="G67" s="1" t="str">
        <f>G61</f>
        <v>per 100 arrests</v>
      </c>
      <c r="L67" s="58">
        <f>IF(($E61&gt;0),L61,L60)</f>
        <v>100</v>
      </c>
      <c r="M67" s="58">
        <f>IF((B67=G67),1,2)</f>
        <v>1</v>
      </c>
    </row>
    <row r="68" spans="2:13" ht="15" hidden="1" customHeight="1">
      <c r="B68" s="49" t="str">
        <f t="shared" si="12"/>
        <v>per 100 referrals</v>
      </c>
      <c r="C68" s="49">
        <f t="shared" si="12"/>
        <v>6.86</v>
      </c>
      <c r="D68" s="49">
        <f t="shared" si="12"/>
        <v>8.4499999999999993</v>
      </c>
      <c r="E68" s="49">
        <f>MAX(C68:D68)</f>
        <v>8.4499999999999993</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1.84</v>
      </c>
      <c r="E69" s="49">
        <f>MAX(C69:D69)</f>
        <v>1.84</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0.93</v>
      </c>
      <c r="E70" s="56">
        <f>MAX(C70:D70)</f>
        <v>0.93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Oakland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7.6676540191214535</v>
      </c>
      <c r="D7" s="72">
        <f>Hispanic!G7</f>
        <v>0.99586515836529377</v>
      </c>
      <c r="E7" s="72">
        <f>Asian!G7</f>
        <v>0.19041984480921717</v>
      </c>
      <c r="F7" s="72" t="str">
        <f>Hawaiian!G7</f>
        <v>*</v>
      </c>
      <c r="G7" s="72" t="str">
        <f>'Am Indian'!G7</f>
        <v>*</v>
      </c>
      <c r="H7" s="72" t="str">
        <f>'Other - Mixed'!G7</f>
        <v>*</v>
      </c>
      <c r="I7" s="73">
        <f>'All Minorities'!G7</f>
        <v>3.8188023521848469</v>
      </c>
      <c r="L7" s="1">
        <f>'Black or African-American'!L7</f>
        <v>1</v>
      </c>
      <c r="M7" s="1">
        <f>Hispanic!L7</f>
        <v>2</v>
      </c>
      <c r="N7" s="1">
        <f>Asian!L7</f>
        <v>1</v>
      </c>
      <c r="O7" s="1" t="e">
        <f>Hawaiian!L7</f>
        <v>#VALUE!</v>
      </c>
      <c r="P7" s="1">
        <f>'Am Indian'!L7</f>
        <v>139</v>
      </c>
      <c r="Q7" s="1" t="e">
        <f>'Other - Mixed'!L7</f>
        <v>#VALUE!</v>
      </c>
      <c r="R7" s="1">
        <f>'All Minorities'!L7</f>
        <v>1</v>
      </c>
    </row>
    <row r="8" spans="2:18" ht="15" customHeight="1">
      <c r="B8" s="71" t="s">
        <v>9</v>
      </c>
      <c r="C8" s="72">
        <f>'Black or African-American'!$G8</f>
        <v>0.67149924905026948</v>
      </c>
      <c r="D8" s="72">
        <f>Hispanic!G8</f>
        <v>0.14042759961127307</v>
      </c>
      <c r="E8" s="72" t="str">
        <f>Asian!G8</f>
        <v>**</v>
      </c>
      <c r="F8" s="72" t="str">
        <f>Hawaiian!G8</f>
        <v>*</v>
      </c>
      <c r="G8" s="72" t="str">
        <f>'Am Indian'!G8</f>
        <v>*</v>
      </c>
      <c r="H8" s="72" t="str">
        <f>'Other - Mixed'!G8</f>
        <v>*</v>
      </c>
      <c r="I8" s="73">
        <f>'All Minorities'!G8</f>
        <v>0.65922956484180972</v>
      </c>
      <c r="L8" s="1">
        <f>'Black or African-American'!L8</f>
        <v>1</v>
      </c>
      <c r="M8" s="1">
        <f>Hispanic!L8</f>
        <v>1</v>
      </c>
      <c r="N8" s="1">
        <f>Asian!L8</f>
        <v>40</v>
      </c>
      <c r="O8" s="1">
        <f>Hawaiian!L8</f>
        <v>119</v>
      </c>
      <c r="P8" s="1">
        <f>'Am Indian'!L8</f>
        <v>119</v>
      </c>
      <c r="Q8" s="1">
        <f>'Other - Mixed'!L8</f>
        <v>119</v>
      </c>
      <c r="R8" s="1">
        <f>'All Minorities'!L8</f>
        <v>1</v>
      </c>
    </row>
    <row r="9" spans="2:18" ht="15" customHeight="1">
      <c r="B9" s="71" t="s">
        <v>10</v>
      </c>
      <c r="C9" s="72">
        <f>'Black or African-American'!$G9</f>
        <v>0.67794509304701767</v>
      </c>
      <c r="D9" s="72" t="str">
        <f>Hispanic!G9</f>
        <v>**</v>
      </c>
      <c r="E9" s="72" t="str">
        <f>Asian!G9</f>
        <v>**</v>
      </c>
      <c r="F9" s="72" t="str">
        <f>Hawaiian!G9</f>
        <v>*</v>
      </c>
      <c r="G9" s="72" t="str">
        <f>'Am Indian'!G9</f>
        <v>*</v>
      </c>
      <c r="H9" s="72" t="str">
        <f>'Other - Mixed'!G9</f>
        <v>*</v>
      </c>
      <c r="I9" s="73">
        <f>'All Minorities'!G9</f>
        <v>0.66520345124208224</v>
      </c>
      <c r="L9" s="1">
        <f>'Black or African-American'!L9</f>
        <v>1</v>
      </c>
      <c r="M9" s="1">
        <f>Hispanic!L9</f>
        <v>40</v>
      </c>
      <c r="N9" s="1">
        <f>Asian!L9</f>
        <v>40</v>
      </c>
      <c r="O9" s="1">
        <f>Hawaiian!L9</f>
        <v>139</v>
      </c>
      <c r="P9" s="1" t="e">
        <f>'Am Indian'!L9</f>
        <v>#VALUE!</v>
      </c>
      <c r="Q9" s="1">
        <f>'Other - Mixed'!L9</f>
        <v>139</v>
      </c>
      <c r="R9" s="1">
        <f>'All Minorities'!L9</f>
        <v>1</v>
      </c>
    </row>
    <row r="10" spans="2:18" ht="15" customHeight="1">
      <c r="B10" s="71" t="s">
        <v>11</v>
      </c>
      <c r="C10" s="72">
        <f>'Black or African-American'!$G10</f>
        <v>1.2289412108803746</v>
      </c>
      <c r="D10" s="72" t="str">
        <f>Hispanic!G10</f>
        <v>**</v>
      </c>
      <c r="E10" s="72" t="str">
        <f>Asian!G10</f>
        <v>**</v>
      </c>
      <c r="F10" s="72" t="str">
        <f>Hawaiian!G10</f>
        <v>*</v>
      </c>
      <c r="G10" s="72" t="str">
        <f>'Am Indian'!G10</f>
        <v>*</v>
      </c>
      <c r="H10" s="72" t="str">
        <f>'Other - Mixed'!G10</f>
        <v>*</v>
      </c>
      <c r="I10" s="73">
        <f>'All Minorities'!G10</f>
        <v>1.3504551661356397</v>
      </c>
      <c r="L10" s="1">
        <f>'Black or African-American'!L10</f>
        <v>2</v>
      </c>
      <c r="M10" s="1">
        <f>Hispanic!L10</f>
        <v>40</v>
      </c>
      <c r="N10" s="1">
        <f>Asian!L10</f>
        <v>20</v>
      </c>
      <c r="O10" s="1">
        <f>Hawaiian!L10</f>
        <v>139</v>
      </c>
      <c r="P10" s="1" t="e">
        <f>'Am Indian'!L10</f>
        <v>#VALUE!</v>
      </c>
      <c r="Q10" s="1">
        <f>'Other - Mixed'!L10</f>
        <v>119</v>
      </c>
      <c r="R10" s="1">
        <f>'All Minorities'!L10</f>
        <v>1</v>
      </c>
    </row>
    <row r="11" spans="2:18" ht="15" customHeight="1">
      <c r="B11" s="71" t="s">
        <v>95</v>
      </c>
      <c r="C11" s="72">
        <f>'Black or African-American'!$G11</f>
        <v>1.069617309954318</v>
      </c>
      <c r="D11" s="72" t="str">
        <f>Hispanic!G11</f>
        <v>**</v>
      </c>
      <c r="E11" s="72" t="str">
        <f>Asian!G11</f>
        <v>**</v>
      </c>
      <c r="F11" s="72" t="str">
        <f>Hawaiian!G11</f>
        <v>*</v>
      </c>
      <c r="G11" s="72" t="str">
        <f>'Am Indian'!G11</f>
        <v>*</v>
      </c>
      <c r="H11" s="72" t="str">
        <f>'Other - Mixed'!G11</f>
        <v>*</v>
      </c>
      <c r="I11" s="73">
        <f>'All Minorities'!G11</f>
        <v>1.0746583798050318</v>
      </c>
      <c r="L11" s="1">
        <f>'Black or African-American'!L11</f>
        <v>2</v>
      </c>
      <c r="M11" s="1">
        <f>Hispanic!L11</f>
        <v>40</v>
      </c>
      <c r="N11" s="1">
        <f>Asian!L11</f>
        <v>40</v>
      </c>
      <c r="O11" s="1">
        <f>Hawaiian!L11</f>
        <v>139</v>
      </c>
      <c r="P11" s="1" t="e">
        <f>'Am Indian'!L11</f>
        <v>#VALUE!</v>
      </c>
      <c r="Q11" s="1">
        <f>'Other - Mixed'!L11</f>
        <v>139</v>
      </c>
      <c r="R11" s="1">
        <f>'All Minorities'!L11</f>
        <v>2</v>
      </c>
    </row>
    <row r="12" spans="2:18" ht="15" customHeight="1">
      <c r="B12" s="71" t="s">
        <v>13</v>
      </c>
      <c r="C12" s="72">
        <f>'Black or African-American'!$G12</f>
        <v>0.97779472836681081</v>
      </c>
      <c r="D12" s="72" t="str">
        <f>Hispanic!G12</f>
        <v>**</v>
      </c>
      <c r="E12" s="72" t="str">
        <f>Asian!G12</f>
        <v>**</v>
      </c>
      <c r="F12" s="72" t="str">
        <f>Hawaiian!G12</f>
        <v>*</v>
      </c>
      <c r="G12" s="72" t="str">
        <f>'Am Indian'!G12</f>
        <v>*</v>
      </c>
      <c r="H12" s="72" t="str">
        <f>'Other - Mixed'!G12</f>
        <v>*</v>
      </c>
      <c r="I12" s="73">
        <f>'All Minorities'!G12</f>
        <v>1.0181947069943289</v>
      </c>
      <c r="L12" s="1">
        <f>'Black or African-American'!L12</f>
        <v>2</v>
      </c>
      <c r="M12" s="1">
        <f>Hispanic!L12</f>
        <v>40</v>
      </c>
      <c r="N12" s="1">
        <f>Asian!L12</f>
        <v>40</v>
      </c>
      <c r="O12" s="1" t="e">
        <f>Hawaiian!L12</f>
        <v>#VALUE!</v>
      </c>
      <c r="P12" s="1" t="e">
        <f>'Am Indian'!L12</f>
        <v>#VALUE!</v>
      </c>
      <c r="Q12" s="1">
        <f>'Other - Mixed'!L12</f>
        <v>119</v>
      </c>
      <c r="R12" s="1">
        <f>'All Minorities'!L12</f>
        <v>2</v>
      </c>
    </row>
    <row r="13" spans="2:18" ht="15" customHeight="1">
      <c r="B13" s="71" t="s">
        <v>14</v>
      </c>
      <c r="C13" s="72">
        <f>'Black or African-American'!$G13</f>
        <v>1.177710843373494</v>
      </c>
      <c r="D13" s="72" t="str">
        <f>Hispanic!G13</f>
        <v>--</v>
      </c>
      <c r="E13" s="72" t="str">
        <f>Asian!G13</f>
        <v>**</v>
      </c>
      <c r="F13" s="72" t="str">
        <f>Hawaiian!G13</f>
        <v>*</v>
      </c>
      <c r="G13" s="72" t="str">
        <f>'Am Indian'!G13</f>
        <v>*</v>
      </c>
      <c r="H13" s="72" t="str">
        <f>'Other - Mixed'!G13</f>
        <v>*</v>
      </c>
      <c r="I13" s="73">
        <f>'All Minorities'!G13</f>
        <v>1.2983870967741933</v>
      </c>
      <c r="L13" s="1">
        <f>'Black or African-American'!L13</f>
        <v>2</v>
      </c>
      <c r="M13" s="1" t="e">
        <f>Hispanic!L13</f>
        <v>#VALUE!</v>
      </c>
      <c r="N13" s="1">
        <f>Asian!L13</f>
        <v>40</v>
      </c>
      <c r="O13" s="1" t="e">
        <f>Hawaiian!L13</f>
        <v>#VALUE!</v>
      </c>
      <c r="P13" s="1" t="e">
        <f>'Am Indian'!L13</f>
        <v>#VALUE!</v>
      </c>
      <c r="Q13" s="1">
        <f>'Other - Mixed'!L13</f>
        <v>139</v>
      </c>
      <c r="R13" s="1">
        <f>'All Minorities'!L13</f>
        <v>2</v>
      </c>
    </row>
    <row r="14" spans="2:18" ht="25.5" customHeight="1">
      <c r="B14" s="71" t="s">
        <v>15</v>
      </c>
      <c r="C14" s="72">
        <f>'Black or African-American'!$G14</f>
        <v>1.2995429995845451</v>
      </c>
      <c r="D14" s="72" t="str">
        <f>Hispanic!G14</f>
        <v>--</v>
      </c>
      <c r="E14" s="72" t="str">
        <f>Asian!G14</f>
        <v>**</v>
      </c>
      <c r="F14" s="72" t="str">
        <f>Hawaiian!G14</f>
        <v>*</v>
      </c>
      <c r="G14" s="72" t="str">
        <f>'Am Indian'!G14</f>
        <v>*</v>
      </c>
      <c r="H14" s="72" t="str">
        <f>'Other - Mixed'!G14</f>
        <v>*</v>
      </c>
      <c r="I14" s="73">
        <f>'All Minorities'!G14</f>
        <v>1.3815350389321466</v>
      </c>
      <c r="L14" s="1">
        <f>'Black or African-American'!L14</f>
        <v>1</v>
      </c>
      <c r="M14" s="1" t="e">
        <f>Hispanic!L14</f>
        <v>#DIV/0!</v>
      </c>
      <c r="N14" s="1">
        <f>Asian!L14</f>
        <v>20</v>
      </c>
      <c r="O14" s="1" t="e">
        <f>Hawaiian!L14</f>
        <v>#VALUE!</v>
      </c>
      <c r="P14" s="1" t="e">
        <f>'Am Indian'!L14</f>
        <v>#VALUE!</v>
      </c>
      <c r="Q14" s="1">
        <f>'Other - Mixed'!L14</f>
        <v>139</v>
      </c>
      <c r="R14" s="1">
        <f>'All Minorities'!L14</f>
        <v>1</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120314</v>
      </c>
      <c r="D3" s="57">
        <f>'Data Entry'!C6</f>
        <v>80786</v>
      </c>
      <c r="E3" s="57">
        <f>'Data Entry'!D6</f>
        <v>18046</v>
      </c>
      <c r="F3" s="57">
        <f>'Data Entry'!E6</f>
        <v>9263</v>
      </c>
      <c r="G3" s="57">
        <f>'Data Entry'!F6</f>
        <v>11744</v>
      </c>
      <c r="H3" s="57">
        <f>'Data Entry'!G6</f>
        <v>0</v>
      </c>
      <c r="I3" s="57">
        <f>'Data Entry'!H6</f>
        <v>475</v>
      </c>
      <c r="J3" s="57">
        <f>'Data Entry'!I6</f>
        <v>0</v>
      </c>
      <c r="K3" s="57">
        <f>'Data Entry'!J6</f>
        <v>39528</v>
      </c>
    </row>
    <row r="4" spans="2:11" ht="15" customHeight="1">
      <c r="B4" s="16" t="s">
        <v>8</v>
      </c>
      <c r="C4" s="1">
        <f>IF((C$3&gt;0),(1000*('Data Entry'!B7/'Data Entry'!B$6)), 0)</f>
        <v>6.9651079674850811</v>
      </c>
      <c r="D4" s="1">
        <f>IF((D$3&gt;0),(1000*('Data Entry'!C7/'Data Entry'!C$6)), 0)</f>
        <v>3.5773525115737876</v>
      </c>
      <c r="E4" s="1">
        <f>IF((E$3&gt;0),(1000*('Data Entry'!D7/'Data Entry'!D$6)), 0)</f>
        <v>27.429901363182978</v>
      </c>
      <c r="F4" s="1">
        <f>IF((F$3&gt;0),(1000*('Data Entry'!E7/'Data Entry'!E$6)), 0)</f>
        <v>3.5625607254669114</v>
      </c>
      <c r="G4" s="1">
        <f>IF((G$3&gt;0),(1000*('Data Entry'!F7/'Data Entry'!F$6)), 0)</f>
        <v>0.68119891008174382</v>
      </c>
      <c r="H4" s="1">
        <f>IF((H$3&gt;0),(1000*('Data Entry'!G7/'Data Entry'!G$6)), 0)</f>
        <v>0</v>
      </c>
      <c r="I4" s="1">
        <f>IF((I$3&gt;0),(1000*('Data Entry'!H7/'Data Entry'!H$6)), 0)</f>
        <v>8.4210526315789469</v>
      </c>
      <c r="J4" s="1">
        <f>IF((J$3&gt;0),(1000*('Data Entry'!I7/'Data Entry'!I$6)), 0)</f>
        <v>0</v>
      </c>
      <c r="K4" s="1">
        <f>IF((K$3&gt;0),(1000*('Data Entry'!J7/'Data Entry'!J$6)), 0)</f>
        <v>13.66120218579235</v>
      </c>
    </row>
    <row r="5" spans="2:11" ht="15" customHeight="1">
      <c r="B5" s="16" t="s">
        <v>9</v>
      </c>
      <c r="C5" s="1">
        <f>IF((C$3&gt;0),(1000*('Data Entry'!B8/'Data Entry'!B$6)), 0)</f>
        <v>13.323470252838407</v>
      </c>
      <c r="D5" s="1">
        <f>IF((D$3&gt;0),(1000*('Data Entry'!C8/'Data Entry'!C$6)), 0)</f>
        <v>8.4915703215903751</v>
      </c>
      <c r="E5" s="1">
        <f>IF((E$3&gt;0),(1000*('Data Entry'!D8/'Data Entry'!D$6)), 0)</f>
        <v>43.721600354649233</v>
      </c>
      <c r="F5" s="1">
        <f>IF((F$3&gt;0),(1000*('Data Entry'!E8/'Data Entry'!E$6)), 0)</f>
        <v>1.1875202418223039</v>
      </c>
      <c r="G5" s="1">
        <f>IF((G$3&gt;0),(1000*('Data Entry'!F8/'Data Entry'!F$6)), 0)</f>
        <v>2.3841961852861036</v>
      </c>
      <c r="H5" s="1">
        <f>IF((H$3&gt;0),(1000*('Data Entry'!G8/'Data Entry'!G$6)), 0)</f>
        <v>0</v>
      </c>
      <c r="I5" s="1">
        <f>IF((I$3&gt;0),(1000*('Data Entry'!H8/'Data Entry'!H$6)), 0)</f>
        <v>0</v>
      </c>
      <c r="J5" s="1">
        <f>IF((J$3&gt;0),(1000*('Data Entry'!I8/'Data Entry'!I$6)), 0)</f>
        <v>0</v>
      </c>
      <c r="K5" s="1">
        <f>IF((K$3&gt;0),(1000*('Data Entry'!J8/'Data Entry'!J$6)), 0)</f>
        <v>21.377251568508399</v>
      </c>
    </row>
    <row r="6" spans="2:11" ht="15" customHeight="1">
      <c r="B6" s="16" t="s">
        <v>10</v>
      </c>
      <c r="C6" s="1">
        <f>IF((C$3&gt;0),(1000*('Data Entry'!B9/'Data Entry'!B$6)), 0)</f>
        <v>3.6986551855976861</v>
      </c>
      <c r="D6" s="1">
        <f>IF((D$3&gt;0),(1000*('Data Entry'!C9/'Data Entry'!C$6)), 0)</f>
        <v>2.8098928032084767</v>
      </c>
      <c r="E6" s="1">
        <f>IF((E$3&gt;0),(1000*('Data Entry'!D9/'Data Entry'!D$6)), 0)</f>
        <v>9.8082677601684587</v>
      </c>
      <c r="F6" s="1">
        <f>IF((F$3&gt;0),(1000*('Data Entry'!E9/'Data Entry'!E$6)), 0)</f>
        <v>0.10795638562020944</v>
      </c>
      <c r="G6" s="1">
        <f>IF((G$3&gt;0),(1000*('Data Entry'!F9/'Data Entry'!F$6)), 0)</f>
        <v>0.4257493188010899</v>
      </c>
      <c r="H6" s="1">
        <f>IF((H$3&gt;0),(1000*('Data Entry'!G9/'Data Entry'!G$6)), 0)</f>
        <v>0</v>
      </c>
      <c r="I6" s="1">
        <f>IF((I$3&gt;0),(1000*('Data Entry'!H9/'Data Entry'!H$6)), 0)</f>
        <v>0</v>
      </c>
      <c r="J6" s="1">
        <f>IF((J$3&gt;0),(1000*('Data Entry'!I9/'Data Entry'!I$6)), 0)</f>
        <v>0</v>
      </c>
      <c r="K6" s="1">
        <f>IF((K$3&gt;0),(1000*('Data Entry'!J9/'Data Entry'!J$6)), 0)</f>
        <v>4.705525197328476</v>
      </c>
    </row>
    <row r="7" spans="2:11" ht="15" customHeight="1">
      <c r="B7" s="16" t="s">
        <v>11</v>
      </c>
      <c r="C7" s="1">
        <f>IF((C$3&gt;0),(1000*('Data Entry'!B10/'Data Entry'!B$6)), 0)</f>
        <v>2.3438668816596571</v>
      </c>
      <c r="D7" s="1">
        <f>IF((D$3&gt;0),(1000*('Data Entry'!C10/'Data Entry'!C$6)), 0)</f>
        <v>1.2873517688708438</v>
      </c>
      <c r="E7" s="1">
        <f>IF((E$3&gt;0),(1000*('Data Entry'!D10/'Data Entry'!D$6)), 0)</f>
        <v>8.1458494957331258</v>
      </c>
      <c r="F7" s="1">
        <f>IF((F$3&gt;0),(1000*('Data Entry'!E10/'Data Entry'!E$6)), 0)</f>
        <v>0.32386915686062828</v>
      </c>
      <c r="G7" s="1">
        <f>IF((G$3&gt;0),(1000*('Data Entry'!F10/'Data Entry'!F$6)), 0)</f>
        <v>1.1069482288828338</v>
      </c>
      <c r="H7" s="1">
        <f>IF((H$3&gt;0),(1000*('Data Entry'!G10/'Data Entry'!G$6)), 0)</f>
        <v>0</v>
      </c>
      <c r="I7" s="1">
        <f>IF((I$3&gt;0),(1000*('Data Entry'!H10/'Data Entry'!H$6)), 0)</f>
        <v>0</v>
      </c>
      <c r="J7" s="1">
        <f>IF((J$3&gt;0),(1000*('Data Entry'!I10/'Data Entry'!I$6)), 0)</f>
        <v>0</v>
      </c>
      <c r="K7" s="1">
        <f>IF((K$3&gt;0),(1000*('Data Entry'!J10/'Data Entry'!J$6)), 0)</f>
        <v>4.3766444039668082</v>
      </c>
    </row>
    <row r="8" spans="2:11" ht="15" customHeight="1">
      <c r="B8" s="16" t="s">
        <v>95</v>
      </c>
      <c r="C8" s="1">
        <f>IF((C$3&gt;0),(1000*('Data Entry'!B11/'Data Entry'!B$6)), 0)</f>
        <v>2.717888192562794</v>
      </c>
      <c r="D8" s="1">
        <f>IF((D$3&gt;0),(1000*('Data Entry'!C11/'Data Entry'!C$6)), 0)</f>
        <v>1.7205951526254548</v>
      </c>
      <c r="E8" s="1">
        <f>IF((E$3&gt;0),(1000*('Data Entry'!D11/'Data Entry'!D$6)), 0)</f>
        <v>9.4757841072813918</v>
      </c>
      <c r="F8" s="1">
        <f>IF((F$3&gt;0),(1000*('Data Entry'!E11/'Data Entry'!E$6)), 0)</f>
        <v>0.10795638562020944</v>
      </c>
      <c r="G8" s="1">
        <f>IF((G$3&gt;0),(1000*('Data Entry'!F11/'Data Entry'!F$6)), 0)</f>
        <v>0.59604904632152589</v>
      </c>
      <c r="H8" s="1">
        <f>IF((H$3&gt;0),(1000*('Data Entry'!G11/'Data Entry'!G$6)), 0)</f>
        <v>0</v>
      </c>
      <c r="I8" s="1">
        <f>IF((I$3&gt;0),(1000*('Data Entry'!H11/'Data Entry'!H$6)), 0)</f>
        <v>0</v>
      </c>
      <c r="J8" s="1">
        <f>IF((J$3&gt;0),(1000*('Data Entry'!I11/'Data Entry'!I$6)), 0)</f>
        <v>0</v>
      </c>
      <c r="K8" s="1">
        <f>IF((K$3&gt;0),(1000*('Data Entry'!J11/'Data Entry'!J$6)), 0)</f>
        <v>4.6549281521959118</v>
      </c>
    </row>
    <row r="9" spans="2:11" ht="15" customHeight="1">
      <c r="B9" s="16" t="s">
        <v>13</v>
      </c>
      <c r="C9" s="1">
        <f>IF((C$3&gt;0),(1000*('Data Entry'!B12/'Data Entry'!B$6)), 0)</f>
        <v>1.3714114733115017</v>
      </c>
      <c r="D9" s="1">
        <f>IF((D$3&gt;0),(1000*('Data Entry'!C12/'Data Entry'!C$6)), 0)</f>
        <v>0.85410838511623299</v>
      </c>
      <c r="E9" s="1">
        <f>IF((E$3&gt;0),(1000*('Data Entry'!D12/'Data Entry'!D$6)), 0)</f>
        <v>4.5993571982710852</v>
      </c>
      <c r="F9" s="1">
        <f>IF((F$3&gt;0),(1000*('Data Entry'!E12/'Data Entry'!E$6)), 0)</f>
        <v>0</v>
      </c>
      <c r="G9" s="1">
        <f>IF((G$3&gt;0),(1000*('Data Entry'!F12/'Data Entry'!F$6)), 0)</f>
        <v>0.4257493188010899</v>
      </c>
      <c r="H9" s="1">
        <f>IF((H$3&gt;0),(1000*('Data Entry'!G12/'Data Entry'!G$6)), 0)</f>
        <v>0</v>
      </c>
      <c r="I9" s="1">
        <f>IF((I$3&gt;0),(1000*('Data Entry'!H12/'Data Entry'!H$6)), 0)</f>
        <v>0</v>
      </c>
      <c r="J9" s="1">
        <f>IF((J$3&gt;0),(1000*('Data Entry'!I12/'Data Entry'!I$6)), 0)</f>
        <v>0</v>
      </c>
      <c r="K9" s="1">
        <f>IF((K$3&gt;0),(1000*('Data Entry'!J12/'Data Entry'!J$6)), 0)</f>
        <v>2.352762598664238</v>
      </c>
    </row>
    <row r="10" spans="2:11" ht="15" customHeight="1">
      <c r="B10" s="16" t="s">
        <v>14</v>
      </c>
      <c r="C10" s="1">
        <f>IF((C$3&gt;0),(1000*('Data Entry'!B13/'Data Entry'!B$6)), 0)</f>
        <v>0.27428229466230031</v>
      </c>
      <c r="D10" s="1">
        <f>IF((D$3&gt;0),(1000*('Data Entry'!C13/'Data Entry'!C$6)), 0)</f>
        <v>0.14854058871586662</v>
      </c>
      <c r="E10" s="1">
        <f>IF((E$3&gt;0),(1000*('Data Entry'!D13/'Data Entry'!D$6)), 0)</f>
        <v>0.94203701651335481</v>
      </c>
      <c r="F10" s="1">
        <f>IF((F$3&gt;0),(1000*('Data Entry'!E13/'Data Entry'!E$6)), 0)</f>
        <v>0</v>
      </c>
      <c r="G10" s="1">
        <f>IF((G$3&gt;0),(1000*('Data Entry'!F13/'Data Entry'!F$6)), 0)</f>
        <v>0.17029972752043596</v>
      </c>
      <c r="H10" s="1">
        <f>IF((H$3&gt;0),(1000*('Data Entry'!G13/'Data Entry'!G$6)), 0)</f>
        <v>0</v>
      </c>
      <c r="I10" s="1">
        <f>IF((I$3&gt;0),(1000*('Data Entry'!H13/'Data Entry'!H$6)), 0)</f>
        <v>0</v>
      </c>
      <c r="J10" s="1">
        <f>IF((J$3&gt;0),(1000*('Data Entry'!I13/'Data Entry'!I$6)), 0)</f>
        <v>0</v>
      </c>
      <c r="K10" s="1">
        <f>IF((K$3&gt;0),(1000*('Data Entry'!J13/'Data Entry'!J$6)), 0)</f>
        <v>0.53126897389192462</v>
      </c>
    </row>
    <row r="11" spans="2:11" ht="25.5" customHeight="1">
      <c r="B11" s="16" t="s">
        <v>15</v>
      </c>
      <c r="C11" s="1">
        <f>IF((C$3&gt;0),(1000*('Data Entry'!B14/'Data Entry'!B$6)), 0)</f>
        <v>2.1028309257443025</v>
      </c>
      <c r="D11" s="1">
        <f>IF((D$3&gt;0),(1000*('Data Entry'!C14/'Data Entry'!C$6)), 0)</f>
        <v>1.0769192681900328</v>
      </c>
      <c r="E11" s="1">
        <f>IF((E$3&gt;0),(1000*('Data Entry'!D14/'Data Entry'!D$6)), 0)</f>
        <v>7.5362961321068385</v>
      </c>
      <c r="F11" s="1">
        <f>IF((F$3&gt;0),(1000*('Data Entry'!E14/'Data Entry'!E$6)), 0)</f>
        <v>0.32386915686062828</v>
      </c>
      <c r="G11" s="1">
        <f>IF((G$3&gt;0),(1000*('Data Entry'!F14/'Data Entry'!F$6)), 0)</f>
        <v>1.2772479564032697</v>
      </c>
      <c r="H11" s="1">
        <f>IF((H$3&gt;0),(1000*('Data Entry'!G14/'Data Entry'!G$6)), 0)</f>
        <v>0</v>
      </c>
      <c r="I11" s="1">
        <f>IF((I$3&gt;0),(1000*('Data Entry'!H14/'Data Entry'!H$6)), 0)</f>
        <v>0</v>
      </c>
      <c r="J11" s="1">
        <f>IF((J$3&gt;0),(1000*('Data Entry'!I14/'Data Entry'!I$6)), 0)</f>
        <v>0</v>
      </c>
      <c r="K11" s="1">
        <f>IF((K$3&gt;0),(1000*('Data Entry'!J14/'Data Entry'!J$6)), 0)</f>
        <v>4.0983606557377055</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Oakland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7.6676540191214535</v>
      </c>
      <c r="E19" s="72">
        <f t="shared" si="1"/>
        <v>0.99586515836529377</v>
      </c>
      <c r="F19" s="72">
        <f t="shared" si="1"/>
        <v>0.19041984480921714</v>
      </c>
      <c r="G19" s="72" t="str">
        <f t="shared" si="1"/>
        <v>--</v>
      </c>
      <c r="H19" s="72">
        <f t="shared" si="1"/>
        <v>2.3539901657257327</v>
      </c>
      <c r="I19" s="72" t="str">
        <f t="shared" si="1"/>
        <v>--</v>
      </c>
      <c r="J19" s="73">
        <f t="shared" si="1"/>
        <v>3.8188023521848469</v>
      </c>
    </row>
    <row r="20" spans="2:10" ht="15" customHeight="1">
      <c r="B20" s="71" t="s">
        <v>9</v>
      </c>
      <c r="C20" s="72">
        <f t="shared" ref="C20:J27" si="2">IF(AND(($D5&gt;0),(D5&gt;0)), (D5/$D5),"--")</f>
        <v>1</v>
      </c>
      <c r="D20" s="72">
        <f t="shared" si="2"/>
        <v>5.1488239158173368</v>
      </c>
      <c r="E20" s="72">
        <f t="shared" si="2"/>
        <v>0.13984695372573852</v>
      </c>
      <c r="F20" s="72">
        <f t="shared" si="2"/>
        <v>0.28077211811154978</v>
      </c>
      <c r="G20" s="72" t="str">
        <f t="shared" si="2"/>
        <v>--</v>
      </c>
      <c r="H20" s="72" t="str">
        <f t="shared" si="2"/>
        <v>--</v>
      </c>
      <c r="I20" s="72" t="str">
        <f t="shared" si="2"/>
        <v>--</v>
      </c>
      <c r="J20" s="73">
        <f t="shared" si="2"/>
        <v>2.5174674128476959</v>
      </c>
    </row>
    <row r="21" spans="2:10" ht="15" customHeight="1">
      <c r="B21" s="71" t="s">
        <v>10</v>
      </c>
      <c r="C21" s="72">
        <f t="shared" si="2"/>
        <v>1</v>
      </c>
      <c r="D21" s="72">
        <f t="shared" si="2"/>
        <v>3.4906199086914937</v>
      </c>
      <c r="E21" s="72">
        <f t="shared" si="2"/>
        <v>3.842010823222132E-2</v>
      </c>
      <c r="F21" s="72">
        <f t="shared" si="2"/>
        <v>0.15151799325403018</v>
      </c>
      <c r="G21" s="72" t="str">
        <f t="shared" si="2"/>
        <v>--</v>
      </c>
      <c r="H21" s="72" t="str">
        <f t="shared" si="2"/>
        <v>--</v>
      </c>
      <c r="I21" s="72" t="str">
        <f t="shared" si="2"/>
        <v>--</v>
      </c>
      <c r="J21" s="73">
        <f t="shared" si="2"/>
        <v>1.6746280114157632</v>
      </c>
    </row>
    <row r="22" spans="2:10" ht="15" customHeight="1">
      <c r="B22" s="71" t="s">
        <v>11</v>
      </c>
      <c r="C22" s="72">
        <f t="shared" si="2"/>
        <v>1</v>
      </c>
      <c r="D22" s="72">
        <f t="shared" si="2"/>
        <v>6.3276018977143886</v>
      </c>
      <c r="E22" s="72">
        <f t="shared" si="2"/>
        <v>0.25157782409752616</v>
      </c>
      <c r="F22" s="72">
        <f t="shared" si="2"/>
        <v>0.85986461171662143</v>
      </c>
      <c r="G22" s="72" t="str">
        <f t="shared" si="2"/>
        <v>--</v>
      </c>
      <c r="H22" s="72" t="str">
        <f t="shared" si="2"/>
        <v>--</v>
      </c>
      <c r="I22" s="72" t="str">
        <f t="shared" si="2"/>
        <v>--</v>
      </c>
      <c r="J22" s="73">
        <f t="shared" si="2"/>
        <v>3.3997268732582944</v>
      </c>
    </row>
    <row r="23" spans="2:10" ht="15" customHeight="1">
      <c r="B23" s="71" t="s">
        <v>95</v>
      </c>
      <c r="C23" s="72">
        <f t="shared" si="2"/>
        <v>1</v>
      </c>
      <c r="D23" s="72">
        <f t="shared" si="2"/>
        <v>5.5072711862649966</v>
      </c>
      <c r="E23" s="72">
        <f t="shared" si="2"/>
        <v>6.2743629990749936E-2</v>
      </c>
      <c r="F23" s="72">
        <f t="shared" si="2"/>
        <v>0.34642027522396251</v>
      </c>
      <c r="G23" s="72" t="str">
        <f t="shared" si="2"/>
        <v>--</v>
      </c>
      <c r="H23" s="72" t="str">
        <f t="shared" si="2"/>
        <v>--</v>
      </c>
      <c r="I23" s="72" t="str">
        <f t="shared" si="2"/>
        <v>--</v>
      </c>
      <c r="J23" s="73">
        <f t="shared" si="2"/>
        <v>2.7054174511028704</v>
      </c>
    </row>
    <row r="24" spans="2:10" ht="15" customHeight="1">
      <c r="B24" s="71" t="s">
        <v>13</v>
      </c>
      <c r="C24" s="72">
        <f t="shared" si="2"/>
        <v>1</v>
      </c>
      <c r="D24" s="72">
        <f t="shared" si="2"/>
        <v>5.384980733616346</v>
      </c>
      <c r="E24" s="72" t="str">
        <f t="shared" si="2"/>
        <v>--</v>
      </c>
      <c r="F24" s="72">
        <f t="shared" si="2"/>
        <v>0.49847223867630219</v>
      </c>
      <c r="G24" s="72" t="str">
        <f t="shared" si="2"/>
        <v>--</v>
      </c>
      <c r="H24" s="72" t="str">
        <f t="shared" si="2"/>
        <v>--</v>
      </c>
      <c r="I24" s="72" t="str">
        <f t="shared" si="2"/>
        <v>--</v>
      </c>
      <c r="J24" s="73">
        <f t="shared" si="2"/>
        <v>2.7546417289230307</v>
      </c>
    </row>
    <row r="25" spans="2:10" ht="15" customHeight="1">
      <c r="B25" s="71" t="s">
        <v>14</v>
      </c>
      <c r="C25" s="72">
        <f t="shared" si="2"/>
        <v>1</v>
      </c>
      <c r="D25" s="72">
        <f t="shared" si="2"/>
        <v>6.3419502013373235</v>
      </c>
      <c r="E25" s="72" t="str">
        <f t="shared" si="2"/>
        <v>--</v>
      </c>
      <c r="F25" s="72">
        <f t="shared" si="2"/>
        <v>1.1464861489554949</v>
      </c>
      <c r="G25" s="72" t="str">
        <f t="shared" si="2"/>
        <v>--</v>
      </c>
      <c r="H25" s="72" t="str">
        <f t="shared" si="2"/>
        <v>--</v>
      </c>
      <c r="I25" s="72" t="str">
        <f t="shared" si="2"/>
        <v>--</v>
      </c>
      <c r="J25" s="73">
        <f t="shared" si="2"/>
        <v>3.5765912770694186</v>
      </c>
    </row>
    <row r="26" spans="2:10" ht="25.5" customHeight="1">
      <c r="B26" s="71" t="s">
        <v>15</v>
      </c>
      <c r="C26" s="72">
        <f t="shared" si="2"/>
        <v>1</v>
      </c>
      <c r="D26" s="72">
        <f t="shared" si="2"/>
        <v>6.9980140152687715</v>
      </c>
      <c r="E26" s="72">
        <f t="shared" si="2"/>
        <v>0.30073670926600826</v>
      </c>
      <c r="F26" s="72">
        <f t="shared" si="2"/>
        <v>1.1860201540918915</v>
      </c>
      <c r="G26" s="72" t="str">
        <f t="shared" si="2"/>
        <v>--</v>
      </c>
      <c r="H26" s="72" t="str">
        <f t="shared" si="2"/>
        <v>--</v>
      </c>
      <c r="I26" s="72" t="str">
        <f t="shared" si="2"/>
        <v>--</v>
      </c>
      <c r="J26" s="73">
        <f t="shared" si="2"/>
        <v>3.8056340682117966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Oakland</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80786</v>
      </c>
      <c r="D7" s="104">
        <f>'Data Entry'!D6</f>
        <v>18046</v>
      </c>
      <c r="E7" s="105"/>
      <c r="F7" s="106">
        <f>'Data Entry'!E6</f>
        <v>9263</v>
      </c>
      <c r="G7" s="105"/>
      <c r="H7" s="106">
        <f>'Data Entry'!F6</f>
        <v>11744</v>
      </c>
      <c r="I7" s="105"/>
      <c r="J7" s="106">
        <f>'Data Entry'!G6</f>
        <v>0</v>
      </c>
      <c r="K7" s="105"/>
      <c r="L7" s="106">
        <f>'Data Entry'!H6</f>
        <v>475</v>
      </c>
      <c r="M7" s="105"/>
      <c r="N7" s="106">
        <f>'Data Entry'!I6</f>
        <v>0</v>
      </c>
      <c r="O7" s="105"/>
      <c r="P7" s="106">
        <f>'Data Entry'!J6</f>
        <v>39528</v>
      </c>
      <c r="Q7" s="107"/>
    </row>
    <row r="8" spans="2:26" s="1" customFormat="1" ht="15" customHeight="1">
      <c r="B8" s="142" t="s">
        <v>8</v>
      </c>
      <c r="C8" s="103">
        <f>'Data Entry'!C7</f>
        <v>289</v>
      </c>
      <c r="D8" s="104">
        <f>'Data Entry'!D7</f>
        <v>495</v>
      </c>
      <c r="E8" s="105">
        <f>'Black or African-American'!$G7</f>
        <v>7.6676540191214535</v>
      </c>
      <c r="F8" s="106">
        <f>'Data Entry'!E7</f>
        <v>33</v>
      </c>
      <c r="G8" s="105">
        <f>Hispanic!G7</f>
        <v>0.99586515836529377</v>
      </c>
      <c r="H8" s="106">
        <f>'Data Entry'!F7</f>
        <v>8</v>
      </c>
      <c r="I8" s="105">
        <f>Asian!G7</f>
        <v>0.19041984480921717</v>
      </c>
      <c r="J8" s="106">
        <f>'Data Entry'!G7</f>
        <v>0</v>
      </c>
      <c r="K8" s="105" t="str">
        <f>Hawaiian!G7</f>
        <v>*</v>
      </c>
      <c r="L8" s="106">
        <f>'Data Entry'!H7</f>
        <v>4</v>
      </c>
      <c r="M8" s="105" t="str">
        <f>'Am Indian'!G7</f>
        <v>*</v>
      </c>
      <c r="N8" s="106">
        <f>'Data Entry'!I7</f>
        <v>0</v>
      </c>
      <c r="O8" s="105" t="str">
        <f>'Other - Mixed'!G7</f>
        <v>*</v>
      </c>
      <c r="P8" s="106">
        <f>'Data Entry'!J7</f>
        <v>540</v>
      </c>
      <c r="Q8" s="107">
        <f>'All Minorities'!G7</f>
        <v>3.8188023521848469</v>
      </c>
      <c r="R8"/>
      <c r="T8" s="1">
        <f>'Black or African-American'!L7</f>
        <v>1</v>
      </c>
      <c r="U8" s="1">
        <f>Hispanic!L7</f>
        <v>2</v>
      </c>
      <c r="V8" s="1">
        <f>Asian!L7</f>
        <v>1</v>
      </c>
      <c r="W8" s="1" t="e">
        <f>Hawaiian!L7</f>
        <v>#VALUE!</v>
      </c>
      <c r="X8" s="1">
        <f>'Am Indian'!L7</f>
        <v>139</v>
      </c>
      <c r="Y8" s="1" t="e">
        <f>'Other - Mixed'!L7</f>
        <v>#VALUE!</v>
      </c>
      <c r="Z8" s="1">
        <f>'All Minorities'!L7</f>
        <v>1</v>
      </c>
    </row>
    <row r="9" spans="2:26" s="1" customFormat="1" ht="15" customHeight="1">
      <c r="B9" s="142" t="s">
        <v>126</v>
      </c>
      <c r="C9" s="103">
        <f>'Data Entry'!C8</f>
        <v>686</v>
      </c>
      <c r="D9" s="108">
        <f>'Data Entry'!D8</f>
        <v>789</v>
      </c>
      <c r="E9" s="109">
        <f>'Black or African-American'!$G8</f>
        <v>0.67149924905026948</v>
      </c>
      <c r="F9" s="110">
        <f>'Data Entry'!E8</f>
        <v>11</v>
      </c>
      <c r="G9" s="109">
        <f>Hispanic!G8</f>
        <v>0.14042759961127307</v>
      </c>
      <c r="H9" s="110">
        <f>'Data Entry'!F8</f>
        <v>28</v>
      </c>
      <c r="I9" s="109" t="str">
        <f>Asian!G8</f>
        <v>**</v>
      </c>
      <c r="J9" s="110">
        <f>'Data Entry'!G8</f>
        <v>1</v>
      </c>
      <c r="K9" s="109" t="str">
        <f>Hawaiian!G8</f>
        <v>*</v>
      </c>
      <c r="L9" s="110">
        <f>'Data Entry'!H8</f>
        <v>0</v>
      </c>
      <c r="M9" s="109" t="str">
        <f>'Am Indian'!G8</f>
        <v>*</v>
      </c>
      <c r="N9" s="110">
        <f>'Data Entry'!I8</f>
        <v>16</v>
      </c>
      <c r="O9" s="109" t="str">
        <f>'Other - Mixed'!G8</f>
        <v>*</v>
      </c>
      <c r="P9" s="110">
        <f>'Data Entry'!J8</f>
        <v>845</v>
      </c>
      <c r="Q9" s="111">
        <f>'All Minorities'!G8</f>
        <v>0.65922956484180972</v>
      </c>
      <c r="R9"/>
      <c r="T9" s="1">
        <f>'Black or African-American'!L8</f>
        <v>1</v>
      </c>
      <c r="U9" s="1">
        <f>Hispanic!L8</f>
        <v>1</v>
      </c>
      <c r="V9" s="1">
        <f>Asian!L8</f>
        <v>40</v>
      </c>
      <c r="W9" s="1">
        <f>Hawaiian!L8</f>
        <v>119</v>
      </c>
      <c r="X9" s="1">
        <f>'Am Indian'!L8</f>
        <v>119</v>
      </c>
      <c r="Y9" s="1">
        <f>'Other - Mixed'!L8</f>
        <v>119</v>
      </c>
      <c r="Z9" s="1">
        <f>'All Minorities'!L8</f>
        <v>1</v>
      </c>
    </row>
    <row r="10" spans="2:26" s="1" customFormat="1" ht="15" customHeight="1">
      <c r="B10" s="142" t="s">
        <v>10</v>
      </c>
      <c r="C10" s="103">
        <f>'Data Entry'!C9</f>
        <v>227</v>
      </c>
      <c r="D10" s="112">
        <f>'Data Entry'!D9</f>
        <v>177</v>
      </c>
      <c r="E10" s="113">
        <f>'Black or African-American'!$G9</f>
        <v>0.67794509304701767</v>
      </c>
      <c r="F10" s="114">
        <f>'Data Entry'!E9</f>
        <v>1</v>
      </c>
      <c r="G10" s="113" t="str">
        <f>Hispanic!G9</f>
        <v>**</v>
      </c>
      <c r="H10" s="114">
        <f>'Data Entry'!F9</f>
        <v>5</v>
      </c>
      <c r="I10" s="113" t="str">
        <f>Asian!G9</f>
        <v>**</v>
      </c>
      <c r="J10" s="114">
        <f>'Data Entry'!G9</f>
        <v>1</v>
      </c>
      <c r="K10" s="113" t="str">
        <f>Hawaiian!G9</f>
        <v>*</v>
      </c>
      <c r="L10" s="114">
        <f>'Data Entry'!H9</f>
        <v>0</v>
      </c>
      <c r="M10" s="113" t="str">
        <f>'Am Indian'!G9</f>
        <v>*</v>
      </c>
      <c r="N10" s="114">
        <f>'Data Entry'!I9</f>
        <v>2</v>
      </c>
      <c r="O10" s="113" t="str">
        <f>'Other - Mixed'!G9</f>
        <v>*</v>
      </c>
      <c r="P10" s="114">
        <f>'Data Entry'!J9</f>
        <v>186</v>
      </c>
      <c r="Q10" s="115">
        <f>'All Minorities'!G9</f>
        <v>0.66520345124208224</v>
      </c>
      <c r="R10"/>
      <c r="T10" s="1">
        <f>'Black or African-American'!L9</f>
        <v>1</v>
      </c>
      <c r="U10" s="1">
        <f>Hispanic!L9</f>
        <v>40</v>
      </c>
      <c r="V10" s="1">
        <f>Asian!L9</f>
        <v>40</v>
      </c>
      <c r="W10" s="1">
        <f>Hawaiian!L9</f>
        <v>139</v>
      </c>
      <c r="X10" s="1" t="e">
        <f>'Am Indian'!L9</f>
        <v>#VALUE!</v>
      </c>
      <c r="Y10" s="1">
        <f>'Other - Mixed'!L9</f>
        <v>139</v>
      </c>
      <c r="Z10" s="1">
        <f>'All Minorities'!L9</f>
        <v>1</v>
      </c>
    </row>
    <row r="11" spans="2:26" s="1" customFormat="1" ht="15" customHeight="1">
      <c r="B11" s="142" t="s">
        <v>11</v>
      </c>
      <c r="C11" s="103">
        <f>'Data Entry'!C10</f>
        <v>104</v>
      </c>
      <c r="D11" s="108">
        <f>'Data Entry'!D10</f>
        <v>147</v>
      </c>
      <c r="E11" s="109">
        <f>'Black or African-American'!$G10</f>
        <v>1.2289412108803746</v>
      </c>
      <c r="F11" s="110">
        <f>'Data Entry'!E10</f>
        <v>3</v>
      </c>
      <c r="G11" s="109" t="str">
        <f>Hispanic!G10</f>
        <v>**</v>
      </c>
      <c r="H11" s="110">
        <f>'Data Entry'!F10</f>
        <v>13</v>
      </c>
      <c r="I11" s="109" t="str">
        <f>Asian!G10</f>
        <v>**</v>
      </c>
      <c r="J11" s="110">
        <f>'Data Entry'!G10</f>
        <v>0</v>
      </c>
      <c r="K11" s="109" t="str">
        <f>Hawaiian!G10</f>
        <v>*</v>
      </c>
      <c r="L11" s="110">
        <f>'Data Entry'!H10</f>
        <v>0</v>
      </c>
      <c r="M11" s="109" t="str">
        <f>'Am Indian'!G10</f>
        <v>*</v>
      </c>
      <c r="N11" s="110">
        <f>'Data Entry'!I10</f>
        <v>10</v>
      </c>
      <c r="O11" s="109" t="str">
        <f>'Other - Mixed'!G10</f>
        <v>*</v>
      </c>
      <c r="P11" s="110">
        <f>'Data Entry'!J10</f>
        <v>173</v>
      </c>
      <c r="Q11" s="111">
        <f>'All Minorities'!G10</f>
        <v>1.3504551661356397</v>
      </c>
      <c r="R11"/>
      <c r="T11" s="1">
        <f>'Black or African-American'!L10</f>
        <v>2</v>
      </c>
      <c r="U11" s="1">
        <f>Hispanic!L10</f>
        <v>40</v>
      </c>
      <c r="V11" s="1">
        <f>Asian!L10</f>
        <v>20</v>
      </c>
      <c r="W11" s="1">
        <f>Hawaiian!L10</f>
        <v>139</v>
      </c>
      <c r="X11" s="1" t="e">
        <f>'Am Indian'!L10</f>
        <v>#VALUE!</v>
      </c>
      <c r="Y11" s="1">
        <f>'Other - Mixed'!L10</f>
        <v>119</v>
      </c>
      <c r="Z11" s="1">
        <f>'All Minorities'!L10</f>
        <v>1</v>
      </c>
    </row>
    <row r="12" spans="2:26" s="1" customFormat="1" ht="15" customHeight="1">
      <c r="B12" s="142" t="s">
        <v>95</v>
      </c>
      <c r="C12" s="103">
        <f>'Data Entry'!C11</f>
        <v>139</v>
      </c>
      <c r="D12" s="112">
        <f>'Data Entry'!D11</f>
        <v>171</v>
      </c>
      <c r="E12" s="113">
        <f>'Black or African-American'!$G11</f>
        <v>1.069617309954318</v>
      </c>
      <c r="F12" s="114">
        <f>'Data Entry'!E11</f>
        <v>1</v>
      </c>
      <c r="G12" s="113" t="str">
        <f>Hispanic!G11</f>
        <v>**</v>
      </c>
      <c r="H12" s="114">
        <f>'Data Entry'!F11</f>
        <v>7</v>
      </c>
      <c r="I12" s="113" t="str">
        <f>Asian!G11</f>
        <v>**</v>
      </c>
      <c r="J12" s="114">
        <f>'Data Entry'!G11</f>
        <v>0</v>
      </c>
      <c r="K12" s="113" t="str">
        <f>Hawaiian!G11</f>
        <v>*</v>
      </c>
      <c r="L12" s="114">
        <f>'Data Entry'!H11</f>
        <v>0</v>
      </c>
      <c r="M12" s="113" t="str">
        <f>'Am Indian'!G11</f>
        <v>*</v>
      </c>
      <c r="N12" s="114">
        <f>'Data Entry'!I11</f>
        <v>5</v>
      </c>
      <c r="O12" s="113" t="str">
        <f>'Other - Mixed'!G11</f>
        <v>*</v>
      </c>
      <c r="P12" s="114">
        <f>'Data Entry'!J11</f>
        <v>184</v>
      </c>
      <c r="Q12" s="115">
        <f>'All Minorities'!G11</f>
        <v>1.0746583798050318</v>
      </c>
      <c r="R12"/>
      <c r="T12" s="1">
        <f>'Black or African-American'!L11</f>
        <v>2</v>
      </c>
      <c r="U12" s="1">
        <f>Hispanic!L11</f>
        <v>40</v>
      </c>
      <c r="V12" s="1">
        <f>Asian!L11</f>
        <v>40</v>
      </c>
      <c r="W12" s="1">
        <f>Hawaiian!L11</f>
        <v>139</v>
      </c>
      <c r="X12" s="1" t="e">
        <f>'Am Indian'!L11</f>
        <v>#VALUE!</v>
      </c>
      <c r="Y12" s="1">
        <f>'Other - Mixed'!L11</f>
        <v>139</v>
      </c>
      <c r="Z12" s="1">
        <f>'All Minorities'!L11</f>
        <v>2</v>
      </c>
    </row>
    <row r="13" spans="2:26" s="1" customFormat="1" ht="15" customHeight="1">
      <c r="B13" s="142" t="s">
        <v>13</v>
      </c>
      <c r="C13" s="103">
        <f>'Data Entry'!C12</f>
        <v>69</v>
      </c>
      <c r="D13" s="108">
        <f>'Data Entry'!D12</f>
        <v>83</v>
      </c>
      <c r="E13" s="109">
        <f>'Black or African-American'!$G12</f>
        <v>0.97779472836681081</v>
      </c>
      <c r="F13" s="110">
        <f>'Data Entry'!E12</f>
        <v>0</v>
      </c>
      <c r="G13" s="109" t="str">
        <f>Hispanic!G12</f>
        <v>**</v>
      </c>
      <c r="H13" s="110">
        <f>'Data Entry'!F12</f>
        <v>5</v>
      </c>
      <c r="I13" s="109" t="str">
        <f>Asian!G12</f>
        <v>**</v>
      </c>
      <c r="J13" s="110">
        <f>'Data Entry'!G12</f>
        <v>0</v>
      </c>
      <c r="K13" s="109" t="str">
        <f>Hawaiian!G12</f>
        <v>*</v>
      </c>
      <c r="L13" s="110">
        <f>'Data Entry'!H12</f>
        <v>0</v>
      </c>
      <c r="M13" s="109" t="str">
        <f>'Am Indian'!G12</f>
        <v>*</v>
      </c>
      <c r="N13" s="110">
        <f>'Data Entry'!I12</f>
        <v>5</v>
      </c>
      <c r="O13" s="109" t="str">
        <f>'Other - Mixed'!G12</f>
        <v>*</v>
      </c>
      <c r="P13" s="110">
        <f>'Data Entry'!J12</f>
        <v>93</v>
      </c>
      <c r="Q13" s="111">
        <f>'All Minorities'!G12</f>
        <v>1.0181947069943289</v>
      </c>
      <c r="R13"/>
      <c r="T13" s="1">
        <f>'Black or African-American'!L12</f>
        <v>2</v>
      </c>
      <c r="U13" s="1">
        <f>Hispanic!L12</f>
        <v>40</v>
      </c>
      <c r="V13" s="1">
        <f>Asian!L12</f>
        <v>40</v>
      </c>
      <c r="W13" s="1" t="e">
        <f>Hawaiian!L12</f>
        <v>#VALUE!</v>
      </c>
      <c r="X13" s="1" t="e">
        <f>'Am Indian'!L12</f>
        <v>#VALUE!</v>
      </c>
      <c r="Y13" s="1">
        <f>'Other - Mixed'!L12</f>
        <v>119</v>
      </c>
      <c r="Z13" s="1">
        <f>'All Minorities'!L12</f>
        <v>2</v>
      </c>
    </row>
    <row r="14" spans="2:26" s="1" customFormat="1" ht="15" customHeight="1">
      <c r="B14" s="142" t="s">
        <v>125</v>
      </c>
      <c r="C14" s="103">
        <f>'Data Entry'!C13</f>
        <v>12</v>
      </c>
      <c r="D14" s="112">
        <f>'Data Entry'!D13</f>
        <v>17</v>
      </c>
      <c r="E14" s="113">
        <f>'Black or African-American'!$G13</f>
        <v>1.177710843373494</v>
      </c>
      <c r="F14" s="114">
        <f>'Data Entry'!E13</f>
        <v>0</v>
      </c>
      <c r="G14" s="113" t="str">
        <f>Hispanic!G13</f>
        <v>--</v>
      </c>
      <c r="H14" s="114">
        <f>'Data Entry'!F13</f>
        <v>2</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21</v>
      </c>
      <c r="Q14" s="115">
        <f>'All Minorities'!G13</f>
        <v>1.2983870967741933</v>
      </c>
      <c r="R14"/>
      <c r="T14" s="1">
        <f>'Black or African-American'!L13</f>
        <v>2</v>
      </c>
      <c r="U14" s="1" t="e">
        <f>Hispanic!L13</f>
        <v>#VALUE!</v>
      </c>
      <c r="V14" s="1">
        <f>Asian!L13</f>
        <v>40</v>
      </c>
      <c r="W14" s="1" t="e">
        <f>Hawaiian!L13</f>
        <v>#VALUE!</v>
      </c>
      <c r="X14" s="1" t="e">
        <f>'Am Indian'!L13</f>
        <v>#VALUE!</v>
      </c>
      <c r="Y14" s="1">
        <f>'Other - Mixed'!L13</f>
        <v>139</v>
      </c>
      <c r="Z14" s="1">
        <f>'All Minorities'!L13</f>
        <v>2</v>
      </c>
    </row>
    <row r="15" spans="2:26" s="1" customFormat="1" ht="33">
      <c r="B15" s="144" t="s">
        <v>115</v>
      </c>
      <c r="C15" s="103">
        <f>'Data Entry'!C14</f>
        <v>87</v>
      </c>
      <c r="D15" s="108">
        <f>'Data Entry'!D14</f>
        <v>136</v>
      </c>
      <c r="E15" s="109">
        <f>'Black or African-American'!$G14</f>
        <v>1.2995429995845451</v>
      </c>
      <c r="F15" s="110">
        <f>'Data Entry'!E14</f>
        <v>3</v>
      </c>
      <c r="G15" s="109" t="str">
        <f>Hispanic!G14</f>
        <v>--</v>
      </c>
      <c r="H15" s="110">
        <f>'Data Entry'!F14</f>
        <v>15</v>
      </c>
      <c r="I15" s="109" t="str">
        <f>Asian!G14</f>
        <v>**</v>
      </c>
      <c r="J15" s="110">
        <f>'Data Entry'!G14</f>
        <v>0</v>
      </c>
      <c r="K15" s="109" t="str">
        <f>Hawaiian!G14</f>
        <v>*</v>
      </c>
      <c r="L15" s="110">
        <f>'Data Entry'!H14</f>
        <v>0</v>
      </c>
      <c r="M15" s="109" t="str">
        <f>'Am Indian'!G14</f>
        <v>*</v>
      </c>
      <c r="N15" s="110">
        <f>'Data Entry'!I14</f>
        <v>8</v>
      </c>
      <c r="O15" s="109" t="str">
        <f>'Other - Mixed'!G14</f>
        <v>*</v>
      </c>
      <c r="P15" s="110">
        <f>'Data Entry'!J14</f>
        <v>162</v>
      </c>
      <c r="Q15" s="111">
        <f>'All Minorities'!G14</f>
        <v>1.3815350389321466</v>
      </c>
      <c r="R15"/>
      <c r="T15" s="1">
        <f>'Black or African-American'!L14</f>
        <v>1</v>
      </c>
      <c r="U15" s="1" t="e">
        <f>Hispanic!L14</f>
        <v>#DIV/0!</v>
      </c>
      <c r="V15" s="1">
        <f>Asian!L14</f>
        <v>20</v>
      </c>
      <c r="W15" s="1" t="e">
        <f>Hawaiian!L14</f>
        <v>#VALUE!</v>
      </c>
      <c r="X15" s="1" t="e">
        <f>'Am Indian'!L14</f>
        <v>#VALUE!</v>
      </c>
      <c r="Y15" s="1">
        <f>'Other - Mixed'!L14</f>
        <v>139</v>
      </c>
      <c r="Z15" s="1">
        <f>'All Minorities'!L14</f>
        <v>1</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Oakland County Juvenile Court</v>
      </c>
      <c r="E27" s="1" t="str">
        <f>'Data Entry'!D20</f>
        <v>Item 4.Diversion: Oakland County Juvenile Court</v>
      </c>
      <c r="I27" s="96"/>
      <c r="J27" s="96"/>
    </row>
    <row r="28" spans="2:18" ht="12.75" customHeight="1">
      <c r="B28" s="1" t="str">
        <f>'Data Entry'!A21</f>
        <v>Item 5.Detention: Oakland County Juvenile Court</v>
      </c>
      <c r="E28" s="1" t="str">
        <f>'Data Entry'!D21</f>
        <v>Item 6.Petitioned: Oakland County Juvenile Court</v>
      </c>
      <c r="I28" s="96"/>
      <c r="J28" s="96"/>
    </row>
    <row r="29" spans="2:18" ht="12.75" customHeight="1">
      <c r="B29" s="1" t="str">
        <f>'Data Entry'!A22</f>
        <v>Item 7.Delinquent: Oakland County Juvenile Court</v>
      </c>
      <c r="E29" s="1" t="str">
        <f>'Data Entry'!D22</f>
        <v>Item 8.Probation: Oakland County Juvenile Court</v>
      </c>
      <c r="I29" s="96"/>
      <c r="J29" s="96"/>
    </row>
    <row r="30" spans="2:18" ht="12.75" customHeight="1">
      <c r="B30" s="1" t="str">
        <f>'Data Entry'!A23</f>
        <v>Item 9.Confinement: Oakland County Juvenile Court</v>
      </c>
      <c r="E30" s="1" t="str">
        <f>'Data Entry'!D23</f>
        <v>Item 10.Transferred: Oakland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6" sqref="A6"/>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Oakland</v>
      </c>
    </row>
    <row r="6" spans="1:12">
      <c r="A6" s="135" t="str">
        <f>CONCATENATE("Percentage of Minorities at Stages of the Juvenile Justice System, ", A5, " 2024")</f>
        <v>Percentage of Minorities at Stages of the Juvenile Justice System, County: Oakland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2.0437664440396683</v>
      </c>
    </row>
    <row r="8" spans="1:12" ht="25.5" customHeight="1">
      <c r="A8" s="151" t="str">
        <f>CONCATENATE("Confinement, total N=", 'Data Entry'!B14)</f>
        <v>Confinement, total N=253</v>
      </c>
      <c r="B8" s="150">
        <f>'Data Entry'!D14/'Data Entry'!B14</f>
        <v>0.53754940711462451</v>
      </c>
      <c r="C8" s="150">
        <f>'Data Entry'!E14/'Data Entry'!B14</f>
        <v>1.1857707509881422E-2</v>
      </c>
      <c r="D8" s="150">
        <f>'Data Entry'!F14/'Data Entry'!B14</f>
        <v>5.9288537549407112E-2</v>
      </c>
      <c r="E8" s="150">
        <f>'Data Entry'!G14/'Data Entry'!B14</f>
        <v>0</v>
      </c>
      <c r="F8" s="150">
        <f>'Data Entry'!H14/'Data Entry'!B14</f>
        <v>0</v>
      </c>
      <c r="G8" s="150">
        <f>'Data Entry'!I14/'Data Entry'!B14</f>
        <v>3.1620553359683792E-2</v>
      </c>
      <c r="H8" s="150">
        <f>SUM(D8:G8)/'Data Entry'!B14</f>
        <v>3.5932446999640676E-4</v>
      </c>
      <c r="I8" s="150">
        <f>'Data Entry'!C14/'Data Entry'!B14</f>
        <v>0.34387351778656128</v>
      </c>
      <c r="K8" s="96" t="str">
        <f>A8</f>
        <v>Confinement, total N=253</v>
      </c>
      <c r="L8">
        <f>I14/(SUM(B14:G14))</f>
        <v>2.0437664440396683</v>
      </c>
    </row>
    <row r="9" spans="1:12">
      <c r="A9" s="128" t="str">
        <f>CONCATENATE("Delinquent Findings, total N=", 'Data Entry'!B12)</f>
        <v>Delinquent Findings, total N=165</v>
      </c>
      <c r="B9" s="150">
        <f>'Data Entry'!D12/'Data Entry'!B12</f>
        <v>0.50303030303030305</v>
      </c>
      <c r="C9" s="150">
        <f>'Data Entry'!E12/'Data Entry'!B12</f>
        <v>0</v>
      </c>
      <c r="D9" s="150">
        <f>'Data Entry'!F12/'Data Entry'!B12</f>
        <v>3.0303030303030304E-2</v>
      </c>
      <c r="E9" s="150">
        <f>'Data Entry'!G12/'Data Entry'!B12</f>
        <v>0</v>
      </c>
      <c r="F9" s="150">
        <f>'Data Entry'!H12/'Data Entry'!B12</f>
        <v>0</v>
      </c>
      <c r="G9" s="150">
        <f>'Data Entry'!I12/'Data Entry'!B12</f>
        <v>3.0303030303030304E-2</v>
      </c>
      <c r="H9" s="150">
        <f>SUM(D9:G9)/'Data Entry'!B12</f>
        <v>3.6730945821854911E-4</v>
      </c>
      <c r="I9" s="150">
        <f>'Data Entry'!C12/'Data Entry'!B12</f>
        <v>0.41818181818181815</v>
      </c>
      <c r="K9" s="96" t="str">
        <f t="shared" si="0"/>
        <v>Delinquent Findings, total N=165</v>
      </c>
      <c r="L9">
        <f>I14/(SUM(B14:G14))</f>
        <v>2.0437664440396683</v>
      </c>
    </row>
    <row r="10" spans="1:12">
      <c r="A10" s="128" t="str">
        <f>CONCATENATE("Petitions, total N=", 'Data Entry'!B11)</f>
        <v>Petitions, total N=327</v>
      </c>
      <c r="B10" s="150">
        <f>'Data Entry'!D11/'Data Entry'!B11</f>
        <v>0.52293577981651373</v>
      </c>
      <c r="C10" s="150">
        <f>'Data Entry'!E11/'Data Entry'!B11</f>
        <v>3.0581039755351682E-3</v>
      </c>
      <c r="D10" s="150">
        <f>'Data Entry'!F11/'Data Entry'!B11</f>
        <v>2.1406727828746176E-2</v>
      </c>
      <c r="E10" s="150">
        <f>'Data Entry'!G11/'Data Entry'!B11</f>
        <v>0</v>
      </c>
      <c r="F10" s="150">
        <f>'Data Entry'!H11/'Data Entry'!B11</f>
        <v>0</v>
      </c>
      <c r="G10" s="150">
        <f>'Data Entry'!I11/'Data Entry'!B11</f>
        <v>1.5290519877675841E-2</v>
      </c>
      <c r="H10" s="150">
        <f>SUM(D10:G10)/'Data Entry'!B11</f>
        <v>1.1222399910220802E-4</v>
      </c>
      <c r="I10" s="150">
        <f>'Data Entry'!C11/'Data Entry'!B11</f>
        <v>0.42507645259938837</v>
      </c>
      <c r="K10" s="96" t="str">
        <f t="shared" si="0"/>
        <v>Petitions, total N=327</v>
      </c>
      <c r="L10">
        <f>I14/(SUM(B14:G14))</f>
        <v>2.0437664440396683</v>
      </c>
    </row>
    <row r="11" spans="1:12">
      <c r="A11" s="128" t="str">
        <f>CONCATENATE("Detentions, total N=", 'Data Entry'!B10)</f>
        <v>Detentions, total N=282</v>
      </c>
      <c r="B11" s="150">
        <f>'Data Entry'!D10/'Data Entry'!B10</f>
        <v>0.52127659574468088</v>
      </c>
      <c r="C11" s="150">
        <f>'Data Entry'!E10/'Data Entry'!B10</f>
        <v>1.0638297872340425E-2</v>
      </c>
      <c r="D11" s="150">
        <f>'Data Entry'!F10/'Data Entry'!B10</f>
        <v>4.6099290780141841E-2</v>
      </c>
      <c r="E11" s="150">
        <f>'Data Entry'!G10/'Data Entry'!B10</f>
        <v>0</v>
      </c>
      <c r="F11" s="150">
        <f>'Data Entry'!H10/'Data Entry'!B10</f>
        <v>0</v>
      </c>
      <c r="G11" s="150">
        <f>'Data Entry'!I10/'Data Entry'!B10</f>
        <v>3.5460992907801421E-2</v>
      </c>
      <c r="H11" s="150">
        <f>SUM(D11:G11)/'Data Entry'!B10</f>
        <v>2.8922086414164282E-4</v>
      </c>
      <c r="I11" s="150">
        <f>'Data Entry'!C10/'Data Entry'!B10</f>
        <v>0.36879432624113473</v>
      </c>
      <c r="K11" s="96" t="str">
        <f t="shared" si="0"/>
        <v>Detentions, total N=282</v>
      </c>
      <c r="L11">
        <f>I14/(SUM(B14:G14))</f>
        <v>2.0437664440396683</v>
      </c>
    </row>
    <row r="12" spans="1:12">
      <c r="A12" s="128" t="str">
        <f>CONCATENATE("Referrals, total N=", 'Data Entry'!B8)</f>
        <v>Referrals, total N=1603</v>
      </c>
      <c r="B12" s="150">
        <f>'Data Entry'!D8/'Data Entry'!B8</f>
        <v>0.4922021210230817</v>
      </c>
      <c r="C12" s="150">
        <f>'Data Entry'!E8/'Data Entry'!B8</f>
        <v>6.8621334996880846E-3</v>
      </c>
      <c r="D12" s="150">
        <f>'Data Entry'!F8/'Data Entry'!B8</f>
        <v>1.7467248908296942E-2</v>
      </c>
      <c r="E12" s="150">
        <f>'Data Entry'!G8/'Data Entry'!B8</f>
        <v>6.2383031815346226E-4</v>
      </c>
      <c r="F12" s="150">
        <f>'Data Entry'!H8/'Data Entry'!B8</f>
        <v>0</v>
      </c>
      <c r="G12" s="150">
        <f>'Data Entry'!I8/'Data Entry'!B8</f>
        <v>9.9812850904553961E-3</v>
      </c>
      <c r="H12" s="150">
        <f>SUM(D12:G12)/'Data Entry'!B8</f>
        <v>1.7512391963135246E-5</v>
      </c>
      <c r="I12" s="150">
        <f>'Data Entry'!C8/'Data Entry'!B8</f>
        <v>0.42794759825327511</v>
      </c>
      <c r="K12" s="96" t="str">
        <f t="shared" si="0"/>
        <v>Referrals, total N=1603</v>
      </c>
      <c r="L12">
        <f>I14/(SUM(B14:G14))</f>
        <v>2.0437664440396683</v>
      </c>
    </row>
    <row r="13" spans="1:12">
      <c r="A13" s="128" t="str">
        <f>CONCATENATE("Arrests, total N=", 'Data Entry'!B7)</f>
        <v>Arrests, total N=838</v>
      </c>
      <c r="B13" s="150">
        <f>'Data Entry'!D7/'Data Entry'!B7</f>
        <v>0.59069212410501193</v>
      </c>
      <c r="C13" s="150">
        <f>'Data Entry'!E7/'Data Entry'!B7</f>
        <v>3.9379474940334128E-2</v>
      </c>
      <c r="D13" s="150">
        <f>'Data Entry'!F7/'Data Entry'!B7</f>
        <v>9.5465393794749408E-3</v>
      </c>
      <c r="E13" s="150">
        <f>'Data Entry'!G7/'Data Entry'!B7</f>
        <v>0</v>
      </c>
      <c r="F13" s="150">
        <f>'Data Entry'!H7/'Data Entry'!B7</f>
        <v>4.7732696897374704E-3</v>
      </c>
      <c r="G13" s="150">
        <f>'Data Entry'!I7/'Data Entry'!B7</f>
        <v>0</v>
      </c>
      <c r="H13" s="150">
        <f>SUM(D13:G13)/'Data Entry'!B7</f>
        <v>1.7088077648224835E-5</v>
      </c>
      <c r="I13" s="150">
        <f>'Data Entry'!C7/'Data Entry'!B7</f>
        <v>0.34486873508353222</v>
      </c>
      <c r="K13" s="96" t="str">
        <f t="shared" si="0"/>
        <v>Arrests, total N=838</v>
      </c>
      <c r="L13">
        <f>I14/(SUM(B14:G14))</f>
        <v>2.0437664440396683</v>
      </c>
    </row>
    <row r="14" spans="1:12">
      <c r="A14" s="128" t="str">
        <f>CONCATENATE("Population, total N=", 'Data Entry'!B6)</f>
        <v>Population, total N=120314</v>
      </c>
      <c r="B14" s="150">
        <f>'Data Entry'!D6/'Data Entry'!B6</f>
        <v>0.14999085725684458</v>
      </c>
      <c r="C14" s="150">
        <f>'Data Entry'!E6/'Data Entry'!B6</f>
        <v>7.699020895323902E-2</v>
      </c>
      <c r="D14" s="150">
        <f>'Data Entry'!F6/'Data Entry'!B6</f>
        <v>9.7611250561031968E-2</v>
      </c>
      <c r="E14" s="150">
        <f>'Data Entry'!G6/'Data Entry'!B6</f>
        <v>0</v>
      </c>
      <c r="F14" s="150">
        <f>'Data Entry'!H6/'Data Entry'!B6</f>
        <v>3.9480027261997773E-3</v>
      </c>
      <c r="G14" s="150">
        <f>'Data Entry'!I6/'Data Entry'!B6</f>
        <v>0</v>
      </c>
      <c r="H14" s="150">
        <f>SUM(D14:G14)/'Data Entry'!B6</f>
        <v>8.4411833441853603E-7</v>
      </c>
      <c r="I14" s="150">
        <f>'Data Entry'!C6/'Data Entry'!B6</f>
        <v>0.67145968050268467</v>
      </c>
      <c r="K14" s="96" t="str">
        <f t="shared" si="0"/>
        <v>Population, total N=120314</v>
      </c>
      <c r="L14">
        <f>I14/(SUM(B14:G14))</f>
        <v>2.0437664440396683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Oakland</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80786</v>
      </c>
      <c r="D7" s="104">
        <f>'Data Entry'!D6</f>
        <v>18046</v>
      </c>
      <c r="E7" s="105"/>
      <c r="F7" s="106">
        <f>'Data Entry'!E6</f>
        <v>9263</v>
      </c>
      <c r="G7" s="105"/>
      <c r="H7" s="106">
        <f>'Data Entry'!F6</f>
        <v>11744</v>
      </c>
      <c r="I7" s="105"/>
      <c r="J7" s="106">
        <f>'Data Entry'!J6</f>
        <v>39528</v>
      </c>
      <c r="K7" s="107"/>
    </row>
    <row r="8" spans="2:30" s="1" customFormat="1" ht="15" customHeight="1">
      <c r="B8" s="121" t="s">
        <v>8</v>
      </c>
      <c r="C8" s="103">
        <f>'Data Entry'!C7</f>
        <v>289</v>
      </c>
      <c r="D8" s="104">
        <f>'Data Entry'!D7</f>
        <v>495</v>
      </c>
      <c r="E8" s="105">
        <f>'Black or African-American'!$G7</f>
        <v>7.6676540191214535</v>
      </c>
      <c r="F8" s="106">
        <f>'Data Entry'!E7</f>
        <v>33</v>
      </c>
      <c r="G8" s="105">
        <f>Hispanic!G7</f>
        <v>0.99586515836529377</v>
      </c>
      <c r="H8" s="106">
        <f>'Data Entry'!F7</f>
        <v>8</v>
      </c>
      <c r="I8" s="105">
        <f>Asian!G7</f>
        <v>0.19041984480921717</v>
      </c>
      <c r="J8" s="106">
        <f>'Data Entry'!J7</f>
        <v>540</v>
      </c>
      <c r="K8" s="107">
        <f>'All Minorities'!G7</f>
        <v>3.8188023521848469</v>
      </c>
      <c r="L8"/>
      <c r="N8" s="1">
        <f>'Black or African-American'!L7</f>
        <v>1</v>
      </c>
      <c r="O8" s="1">
        <f>Hispanic!L7</f>
        <v>2</v>
      </c>
      <c r="P8" s="1">
        <f>Asian!L7</f>
        <v>1</v>
      </c>
      <c r="Q8" s="1" t="e">
        <f>Hawaiian!L7</f>
        <v>#VALUE!</v>
      </c>
      <c r="R8" s="1">
        <f>'Am Indian'!L7</f>
        <v>139</v>
      </c>
      <c r="S8" s="1" t="e">
        <f>'Other - Mixed'!L7</f>
        <v>#VALUE!</v>
      </c>
      <c r="T8" s="1">
        <f>'All Minorities'!L7</f>
        <v>1</v>
      </c>
    </row>
    <row r="9" spans="2:30" s="1" customFormat="1" ht="15" customHeight="1">
      <c r="B9" s="121" t="s">
        <v>126</v>
      </c>
      <c r="C9" s="103">
        <f>'Data Entry'!C8</f>
        <v>686</v>
      </c>
      <c r="D9" s="108">
        <f>'Data Entry'!D8</f>
        <v>789</v>
      </c>
      <c r="E9" s="109">
        <f>'Black or African-American'!$G8</f>
        <v>0.67149924905026948</v>
      </c>
      <c r="F9" s="110">
        <f>'Data Entry'!E8</f>
        <v>11</v>
      </c>
      <c r="G9" s="109">
        <f>Hispanic!G8</f>
        <v>0.14042759961127307</v>
      </c>
      <c r="H9" s="110">
        <f>'Data Entry'!F8</f>
        <v>28</v>
      </c>
      <c r="I9" s="109" t="str">
        <f>Asian!G8</f>
        <v>**</v>
      </c>
      <c r="J9" s="110">
        <f>'Data Entry'!J8</f>
        <v>845</v>
      </c>
      <c r="K9" s="111">
        <f>'All Minorities'!G8</f>
        <v>0.65922956484180972</v>
      </c>
      <c r="L9"/>
      <c r="N9" s="1">
        <f>'Black or African-American'!L8</f>
        <v>1</v>
      </c>
      <c r="O9" s="1">
        <f>Hispanic!L8</f>
        <v>1</v>
      </c>
      <c r="P9" s="1">
        <f>Asian!L8</f>
        <v>40</v>
      </c>
      <c r="Q9" s="1">
        <f>Hawaiian!L8</f>
        <v>119</v>
      </c>
      <c r="R9" s="1">
        <f>'Am Indian'!L8</f>
        <v>119</v>
      </c>
      <c r="S9" s="1">
        <f>'Other - Mixed'!L8</f>
        <v>119</v>
      </c>
      <c r="T9" s="1">
        <f>'All Minorities'!L8</f>
        <v>1</v>
      </c>
    </row>
    <row r="10" spans="2:30" s="1" customFormat="1" ht="15" customHeight="1">
      <c r="B10" s="121" t="s">
        <v>10</v>
      </c>
      <c r="C10" s="103">
        <f>'Data Entry'!C9</f>
        <v>227</v>
      </c>
      <c r="D10" s="112">
        <f>'Data Entry'!D9</f>
        <v>177</v>
      </c>
      <c r="E10" s="113">
        <f>'Black or African-American'!$G9</f>
        <v>0.67794509304701767</v>
      </c>
      <c r="F10" s="114">
        <f>'Data Entry'!E9</f>
        <v>1</v>
      </c>
      <c r="G10" s="113" t="str">
        <f>Hispanic!G9</f>
        <v>**</v>
      </c>
      <c r="H10" s="114">
        <f>'Data Entry'!F9</f>
        <v>5</v>
      </c>
      <c r="I10" s="113" t="str">
        <f>Asian!G9</f>
        <v>**</v>
      </c>
      <c r="J10" s="114">
        <f>'Data Entry'!J9</f>
        <v>186</v>
      </c>
      <c r="K10" s="115">
        <f>'All Minorities'!G9</f>
        <v>0.66520345124208224</v>
      </c>
      <c r="L10"/>
      <c r="N10" s="1">
        <f>'Black or African-American'!L9</f>
        <v>1</v>
      </c>
      <c r="O10" s="1">
        <f>Hispanic!L9</f>
        <v>40</v>
      </c>
      <c r="P10" s="1">
        <f>Asian!L9</f>
        <v>40</v>
      </c>
      <c r="Q10" s="1">
        <f>Hawaiian!L9</f>
        <v>139</v>
      </c>
      <c r="R10" s="1" t="e">
        <f>'Am Indian'!L9</f>
        <v>#VALUE!</v>
      </c>
      <c r="S10" s="1">
        <f>'Other - Mixed'!L9</f>
        <v>139</v>
      </c>
      <c r="T10" s="1">
        <f>'All Minorities'!L9</f>
        <v>1</v>
      </c>
    </row>
    <row r="11" spans="2:30" s="1" customFormat="1" ht="15" customHeight="1">
      <c r="B11" s="121" t="s">
        <v>11</v>
      </c>
      <c r="C11" s="103">
        <f>'Data Entry'!C10</f>
        <v>104</v>
      </c>
      <c r="D11" s="108">
        <f>'Data Entry'!D10</f>
        <v>147</v>
      </c>
      <c r="E11" s="109">
        <f>'Black or African-American'!$G10</f>
        <v>1.2289412108803746</v>
      </c>
      <c r="F11" s="110">
        <f>'Data Entry'!E10</f>
        <v>3</v>
      </c>
      <c r="G11" s="109" t="str">
        <f>Hispanic!G10</f>
        <v>**</v>
      </c>
      <c r="H11" s="110">
        <f>'Data Entry'!F10</f>
        <v>13</v>
      </c>
      <c r="I11" s="109" t="str">
        <f>Asian!G10</f>
        <v>**</v>
      </c>
      <c r="J11" s="110">
        <f>'Data Entry'!J10</f>
        <v>173</v>
      </c>
      <c r="K11" s="111">
        <f>'All Minorities'!G10</f>
        <v>1.3504551661356397</v>
      </c>
      <c r="L11"/>
      <c r="N11" s="1">
        <f>'Black or African-American'!L10</f>
        <v>2</v>
      </c>
      <c r="O11" s="1">
        <f>Hispanic!L10</f>
        <v>40</v>
      </c>
      <c r="P11" s="1">
        <f>Asian!L10</f>
        <v>20</v>
      </c>
      <c r="Q11" s="1">
        <f>Hawaiian!L10</f>
        <v>139</v>
      </c>
      <c r="R11" s="1" t="e">
        <f>'Am Indian'!L10</f>
        <v>#VALUE!</v>
      </c>
      <c r="S11" s="1">
        <f>'Other - Mixed'!L10</f>
        <v>119</v>
      </c>
      <c r="T11" s="1">
        <f>'All Minorities'!L10</f>
        <v>1</v>
      </c>
    </row>
    <row r="12" spans="2:30" s="1" customFormat="1" ht="15" customHeight="1">
      <c r="B12" s="121" t="s">
        <v>95</v>
      </c>
      <c r="C12" s="103">
        <f>'Data Entry'!C11</f>
        <v>139</v>
      </c>
      <c r="D12" s="112">
        <f>'Data Entry'!D11</f>
        <v>171</v>
      </c>
      <c r="E12" s="113">
        <f>'Black or African-American'!$G11</f>
        <v>1.069617309954318</v>
      </c>
      <c r="F12" s="114">
        <f>'Data Entry'!E11</f>
        <v>1</v>
      </c>
      <c r="G12" s="113" t="str">
        <f>Hispanic!G11</f>
        <v>**</v>
      </c>
      <c r="H12" s="114">
        <f>'Data Entry'!F11</f>
        <v>7</v>
      </c>
      <c r="I12" s="113" t="str">
        <f>Asian!G11</f>
        <v>**</v>
      </c>
      <c r="J12" s="114">
        <f>'Data Entry'!J11</f>
        <v>184</v>
      </c>
      <c r="K12" s="115">
        <f>'All Minorities'!G11</f>
        <v>1.0746583798050318</v>
      </c>
      <c r="L12"/>
      <c r="N12" s="1">
        <f>'Black or African-American'!L11</f>
        <v>2</v>
      </c>
      <c r="O12" s="1">
        <f>Hispanic!L11</f>
        <v>40</v>
      </c>
      <c r="P12" s="1">
        <f>Asian!L11</f>
        <v>40</v>
      </c>
      <c r="Q12" s="1">
        <f>Hawaiian!L11</f>
        <v>139</v>
      </c>
      <c r="R12" s="1" t="e">
        <f>'Am Indian'!L11</f>
        <v>#VALUE!</v>
      </c>
      <c r="S12" s="1">
        <f>'Other - Mixed'!L11</f>
        <v>139</v>
      </c>
      <c r="T12" s="1">
        <f>'All Minorities'!L11</f>
        <v>2</v>
      </c>
    </row>
    <row r="13" spans="2:30" s="1" customFormat="1" ht="15" customHeight="1">
      <c r="B13" s="121" t="s">
        <v>13</v>
      </c>
      <c r="C13" s="103">
        <f>'Data Entry'!C12</f>
        <v>69</v>
      </c>
      <c r="D13" s="108">
        <f>'Data Entry'!D12</f>
        <v>83</v>
      </c>
      <c r="E13" s="109">
        <f>'Black or African-American'!$G12</f>
        <v>0.97779472836681081</v>
      </c>
      <c r="F13" s="110">
        <f>'Data Entry'!E12</f>
        <v>0</v>
      </c>
      <c r="G13" s="109" t="str">
        <f>Hispanic!G12</f>
        <v>**</v>
      </c>
      <c r="H13" s="110">
        <f>'Data Entry'!F12</f>
        <v>5</v>
      </c>
      <c r="I13" s="109" t="str">
        <f>Asian!G12</f>
        <v>**</v>
      </c>
      <c r="J13" s="110">
        <f>'Data Entry'!J12</f>
        <v>93</v>
      </c>
      <c r="K13" s="111">
        <f>'All Minorities'!G12</f>
        <v>1.0181947069943289</v>
      </c>
      <c r="L13"/>
      <c r="N13" s="1">
        <f>'Black or African-American'!L12</f>
        <v>2</v>
      </c>
      <c r="O13" s="1">
        <f>Hispanic!L12</f>
        <v>40</v>
      </c>
      <c r="P13" s="1">
        <f>Asian!L12</f>
        <v>40</v>
      </c>
      <c r="Q13" s="1" t="e">
        <f>Hawaiian!L12</f>
        <v>#VALUE!</v>
      </c>
      <c r="R13" s="1" t="e">
        <f>'Am Indian'!L12</f>
        <v>#VALUE!</v>
      </c>
      <c r="S13" s="1">
        <f>'Other - Mixed'!L12</f>
        <v>119</v>
      </c>
      <c r="T13" s="1">
        <f>'All Minorities'!L12</f>
        <v>2</v>
      </c>
      <c r="W13" s="8"/>
      <c r="X13" s="8"/>
      <c r="Y13" s="8"/>
      <c r="Z13" s="8"/>
      <c r="AA13" s="8"/>
      <c r="AB13" s="8"/>
      <c r="AC13" s="8"/>
      <c r="AD13" s="8"/>
    </row>
    <row r="14" spans="2:30" s="1" customFormat="1" ht="15" customHeight="1">
      <c r="B14" s="121" t="s">
        <v>14</v>
      </c>
      <c r="C14" s="103">
        <f>'Data Entry'!C13</f>
        <v>12</v>
      </c>
      <c r="D14" s="112">
        <f>'Data Entry'!D13</f>
        <v>17</v>
      </c>
      <c r="E14" s="113">
        <f>'Black or African-American'!$G13</f>
        <v>1.177710843373494</v>
      </c>
      <c r="F14" s="114">
        <f>'Data Entry'!E13</f>
        <v>0</v>
      </c>
      <c r="G14" s="113" t="str">
        <f>Hispanic!G13</f>
        <v>--</v>
      </c>
      <c r="H14" s="114">
        <f>'Data Entry'!F13</f>
        <v>2</v>
      </c>
      <c r="I14" s="113" t="str">
        <f>Asian!G13</f>
        <v>**</v>
      </c>
      <c r="J14" s="114">
        <f>'Data Entry'!J13</f>
        <v>21</v>
      </c>
      <c r="K14" s="115">
        <f>'All Minorities'!G13</f>
        <v>1.2983870967741933</v>
      </c>
      <c r="L14"/>
      <c r="N14" s="1">
        <f>'Black or African-American'!L13</f>
        <v>2</v>
      </c>
      <c r="O14" s="1" t="e">
        <f>Hispanic!L13</f>
        <v>#VALUE!</v>
      </c>
      <c r="P14" s="1">
        <f>Asian!L13</f>
        <v>40</v>
      </c>
      <c r="Q14" s="1" t="e">
        <f>Hawaiian!L13</f>
        <v>#VALUE!</v>
      </c>
      <c r="R14" s="1" t="e">
        <f>'Am Indian'!L13</f>
        <v>#VALUE!</v>
      </c>
      <c r="S14" s="1">
        <f>'Other - Mixed'!L13</f>
        <v>139</v>
      </c>
      <c r="T14" s="1">
        <f>'All Minorities'!L13</f>
        <v>2</v>
      </c>
      <c r="W14" s="8"/>
      <c r="X14" s="8"/>
      <c r="Y14" s="8"/>
      <c r="Z14" s="8"/>
      <c r="AA14" s="8"/>
      <c r="AB14" s="8"/>
      <c r="AC14" s="8"/>
      <c r="AD14" s="8"/>
    </row>
    <row r="15" spans="2:30" s="1" customFormat="1" ht="33">
      <c r="B15" s="126" t="s">
        <v>115</v>
      </c>
      <c r="C15" s="103">
        <f>'Data Entry'!C14</f>
        <v>87</v>
      </c>
      <c r="D15" s="108">
        <f>'Data Entry'!D14</f>
        <v>136</v>
      </c>
      <c r="E15" s="109">
        <f>'Black or African-American'!$G14</f>
        <v>1.2995429995845451</v>
      </c>
      <c r="F15" s="110">
        <f>'Data Entry'!E14</f>
        <v>3</v>
      </c>
      <c r="G15" s="109" t="str">
        <f>Hispanic!G14</f>
        <v>--</v>
      </c>
      <c r="H15" s="110">
        <f>'Data Entry'!F14</f>
        <v>15</v>
      </c>
      <c r="I15" s="109" t="str">
        <f>Asian!G14</f>
        <v>**</v>
      </c>
      <c r="J15" s="110">
        <f>'Data Entry'!J14</f>
        <v>162</v>
      </c>
      <c r="K15" s="111">
        <f>'All Minorities'!G14</f>
        <v>1.3815350389321466</v>
      </c>
      <c r="L15"/>
      <c r="N15" s="1">
        <f>'Black or African-American'!L14</f>
        <v>1</v>
      </c>
      <c r="O15" s="1" t="e">
        <f>Hispanic!L14</f>
        <v>#DIV/0!</v>
      </c>
      <c r="P15" s="1">
        <f>Asian!L14</f>
        <v>20</v>
      </c>
      <c r="Q15" s="1" t="e">
        <f>Hawaiian!L14</f>
        <v>#VALUE!</v>
      </c>
      <c r="R15" s="1" t="e">
        <f>'Am Indian'!L14</f>
        <v>#VALUE!</v>
      </c>
      <c r="S15" s="1">
        <f>'Other - Mixed'!L14</f>
        <v>139</v>
      </c>
      <c r="T15" s="1">
        <f>'All Minorities'!L14</f>
        <v>1</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Oakland County Juvenile Court</v>
      </c>
      <c r="E27" s="1" t="str">
        <f>'Data Entry'!D20</f>
        <v>Item 4.Diversion: Oakland County Juvenile Court</v>
      </c>
      <c r="I27" s="96"/>
    </row>
    <row r="28" spans="2:30" ht="12.75" customHeight="1">
      <c r="B28" s="1" t="str">
        <f>'Data Entry'!A21</f>
        <v>Item 5.Detention: Oakland County Juvenile Court</v>
      </c>
      <c r="E28" s="1" t="str">
        <f>'Data Entry'!D21</f>
        <v>Item 6.Petitioned: Oakland County Juvenile Court</v>
      </c>
      <c r="I28" s="96"/>
    </row>
    <row r="29" spans="2:30" ht="12.75" customHeight="1">
      <c r="B29" s="1" t="str">
        <f>'Data Entry'!A22</f>
        <v>Item 7.Delinquent: Oakland County Juvenile Court</v>
      </c>
      <c r="E29" s="1" t="str">
        <f>'Data Entry'!D22</f>
        <v>Item 8.Probation: Oakland County Juvenile Court</v>
      </c>
      <c r="I29" s="96"/>
    </row>
    <row r="30" spans="2:30" ht="12.75" customHeight="1">
      <c r="B30" s="1" t="str">
        <f>'Data Entry'!A23</f>
        <v>Item 9.Confinement: Oakland County Juvenile Court</v>
      </c>
      <c r="E30" s="1" t="str">
        <f>'Data Entry'!D23</f>
        <v>Item 10.Transferred: Oakland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Entry'!D6</f>
        <v>18046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Entry'!D7</f>
        <v>495</v>
      </c>
      <c r="F7" s="34">
        <f>IF((AND($E$7&gt;0,$D$66&gt;0)),($E$7/$D$66),0)</f>
        <v>27.429901363182978</v>
      </c>
      <c r="G7" s="39">
        <f>IF(L$6=100,"*",IF(M7=FALSE,"--",IF(K7=20,"**",($F7/$D7))))</f>
        <v>7.6676540191214535</v>
      </c>
      <c r="H7" s="40"/>
      <c r="I7" s="41"/>
      <c r="J7" s="40">
        <f>IF((ABS($U7)&gt;Defaults!D$7),1,2)</f>
        <v>1</v>
      </c>
      <c r="K7" s="39">
        <f>IF((AND(N7&gt;Defaults!B$12,(N7+O7)&gt;Defaults!B$13, P7 &gt; Defaults!B$12, (P7+Q7) &gt; Defaults!B$13)),1,20)</f>
        <v>1</v>
      </c>
      <c r="L7" s="1">
        <f>(J7*K7+L$6)-1</f>
        <v>1</v>
      </c>
      <c r="M7" s="1" t="b">
        <f t="shared" ref="M7:M15" si="0">(ISNUMBER(J7))</f>
        <v>1</v>
      </c>
      <c r="N7" s="42">
        <f t="shared" ref="N7:N15" si="1">E7</f>
        <v>495</v>
      </c>
      <c r="O7" s="42">
        <f>E6-E7</f>
        <v>17551</v>
      </c>
      <c r="P7" s="42">
        <f t="shared" ref="P7:P15" si="2">C7</f>
        <v>289</v>
      </c>
      <c r="Q7" s="42">
        <f>C6-C7</f>
        <v>80497</v>
      </c>
      <c r="R7" s="42">
        <f t="shared" ref="R7:R15" si="3">SUM(N7:Q7)</f>
        <v>98832</v>
      </c>
      <c r="S7" s="30">
        <f t="shared" ref="S7:S15" si="4">R7*((((N7*Q7)-(O7*P7))^2))</f>
        <v>1.1950918602897333E+20</v>
      </c>
      <c r="T7" s="30">
        <f t="shared" ref="T7:T15" si="5">(N7+O7)*(P7+Q7)*(N7+P7)*(O7+Q7)</f>
        <v>1.1206548117771059E+17</v>
      </c>
      <c r="U7" s="31">
        <f t="shared" ref="U7:U15" si="6">IF((S7&gt;0),S7/T7,"- -")</f>
        <v>1066.4228161342448</v>
      </c>
    </row>
    <row r="8" spans="2:21" ht="18" customHeight="1">
      <c r="B8" s="32" t="str">
        <f>'Data Entry'!A8</f>
        <v>3. Refer to Juvenile Court</v>
      </c>
      <c r="C8" s="33">
        <f>'Data Entry'!C8</f>
        <v>686</v>
      </c>
      <c r="D8" s="34">
        <f>IF((AND(C67&gt;0,C8&gt;0)),(C8/C67),0)</f>
        <v>237.37024221453285</v>
      </c>
      <c r="E8" s="33">
        <f>'Data Entry'!D8</f>
        <v>789</v>
      </c>
      <c r="F8" s="34">
        <f>IF((AND($E$8&gt;0,$D$67&gt;0)),($E8/$D67),0)</f>
        <v>159.39393939393938</v>
      </c>
      <c r="G8" s="39">
        <f t="shared" ref="G8:G15" si="7">IF(L$6=100,"*",IF(M8=FALSE,"--",IF(K8=20,"**",($F8/$D8))))</f>
        <v>0.67149924905026948</v>
      </c>
      <c r="H8" s="40"/>
      <c r="I8" s="41"/>
      <c r="J8" s="40">
        <f>IF((ABS($U8)&gt;Defaults!D$7),1,2)</f>
        <v>1</v>
      </c>
      <c r="K8" s="39">
        <f>IF((AND(N8&gt;Defaults!B$12,(N8+O8)&gt;Defaults!B$13, P8 &gt; Defaults!B$12, (P8+Q8) &gt; Defaults!B$13)),1,20)</f>
        <v>1</v>
      </c>
      <c r="L8" s="1">
        <f t="shared" ref="L8:L15" si="8">(J8*K8+L$6)-1</f>
        <v>1</v>
      </c>
      <c r="M8" s="1" t="b">
        <f t="shared" si="0"/>
        <v>1</v>
      </c>
      <c r="N8" s="42">
        <f t="shared" si="1"/>
        <v>789</v>
      </c>
      <c r="O8" s="42">
        <f>((D67*L67)-E8)+0.05</f>
        <v>-293.95</v>
      </c>
      <c r="P8" s="42">
        <f t="shared" si="2"/>
        <v>686</v>
      </c>
      <c r="Q8" s="42">
        <f>(C$67*L67)-C8</f>
        <v>-397</v>
      </c>
      <c r="R8" s="42">
        <f t="shared" si="3"/>
        <v>784.05</v>
      </c>
      <c r="S8" s="30">
        <f t="shared" si="4"/>
        <v>9762075487331.707</v>
      </c>
      <c r="T8" s="30">
        <f t="shared" si="5"/>
        <v>-145809408804.31253</v>
      </c>
      <c r="U8" s="31">
        <f t="shared" si="6"/>
        <v>-66.950929760871361</v>
      </c>
    </row>
    <row r="9" spans="2:21" ht="18" customHeight="1">
      <c r="B9" s="32" t="str">
        <f>'Data Entry'!A9</f>
        <v xml:space="preserve">4. Cases Diverted </v>
      </c>
      <c r="C9" s="33">
        <f>'Data Entry'!C9</f>
        <v>227</v>
      </c>
      <c r="D9" s="34">
        <f>IF((AND(C68&gt;0,C9&gt;0)),((C9/C68)),0)</f>
        <v>33.090379008746353</v>
      </c>
      <c r="E9" s="33">
        <f>'Data Entry'!D9</f>
        <v>177</v>
      </c>
      <c r="F9" s="34">
        <f>IF((AND($E$9&gt;0,$D$68&gt;0)),(($E$9/$D$68)),0)</f>
        <v>22.433460076045627</v>
      </c>
      <c r="G9" s="39">
        <f t="shared" si="7"/>
        <v>0.67794509304701767</v>
      </c>
      <c r="H9" s="40"/>
      <c r="I9" s="41"/>
      <c r="J9" s="40">
        <f>IF((ABS($U9)&gt;Defaults!D$7),1,2)</f>
        <v>1</v>
      </c>
      <c r="K9" s="39">
        <f>IF((AND(N9&gt;Defaults!B$12,(N9+O9)&gt;Defaults!B$13, P9 &gt; Defaults!B$12, (P9+Q9) &gt; Defaults!B$13)),1,20)</f>
        <v>1</v>
      </c>
      <c r="L9" s="1">
        <f t="shared" si="8"/>
        <v>1</v>
      </c>
      <c r="M9" s="1" t="b">
        <f t="shared" si="0"/>
        <v>1</v>
      </c>
      <c r="N9" s="42">
        <f t="shared" si="1"/>
        <v>177</v>
      </c>
      <c r="O9" s="42">
        <f>(D$68*L68)-E9</f>
        <v>612</v>
      </c>
      <c r="P9" s="42">
        <f t="shared" si="2"/>
        <v>227</v>
      </c>
      <c r="Q9" s="42">
        <f>(C$68*L68)-C9</f>
        <v>459</v>
      </c>
      <c r="R9" s="42">
        <f t="shared" si="3"/>
        <v>1475</v>
      </c>
      <c r="S9" s="30">
        <f t="shared" si="4"/>
        <v>4907469197475</v>
      </c>
      <c r="T9" s="30">
        <f t="shared" si="5"/>
        <v>234191945736</v>
      </c>
      <c r="U9" s="31">
        <f t="shared" si="6"/>
        <v>20.95490168140579</v>
      </c>
    </row>
    <row r="10" spans="2:21" ht="18" customHeight="1">
      <c r="B10" s="32" t="str">
        <f>'Data Entry'!A10</f>
        <v>5. Cases Involving Secure Detention</v>
      </c>
      <c r="C10" s="33">
        <f>'Data Entry'!C10</f>
        <v>104</v>
      </c>
      <c r="D10" s="34">
        <f>IF(((AND(C68&gt;0,C10&gt;0))),(C10/(C68)),0)</f>
        <v>15.160349854227405</v>
      </c>
      <c r="E10" s="33">
        <f>'Data Entry'!D10</f>
        <v>147</v>
      </c>
      <c r="F10" s="34">
        <f>IF(((AND($E$10&gt;0,$D$68&gt;0))),($E$10/($D$68)),0)</f>
        <v>18.631178707224336</v>
      </c>
      <c r="G10" s="39">
        <f t="shared" si="7"/>
        <v>1.2289412108803746</v>
      </c>
      <c r="H10" s="40"/>
      <c r="I10" s="41"/>
      <c r="J10" s="40">
        <f>IF((ABS($U10)&gt;Defaults!D$7),1,2)</f>
        <v>2</v>
      </c>
      <c r="K10" s="39">
        <f>IF((AND(N10&gt;Defaults!B$12,(N10+O10)&gt;Defaults!B$13, P10 &gt; Defaults!B$12, (P10+Q10) &gt; Defaults!B$13)),1,20)</f>
        <v>1</v>
      </c>
      <c r="L10" s="1">
        <f t="shared" si="8"/>
        <v>2</v>
      </c>
      <c r="M10" s="1" t="b">
        <f t="shared" si="0"/>
        <v>1</v>
      </c>
      <c r="N10" s="42">
        <f t="shared" si="1"/>
        <v>147</v>
      </c>
      <c r="O10" s="42">
        <f>(D$68*L68)-E10</f>
        <v>642</v>
      </c>
      <c r="P10" s="42">
        <f t="shared" si="2"/>
        <v>104</v>
      </c>
      <c r="Q10" s="42">
        <f>(C$68*L68)-C10</f>
        <v>582</v>
      </c>
      <c r="R10" s="42">
        <f t="shared" si="3"/>
        <v>1475</v>
      </c>
      <c r="S10" s="30">
        <f t="shared" si="4"/>
        <v>520547849100</v>
      </c>
      <c r="T10" s="30">
        <f t="shared" si="5"/>
        <v>166286218896</v>
      </c>
      <c r="U10" s="31">
        <f t="shared" si="6"/>
        <v>3.130432891889646</v>
      </c>
    </row>
    <row r="11" spans="2:21" ht="18" customHeight="1">
      <c r="B11" s="32" t="str">
        <f>'Data Entry'!A11</f>
        <v>6. Cases Petitioned (Charge Filed)</v>
      </c>
      <c r="C11" s="33">
        <f>'Data Entry'!C11</f>
        <v>139</v>
      </c>
      <c r="D11" s="34">
        <f>IF(((AND(C68&gt;0,C11&gt;0))),(C11/(C68)),0)</f>
        <v>20.262390670553934</v>
      </c>
      <c r="E11" s="33">
        <f>'Data Entry'!D11</f>
        <v>171</v>
      </c>
      <c r="F11" s="34">
        <f>IF(((AND($E$11&gt;0,$D$68&gt;0))),($E$11/($D$68)),0)</f>
        <v>21.673003802281368</v>
      </c>
      <c r="G11" s="39">
        <f t="shared" si="7"/>
        <v>1.069617309954318</v>
      </c>
      <c r="H11" s="40"/>
      <c r="I11" s="41"/>
      <c r="J11" s="40">
        <f>IF((ABS($U11)&gt;Defaults!D$7),1,2)</f>
        <v>2</v>
      </c>
      <c r="K11" s="39">
        <f>IF((AND(N11&gt;Defaults!B$12,(N11+O11)&gt;Defaults!B$13, P11 &gt; Defaults!B$12, (P11+Q11) &gt; Defaults!B$13)),1,20)</f>
        <v>1</v>
      </c>
      <c r="L11" s="1">
        <f t="shared" si="8"/>
        <v>2</v>
      </c>
      <c r="M11" s="1" t="b">
        <f t="shared" si="0"/>
        <v>1</v>
      </c>
      <c r="N11" s="42">
        <f t="shared" si="1"/>
        <v>171</v>
      </c>
      <c r="O11" s="42">
        <f>(D$68*L68)-E11</f>
        <v>618</v>
      </c>
      <c r="P11" s="42">
        <f t="shared" si="2"/>
        <v>139</v>
      </c>
      <c r="Q11" s="42">
        <f>(C$68*L68)-C11</f>
        <v>547</v>
      </c>
      <c r="R11" s="42">
        <f t="shared" si="3"/>
        <v>1475</v>
      </c>
      <c r="S11" s="30">
        <f t="shared" si="4"/>
        <v>85982506875</v>
      </c>
      <c r="T11" s="30">
        <f t="shared" si="5"/>
        <v>195473882100</v>
      </c>
      <c r="U11" s="31">
        <f t="shared" si="6"/>
        <v>0.43986698351349723</v>
      </c>
    </row>
    <row r="12" spans="2:21" ht="18" customHeight="1">
      <c r="B12" s="32" t="str">
        <f>'Data Entry'!A12</f>
        <v>7. Cases Resulting in Delinquent Findings</v>
      </c>
      <c r="C12" s="33">
        <f>'Data Entry'!C12</f>
        <v>69</v>
      </c>
      <c r="D12" s="34">
        <f>IF(((AND(C69&gt;0,C12&gt;0))),(C12/(C69)),0)</f>
        <v>49.640287769784173</v>
      </c>
      <c r="E12" s="33">
        <f>'Data Entry'!D12</f>
        <v>83</v>
      </c>
      <c r="F12" s="34">
        <f>IF(((AND($D$69&gt;0,$E$12&gt;0))),(E12/(D69)),0)</f>
        <v>48.538011695906434</v>
      </c>
      <c r="G12" s="39">
        <f t="shared" si="7"/>
        <v>0.97779472836681081</v>
      </c>
      <c r="H12" s="40"/>
      <c r="I12" s="41"/>
      <c r="J12" s="40">
        <f>IF((ABS($U12)&gt;Defaults!D$7),1,2)</f>
        <v>2</v>
      </c>
      <c r="K12" s="39">
        <f>IF((AND(N12&gt;Defaults!B$12,(N12+O12)&gt;Defaults!B$13, P12 &gt; Defaults!B$12, (P12+Q12) &gt; Defaults!B$13)),1,20)</f>
        <v>1</v>
      </c>
      <c r="L12" s="1">
        <f t="shared" si="8"/>
        <v>2</v>
      </c>
      <c r="M12" s="1" t="b">
        <f t="shared" si="0"/>
        <v>1</v>
      </c>
      <c r="N12" s="42">
        <f t="shared" si="1"/>
        <v>83</v>
      </c>
      <c r="O12" s="42">
        <f>(D69*L69)-E12</f>
        <v>88</v>
      </c>
      <c r="P12" s="42">
        <f t="shared" si="2"/>
        <v>69</v>
      </c>
      <c r="Q12" s="42">
        <f>(C69*L69)-C12</f>
        <v>70</v>
      </c>
      <c r="R12" s="42">
        <f t="shared" si="3"/>
        <v>310</v>
      </c>
      <c r="S12" s="30">
        <f t="shared" si="4"/>
        <v>21279640</v>
      </c>
      <c r="T12" s="30">
        <f t="shared" si="5"/>
        <v>570836304</v>
      </c>
      <c r="U12" s="31">
        <f t="shared" si="6"/>
        <v>3.7278007461837959E-2</v>
      </c>
    </row>
    <row r="13" spans="2:21" ht="18" customHeight="1">
      <c r="B13" s="32" t="str">
        <f>'Data Entry'!A13</f>
        <v>8. Cases Resulting in Probation Placement</v>
      </c>
      <c r="C13" s="33">
        <f>'Data Entry'!C13</f>
        <v>12</v>
      </c>
      <c r="D13" s="34">
        <f>IF(((AND(C70&gt;0,C13&gt;0))),(C13/(C70)),0)</f>
        <v>17.39130434782609</v>
      </c>
      <c r="E13" s="33">
        <f>'Data Entry'!D13</f>
        <v>17</v>
      </c>
      <c r="F13" s="34">
        <f>IF(((AND($D$70&gt;0,$E$13&gt;0))),($E$13/($D$70)),0)</f>
        <v>20.481927710843376</v>
      </c>
      <c r="G13" s="39">
        <f t="shared" si="7"/>
        <v>1.177710843373494</v>
      </c>
      <c r="H13" s="40"/>
      <c r="I13" s="41"/>
      <c r="J13" s="40">
        <f>IF((ABS($U13)&gt;Defaults!D$7),1,2)</f>
        <v>2</v>
      </c>
      <c r="K13" s="39">
        <f>IF((AND(N13&gt;Defaults!B$12,(N13+O13)&gt;Defaults!B$13, P13 &gt; Defaults!B$12, (P13+Q13) &gt; Defaults!B$13)),1,20)</f>
        <v>1</v>
      </c>
      <c r="L13" s="1">
        <f t="shared" si="8"/>
        <v>2</v>
      </c>
      <c r="M13" s="1" t="b">
        <f t="shared" si="0"/>
        <v>1</v>
      </c>
      <c r="N13" s="42">
        <f t="shared" si="1"/>
        <v>17</v>
      </c>
      <c r="O13" s="42">
        <f>(D70*L70)-E13</f>
        <v>66</v>
      </c>
      <c r="P13" s="42">
        <f t="shared" si="2"/>
        <v>12</v>
      </c>
      <c r="Q13" s="42">
        <f>(C70*L70)-C13</f>
        <v>57</v>
      </c>
      <c r="R13" s="42">
        <f t="shared" si="3"/>
        <v>152</v>
      </c>
      <c r="S13" s="30">
        <f t="shared" si="4"/>
        <v>4762008</v>
      </c>
      <c r="T13" s="30">
        <f t="shared" si="5"/>
        <v>20428209</v>
      </c>
      <c r="U13" s="31">
        <f t="shared" si="6"/>
        <v>0.23310942236786397</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Entry'!D14</f>
        <v>136</v>
      </c>
      <c r="F14" s="34">
        <f>IF(((AND($D$70&gt;0,$E$14&gt;0))), (($E$14/($D$70))),0)</f>
        <v>163.85542168674701</v>
      </c>
      <c r="G14" s="39">
        <f t="shared" si="7"/>
        <v>1.2995429995845451</v>
      </c>
      <c r="H14" s="40"/>
      <c r="I14" s="41"/>
      <c r="J14" s="40">
        <f>IF((ABS($U14)&gt;Defaults!D$7),1,2)</f>
        <v>1</v>
      </c>
      <c r="K14" s="39">
        <f>IF((AND(N14&gt;Defaults!B$12,(N14+O14)&gt;Defaults!B$13, P14 &gt; Defaults!B$12, (P14+Q14) &gt; Defaults!B$13)),1,20)</f>
        <v>1</v>
      </c>
      <c r="L14" s="1">
        <f t="shared" si="8"/>
        <v>1</v>
      </c>
      <c r="M14" s="1" t="b">
        <f t="shared" si="0"/>
        <v>1</v>
      </c>
      <c r="N14" s="42">
        <f t="shared" si="1"/>
        <v>136</v>
      </c>
      <c r="O14" s="42">
        <f>(D70*L70)-E14</f>
        <v>-53</v>
      </c>
      <c r="P14" s="42">
        <f t="shared" si="2"/>
        <v>87</v>
      </c>
      <c r="Q14" s="42">
        <f>(C70*L70)-C14</f>
        <v>-18</v>
      </c>
      <c r="R14" s="42">
        <f t="shared" si="3"/>
        <v>152</v>
      </c>
      <c r="S14" s="30">
        <f t="shared" si="4"/>
        <v>711142488</v>
      </c>
      <c r="T14" s="30">
        <f t="shared" si="5"/>
        <v>-90675591</v>
      </c>
      <c r="U14" s="31">
        <f t="shared" si="6"/>
        <v>-7.8427113642964841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171</v>
      </c>
      <c r="P15" s="42">
        <f t="shared" si="2"/>
        <v>0</v>
      </c>
      <c r="Q15" s="42">
        <f>(C69*L69)-C15</f>
        <v>139</v>
      </c>
      <c r="R15" s="42">
        <f t="shared" si="3"/>
        <v>310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18.045999999999999</v>
      </c>
      <c r="E42" s="56">
        <f>MAX(C42:D42)</f>
        <v>80.786000000000001</v>
      </c>
      <c r="G42" s="1" t="str">
        <f>B42</f>
        <v>per 1000 youth</v>
      </c>
      <c r="L42" s="57">
        <v>1000</v>
      </c>
      <c r="M42" s="57"/>
      <c r="R42" s="49"/>
    </row>
    <row r="43" spans="2:18" ht="15" hidden="1" customHeight="1">
      <c r="B43" s="49" t="s">
        <v>87</v>
      </c>
      <c r="C43" s="56">
        <f>C7/100</f>
        <v>2.89</v>
      </c>
      <c r="D43" s="56">
        <f>E7/100</f>
        <v>4.95</v>
      </c>
      <c r="E43" s="56">
        <f>MAX(C43:D43,0)</f>
        <v>4.95</v>
      </c>
      <c r="G43" s="1" t="str">
        <f>B43</f>
        <v>per 100 arrests</v>
      </c>
      <c r="L43" s="57">
        <v>100</v>
      </c>
      <c r="M43" s="57"/>
      <c r="R43" s="49"/>
    </row>
    <row r="44" spans="2:18" ht="15" hidden="1" customHeight="1">
      <c r="B44" s="49" t="s">
        <v>88</v>
      </c>
      <c r="C44" s="56">
        <f>C8/100</f>
        <v>6.86</v>
      </c>
      <c r="D44" s="56">
        <f>E8/100</f>
        <v>7.89</v>
      </c>
      <c r="E44" s="56">
        <f>MAX(C44:D44,0)</f>
        <v>7.89</v>
      </c>
      <c r="G44" s="1" t="str">
        <f>B44</f>
        <v>per 100 referrals</v>
      </c>
      <c r="L44" s="57">
        <v>100</v>
      </c>
      <c r="M44" s="57"/>
      <c r="R44" s="49"/>
    </row>
    <row r="45" spans="2:18" ht="15" hidden="1" customHeight="1">
      <c r="B45" s="49" t="s">
        <v>89</v>
      </c>
      <c r="C45" s="49">
        <f>C11/100</f>
        <v>1.39</v>
      </c>
      <c r="D45" s="49">
        <f>E11/100</f>
        <v>1.71</v>
      </c>
      <c r="E45" s="56">
        <f>MAX(C45:D45,0)</f>
        <v>1.71</v>
      </c>
      <c r="G45" s="1" t="str">
        <f>B45</f>
        <v>per 100 youth petitioned</v>
      </c>
      <c r="L45" s="57">
        <v>100</v>
      </c>
      <c r="M45" s="57"/>
      <c r="R45" s="49"/>
    </row>
    <row r="46" spans="2:18" ht="15" hidden="1" customHeight="1">
      <c r="B46" s="49" t="s">
        <v>90</v>
      </c>
      <c r="C46" s="49">
        <f>C12/100</f>
        <v>0.69</v>
      </c>
      <c r="D46" s="49">
        <f>E12/100</f>
        <v>0.83</v>
      </c>
      <c r="E46" s="56">
        <f>MAX(C46:D46)</f>
        <v>0.83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18.045999999999999</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2.89</v>
      </c>
      <c r="D49" s="49">
        <f t="shared" si="9"/>
        <v>4.95</v>
      </c>
      <c r="E49" s="49">
        <f>MAX(C49:D49)</f>
        <v>4.95</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7.89</v>
      </c>
      <c r="E50" s="49">
        <f>MAX(C50:D50)</f>
        <v>7.89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1.71</v>
      </c>
      <c r="E51" s="49">
        <f>MAX(C51:D51)</f>
        <v>1.71</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0.83</v>
      </c>
      <c r="E52" s="56">
        <f>MAX(C52:D52)</f>
        <v>0.83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18.045999999999999</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4.95</v>
      </c>
      <c r="E55" s="49">
        <f>MAX(C55:D55)</f>
        <v>4.95</v>
      </c>
      <c r="G55" s="1" t="str">
        <f>G49</f>
        <v>per 100 arrests</v>
      </c>
      <c r="L55" s="58">
        <f>IF(($E49&gt;0),L49,L48)</f>
        <v>100</v>
      </c>
      <c r="M55" s="58"/>
    </row>
    <row r="56" spans="2:18" ht="15" hidden="1" customHeight="1">
      <c r="B56" s="49" t="str">
        <f t="shared" si="10"/>
        <v>per 100 referrals</v>
      </c>
      <c r="C56" s="49">
        <f t="shared" si="10"/>
        <v>6.86</v>
      </c>
      <c r="D56" s="49">
        <f t="shared" si="10"/>
        <v>7.89</v>
      </c>
      <c r="E56" s="49">
        <f>MAX(C56:D56)</f>
        <v>7.89</v>
      </c>
      <c r="G56" s="1" t="str">
        <f>G50</f>
        <v>per 100 referrals</v>
      </c>
      <c r="L56" s="58">
        <f>IF(($E50&gt;0),L50,L49)</f>
        <v>100</v>
      </c>
      <c r="M56" s="58"/>
    </row>
    <row r="57" spans="2:18" ht="15" hidden="1" customHeight="1">
      <c r="B57" s="49" t="str">
        <f>IF(($E51&gt;0),B51,B49)</f>
        <v>per 100 youth petitioned</v>
      </c>
      <c r="C57" s="49">
        <f>IF(($E51&gt;0),C51,C50)</f>
        <v>1.39</v>
      </c>
      <c r="D57" s="49">
        <f>IF(($E51&gt;0),D51,D50)</f>
        <v>1.71</v>
      </c>
      <c r="E57" s="49">
        <f>MAX(C57:D57)</f>
        <v>1.71</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0.83</v>
      </c>
      <c r="E58" s="56">
        <f>MAX(C58:D58)</f>
        <v>0.83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18.045999999999999</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4.95</v>
      </c>
      <c r="E61" s="49">
        <f>MAX(C61:D61)</f>
        <v>4.95</v>
      </c>
      <c r="G61" s="1" t="str">
        <f>G55</f>
        <v>per 100 arrests</v>
      </c>
      <c r="L61" s="58">
        <f>IF(($E55&gt;0),L55,L54)</f>
        <v>100</v>
      </c>
      <c r="M61" s="58"/>
    </row>
    <row r="62" spans="2:18" ht="15" hidden="1" customHeight="1">
      <c r="B62" s="49" t="str">
        <f t="shared" si="11"/>
        <v>per 100 referrals</v>
      </c>
      <c r="C62" s="49">
        <f t="shared" si="11"/>
        <v>6.86</v>
      </c>
      <c r="D62" s="49">
        <f t="shared" si="11"/>
        <v>7.89</v>
      </c>
      <c r="E62" s="49">
        <f>MAX(C62:D62)</f>
        <v>7.89</v>
      </c>
      <c r="G62" s="1" t="str">
        <f>G56</f>
        <v>per 100 referrals</v>
      </c>
      <c r="L62" s="58">
        <f>IF(($E56&gt;0),L56,L55)</f>
        <v>100</v>
      </c>
      <c r="M62" s="58"/>
    </row>
    <row r="63" spans="2:18" ht="15" hidden="1" customHeight="1">
      <c r="B63" s="49" t="str">
        <f>IF(($E57&gt;0),B57,B55)</f>
        <v>per 100 youth petitioned</v>
      </c>
      <c r="C63" s="49">
        <f>IF(($E57&gt;0),C57,C56)</f>
        <v>1.39</v>
      </c>
      <c r="D63" s="49">
        <f>IF(($E57&gt;0),D57,D56)</f>
        <v>1.71</v>
      </c>
      <c r="E63" s="49">
        <f>MAX(C63:D63)</f>
        <v>1.71</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0.83</v>
      </c>
      <c r="E64" s="56">
        <f>MAX(C64:D64)</f>
        <v>0.83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18.045999999999999</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4.95</v>
      </c>
      <c r="E67" s="49">
        <f>MAX(C67:D67)</f>
        <v>4.95</v>
      </c>
      <c r="G67" s="1" t="str">
        <f>G61</f>
        <v>per 100 arrests</v>
      </c>
      <c r="L67" s="58">
        <f>IF(($E61&gt;0),L61,L60)</f>
        <v>100</v>
      </c>
      <c r="M67" s="58">
        <f>IF((B67=G67),1,2)</f>
        <v>1</v>
      </c>
    </row>
    <row r="68" spans="2:13" ht="15" hidden="1" customHeight="1">
      <c r="B68" s="49" t="str">
        <f t="shared" si="12"/>
        <v>per 100 referrals</v>
      </c>
      <c r="C68" s="49">
        <f t="shared" si="12"/>
        <v>6.86</v>
      </c>
      <c r="D68" s="49">
        <f t="shared" si="12"/>
        <v>7.89</v>
      </c>
      <c r="E68" s="49">
        <f>MAX(C68:D68)</f>
        <v>7.89</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1.71</v>
      </c>
      <c r="E69" s="49">
        <f>MAX(C69:D69)</f>
        <v>1.71</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0.83</v>
      </c>
      <c r="E70" s="56">
        <f>MAX(C70:D70)</f>
        <v>0.83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Entry'!F6</f>
        <v>11744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Entry'!F7</f>
        <v>8</v>
      </c>
      <c r="F7" s="34">
        <f>IF((AND($E$7&gt;0,$D$66&gt;0)),($E$7/$D$66),0)</f>
        <v>0.68119891008174394</v>
      </c>
      <c r="G7" s="39">
        <f t="shared" ref="G7:G15" si="0">IF(L$6=100,"*",IF(M7=FALSE,"--",IF(K7=20,"**",($F7/$D7))))</f>
        <v>0.19041984480921717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v>
      </c>
      <c r="O7" s="42">
        <f>E6-E7</f>
        <v>11736</v>
      </c>
      <c r="P7" s="42">
        <f t="shared" ref="P7:P15" si="4">C7</f>
        <v>289</v>
      </c>
      <c r="Q7" s="42">
        <f>C6-C7</f>
        <v>80497</v>
      </c>
      <c r="R7" s="42">
        <f t="shared" ref="R7:R15" si="5">SUM(N7:Q7)</f>
        <v>92530</v>
      </c>
      <c r="S7" s="30">
        <f t="shared" ref="S7:S15" si="6">R7*((((N7*Q7)-(O7*P7))^2))</f>
        <v>6.9860234775837952E+17</v>
      </c>
      <c r="T7" s="30">
        <f t="shared" ref="T7:T15" si="7">(N7+O7)*(P7+Q7)*(N7+P7)*(O7+Q7)</f>
        <v>2.5989320925019584E+16</v>
      </c>
      <c r="U7" s="31">
        <f t="shared" ref="U7:U15" si="8">IF((S7&gt;0),S7/T7,"- -")</f>
        <v>26.880361736802598</v>
      </c>
    </row>
    <row r="8" spans="2:21" ht="18" customHeight="1">
      <c r="B8" s="32" t="str">
        <f>'Data Entry'!A8</f>
        <v>3. Refer to Juvenile Court</v>
      </c>
      <c r="C8" s="33">
        <f>'Data Entry'!C8</f>
        <v>686</v>
      </c>
      <c r="D8" s="34">
        <f>IF((AND(C67&gt;0,C8&gt;0)),(C8/C67),0)</f>
        <v>237.37024221453285</v>
      </c>
      <c r="E8" s="33">
        <f>'Data Entry'!F8</f>
        <v>28</v>
      </c>
      <c r="F8" s="34">
        <f>IF((AND($E$8&gt;0,$D$67&gt;0)),($E8/$D67),0)</f>
        <v>350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28</v>
      </c>
      <c r="O8" s="42">
        <f>((D67*L67)-E8)+0.05</f>
        <v>-19.95</v>
      </c>
      <c r="P8" s="42">
        <f t="shared" si="4"/>
        <v>686</v>
      </c>
      <c r="Q8" s="42">
        <f>(C$67*L67)-C8</f>
        <v>-397</v>
      </c>
      <c r="R8" s="42">
        <f t="shared" si="5"/>
        <v>297.04999999999995</v>
      </c>
      <c r="S8" s="30">
        <f t="shared" si="6"/>
        <v>1961527520.6344979</v>
      </c>
      <c r="T8" s="30">
        <f t="shared" si="7"/>
        <v>-692589515.83500004</v>
      </c>
      <c r="U8" s="31">
        <f t="shared" si="8"/>
        <v>-2.8321646166844445</v>
      </c>
    </row>
    <row r="9" spans="2:21" ht="18" customHeight="1">
      <c r="B9" s="32" t="str">
        <f>'Data Entry'!A9</f>
        <v xml:space="preserve">4. Cases Diverted </v>
      </c>
      <c r="C9" s="33">
        <f>'Data Entry'!C9</f>
        <v>227</v>
      </c>
      <c r="D9" s="34">
        <f>IF((AND(C68&gt;0,C9&gt;0)),((C9/C68)),0)</f>
        <v>33.090379008746353</v>
      </c>
      <c r="E9" s="33">
        <f>'Data Entry'!F9</f>
        <v>5</v>
      </c>
      <c r="F9" s="34">
        <f>IF((AND($E$9&gt;0,$D$68&gt;0)),(($E$9/$D$68)),0)</f>
        <v>17.857142857142854</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5</v>
      </c>
      <c r="O9" s="42">
        <f>(D$68*L68)-E9</f>
        <v>23.000000000000004</v>
      </c>
      <c r="P9" s="42">
        <f t="shared" si="4"/>
        <v>227</v>
      </c>
      <c r="Q9" s="42">
        <f>(C$68*L68)-C9</f>
        <v>459</v>
      </c>
      <c r="R9" s="42">
        <f t="shared" si="5"/>
        <v>714</v>
      </c>
      <c r="S9" s="30">
        <f t="shared" si="6"/>
        <v>6112893864.0000038</v>
      </c>
      <c r="T9" s="30">
        <f t="shared" si="7"/>
        <v>2147915392.0000005</v>
      </c>
      <c r="U9" s="31">
        <f t="shared" si="8"/>
        <v>2.8459658545060615</v>
      </c>
    </row>
    <row r="10" spans="2:21" ht="18" customHeight="1">
      <c r="B10" s="32" t="str">
        <f>'Data Entry'!A10</f>
        <v>5. Cases Involving Secure Detention</v>
      </c>
      <c r="C10" s="33">
        <f>'Data Entry'!C10</f>
        <v>104</v>
      </c>
      <c r="D10" s="34">
        <f>IF(((AND(C68&gt;0,C10&gt;0))),(C10/(C68)),0)</f>
        <v>15.160349854227405</v>
      </c>
      <c r="E10" s="33">
        <f>'Data Entry'!F10</f>
        <v>13</v>
      </c>
      <c r="F10" s="34">
        <f>IF(((AND($E$10&gt;0,$D$68&gt;0))),($E$10/($D$68)),0)</f>
        <v>46.428571428571423</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13</v>
      </c>
      <c r="O10" s="42">
        <f>(D$68*L68)-E10</f>
        <v>15.000000000000004</v>
      </c>
      <c r="P10" s="42">
        <f t="shared" si="4"/>
        <v>104</v>
      </c>
      <c r="Q10" s="42">
        <f>(C$68*L68)-C10</f>
        <v>582</v>
      </c>
      <c r="R10" s="42">
        <f t="shared" si="5"/>
        <v>714</v>
      </c>
      <c r="S10" s="30">
        <f t="shared" si="6"/>
        <v>25755433704</v>
      </c>
      <c r="T10" s="30">
        <f t="shared" si="7"/>
        <v>1341659592.0000002</v>
      </c>
      <c r="U10" s="31">
        <f t="shared" si="8"/>
        <v>19.196697774587218</v>
      </c>
    </row>
    <row r="11" spans="2:21" ht="18" customHeight="1">
      <c r="B11" s="32" t="str">
        <f>'Data Entry'!A11</f>
        <v>6. Cases Petitioned (Charge Filed)</v>
      </c>
      <c r="C11" s="33">
        <f>'Data Entry'!C11</f>
        <v>139</v>
      </c>
      <c r="D11" s="34">
        <f>IF(((AND(C68&gt;0,C11&gt;0))),(C11/(C68)),0)</f>
        <v>20.262390670553934</v>
      </c>
      <c r="E11" s="33">
        <f>'Data Entry'!F11</f>
        <v>7</v>
      </c>
      <c r="F11" s="34">
        <f>IF(((AND($E$11&gt;0,$D$68&gt;0))),($E$11/($D$68)),0)</f>
        <v>24.999999999999996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7</v>
      </c>
      <c r="O11" s="42">
        <f>(D$68*L68)-E11</f>
        <v>21.000000000000004</v>
      </c>
      <c r="P11" s="42">
        <f t="shared" si="4"/>
        <v>139</v>
      </c>
      <c r="Q11" s="42">
        <f>(C$68*L68)-C11</f>
        <v>547</v>
      </c>
      <c r="R11" s="42">
        <f t="shared" si="5"/>
        <v>714</v>
      </c>
      <c r="S11" s="30">
        <f t="shared" si="6"/>
        <v>591263399.9999994</v>
      </c>
      <c r="T11" s="30">
        <f t="shared" si="7"/>
        <v>1592881024.0000002</v>
      </c>
      <c r="U11" s="31">
        <f t="shared" si="8"/>
        <v>0.37119118822524144</v>
      </c>
    </row>
    <row r="12" spans="2:21" ht="18" customHeight="1">
      <c r="B12" s="32" t="str">
        <f>'Data Entry'!A12</f>
        <v>7. Cases Resulting in Delinquent Findings</v>
      </c>
      <c r="C12" s="33">
        <f>'Data Entry'!C12</f>
        <v>69</v>
      </c>
      <c r="D12" s="34">
        <f>IF(((AND(C69&gt;0,C12&gt;0))),(C12/(C69)),0)</f>
        <v>49.640287769784173</v>
      </c>
      <c r="E12" s="33">
        <f>'Data Entry'!F12</f>
        <v>5</v>
      </c>
      <c r="F12" s="34">
        <f>IF(((AND($D$69&gt;0,$E$12&gt;0))),(E12/(D69)),0)</f>
        <v>71.428571428571416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2.0000000000000009</v>
      </c>
      <c r="P12" s="42">
        <f t="shared" si="4"/>
        <v>69</v>
      </c>
      <c r="Q12" s="42">
        <f>(C69*L69)-C12</f>
        <v>70</v>
      </c>
      <c r="R12" s="42">
        <f t="shared" si="5"/>
        <v>146</v>
      </c>
      <c r="S12" s="30">
        <f t="shared" si="6"/>
        <v>6561823.9999999972</v>
      </c>
      <c r="T12" s="30">
        <f t="shared" si="7"/>
        <v>5184144.0000000009</v>
      </c>
      <c r="U12" s="31">
        <f t="shared" si="8"/>
        <v>1.2657487909286462</v>
      </c>
    </row>
    <row r="13" spans="2:21" ht="18" customHeight="1">
      <c r="B13" s="32" t="str">
        <f>'Data Entry'!A13</f>
        <v>8. Cases Resulting in Probation Placement</v>
      </c>
      <c r="C13" s="33">
        <f>'Data Entry'!C13</f>
        <v>12</v>
      </c>
      <c r="D13" s="34">
        <f>IF(((AND(C70&gt;0,C13&gt;0))),(C13/(C70)),0)</f>
        <v>17.39130434782609</v>
      </c>
      <c r="E13" s="33">
        <f>'Data Entry'!F13</f>
        <v>2</v>
      </c>
      <c r="F13" s="34">
        <f>IF(((AND($D$70&gt;0,$E$13&gt;0))),($E$13/($D$70)),0)</f>
        <v>40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3</v>
      </c>
      <c r="P13" s="42">
        <f t="shared" si="4"/>
        <v>12</v>
      </c>
      <c r="Q13" s="42">
        <f>(C70*L70)-C13</f>
        <v>57</v>
      </c>
      <c r="R13" s="42">
        <f t="shared" si="5"/>
        <v>74</v>
      </c>
      <c r="S13" s="30">
        <f t="shared" si="6"/>
        <v>450216</v>
      </c>
      <c r="T13" s="30">
        <f t="shared" si="7"/>
        <v>289800</v>
      </c>
      <c r="U13" s="31">
        <f t="shared" si="8"/>
        <v>1.5535403726708075</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Entry'!F14</f>
        <v>15</v>
      </c>
      <c r="F14" s="34">
        <f>IF(((AND($D$70&gt;0,$E$14&gt;0))), (($E$14/($D$70))),0)</f>
        <v>300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15</v>
      </c>
      <c r="O14" s="42">
        <f>(D70*L70)-E14</f>
        <v>-10</v>
      </c>
      <c r="P14" s="42">
        <f t="shared" si="4"/>
        <v>87</v>
      </c>
      <c r="Q14" s="42">
        <f>(C70*L70)-C14</f>
        <v>-18</v>
      </c>
      <c r="R14" s="42">
        <f t="shared" si="5"/>
        <v>74</v>
      </c>
      <c r="S14" s="30">
        <f t="shared" si="6"/>
        <v>26640000</v>
      </c>
      <c r="T14" s="30">
        <f t="shared" si="7"/>
        <v>-985320</v>
      </c>
      <c r="U14" s="31">
        <f t="shared" si="8"/>
        <v>-27.036901717208622</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139</v>
      </c>
      <c r="R15" s="42">
        <f t="shared" si="5"/>
        <v>146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11.744</v>
      </c>
      <c r="E42" s="56">
        <f>MAX(C42:D42)</f>
        <v>80.786000000000001</v>
      </c>
      <c r="G42" s="1" t="str">
        <f>B42</f>
        <v>per 1000 youth</v>
      </c>
      <c r="L42" s="57">
        <v>1000</v>
      </c>
      <c r="M42" s="57"/>
      <c r="R42" s="49"/>
    </row>
    <row r="43" spans="2:18" ht="15" hidden="1" customHeight="1">
      <c r="B43" s="49" t="s">
        <v>87</v>
      </c>
      <c r="C43" s="56">
        <f>C7/100</f>
        <v>2.89</v>
      </c>
      <c r="D43" s="56">
        <f>E7/100</f>
        <v>0.08</v>
      </c>
      <c r="E43" s="56">
        <f>MAX(C43:D43,0)</f>
        <v>2.89</v>
      </c>
      <c r="G43" s="1" t="str">
        <f>B43</f>
        <v>per 100 arrests</v>
      </c>
      <c r="L43" s="57">
        <v>100</v>
      </c>
      <c r="M43" s="57"/>
      <c r="R43" s="49"/>
    </row>
    <row r="44" spans="2:18" ht="15" hidden="1" customHeight="1">
      <c r="B44" s="49" t="s">
        <v>88</v>
      </c>
      <c r="C44" s="56">
        <f>C8/100</f>
        <v>6.86</v>
      </c>
      <c r="D44" s="56">
        <f>E8/100</f>
        <v>0.28000000000000003</v>
      </c>
      <c r="E44" s="56">
        <f>MAX(C44:D44,0)</f>
        <v>6.86</v>
      </c>
      <c r="G44" s="1" t="str">
        <f>B44</f>
        <v>per 100 referrals</v>
      </c>
      <c r="L44" s="57">
        <v>100</v>
      </c>
      <c r="M44" s="57"/>
      <c r="R44" s="49"/>
    </row>
    <row r="45" spans="2:18" ht="15" hidden="1" customHeight="1">
      <c r="B45" s="49" t="s">
        <v>89</v>
      </c>
      <c r="C45" s="49">
        <f>C11/100</f>
        <v>1.39</v>
      </c>
      <c r="D45" s="49">
        <f>E11/100</f>
        <v>7.0000000000000007E-2</v>
      </c>
      <c r="E45" s="56">
        <f>MAX(C45:D45,0)</f>
        <v>1.39</v>
      </c>
      <c r="G45" s="1" t="str">
        <f>B45</f>
        <v>per 100 youth petitioned</v>
      </c>
      <c r="L45" s="57">
        <v>100</v>
      </c>
      <c r="M45" s="57"/>
      <c r="R45" s="49"/>
    </row>
    <row r="46" spans="2:18" ht="15" hidden="1" customHeight="1">
      <c r="B46" s="49" t="s">
        <v>90</v>
      </c>
      <c r="C46" s="49">
        <f>C12/100</f>
        <v>0.69</v>
      </c>
      <c r="D46" s="49">
        <f>E12/100</f>
        <v>0.05</v>
      </c>
      <c r="E46" s="56">
        <f>MAX(C46:D46)</f>
        <v>0.69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11.744</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0.08</v>
      </c>
      <c r="E49" s="49">
        <f>MAX(C49:D49)</f>
        <v>2.89</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0.28000000000000003</v>
      </c>
      <c r="E50" s="49">
        <f>MAX(C50:D50)</f>
        <v>6.86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7.0000000000000007E-2</v>
      </c>
      <c r="E51" s="49">
        <f>MAX(C51:D51)</f>
        <v>1.39</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0.05</v>
      </c>
      <c r="E52" s="56">
        <f>MAX(C52:D52)</f>
        <v>0.69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11.744</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0.08</v>
      </c>
      <c r="E55" s="49">
        <f>MAX(C55:D55)</f>
        <v>2.89</v>
      </c>
      <c r="G55" s="1" t="str">
        <f>G49</f>
        <v>per 100 arrests</v>
      </c>
      <c r="L55" s="58">
        <f>IF(($E49&gt;0),L49,L48)</f>
        <v>100</v>
      </c>
      <c r="M55" s="58"/>
    </row>
    <row r="56" spans="2:18" ht="15" hidden="1" customHeight="1">
      <c r="B56" s="49" t="str">
        <f t="shared" si="10"/>
        <v>per 100 referrals</v>
      </c>
      <c r="C56" s="49">
        <f t="shared" si="10"/>
        <v>6.86</v>
      </c>
      <c r="D56" s="49">
        <f t="shared" si="10"/>
        <v>0.28000000000000003</v>
      </c>
      <c r="E56" s="49">
        <f>MAX(C56:D56)</f>
        <v>6.86</v>
      </c>
      <c r="G56" s="1" t="str">
        <f>G50</f>
        <v>per 100 referrals</v>
      </c>
      <c r="L56" s="58">
        <f>IF(($E50&gt;0),L50,L49)</f>
        <v>100</v>
      </c>
      <c r="M56" s="58"/>
    </row>
    <row r="57" spans="2:18" ht="15" hidden="1" customHeight="1">
      <c r="B57" s="49" t="str">
        <f>IF(($E51&gt;0),B51,B49)</f>
        <v>per 100 youth petitioned</v>
      </c>
      <c r="C57" s="49">
        <f>IF(($E51&gt;0),C51,C50)</f>
        <v>1.39</v>
      </c>
      <c r="D57" s="49">
        <f>IF(($E51&gt;0),D51,D50)</f>
        <v>7.0000000000000007E-2</v>
      </c>
      <c r="E57" s="49">
        <f>MAX(C57:D57)</f>
        <v>1.39</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0.05</v>
      </c>
      <c r="E58" s="56">
        <f>MAX(C58:D58)</f>
        <v>0.69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11.744</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0.08</v>
      </c>
      <c r="E61" s="49">
        <f>MAX(C61:D61)</f>
        <v>2.89</v>
      </c>
      <c r="G61" s="1" t="str">
        <f>G55</f>
        <v>per 100 arrests</v>
      </c>
      <c r="L61" s="58">
        <f>IF(($E55&gt;0),L55,L54)</f>
        <v>100</v>
      </c>
      <c r="M61" s="58"/>
    </row>
    <row r="62" spans="2:18" ht="15" hidden="1" customHeight="1">
      <c r="B62" s="49" t="str">
        <f t="shared" si="11"/>
        <v>per 100 referrals</v>
      </c>
      <c r="C62" s="49">
        <f t="shared" si="11"/>
        <v>6.86</v>
      </c>
      <c r="D62" s="49">
        <f t="shared" si="11"/>
        <v>0.28000000000000003</v>
      </c>
      <c r="E62" s="49">
        <f>MAX(C62:D62)</f>
        <v>6.86</v>
      </c>
      <c r="G62" s="1" t="str">
        <f>G56</f>
        <v>per 100 referrals</v>
      </c>
      <c r="L62" s="58">
        <f>IF(($E56&gt;0),L56,L55)</f>
        <v>100</v>
      </c>
      <c r="M62" s="58"/>
    </row>
    <row r="63" spans="2:18" ht="15" hidden="1" customHeight="1">
      <c r="B63" s="49" t="str">
        <f>IF(($E57&gt;0),B57,B55)</f>
        <v>per 100 youth petitioned</v>
      </c>
      <c r="C63" s="49">
        <f>IF(($E57&gt;0),C57,C56)</f>
        <v>1.39</v>
      </c>
      <c r="D63" s="49">
        <f>IF(($E57&gt;0),D57,D56)</f>
        <v>7.0000000000000007E-2</v>
      </c>
      <c r="E63" s="49">
        <f>MAX(C63:D63)</f>
        <v>1.39</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0.05</v>
      </c>
      <c r="E64" s="56">
        <f>MAX(C64:D64)</f>
        <v>0.69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11.744</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0.08</v>
      </c>
      <c r="E67" s="49">
        <f>MAX(C67:D67)</f>
        <v>2.89</v>
      </c>
      <c r="G67" s="1" t="str">
        <f>G61</f>
        <v>per 100 arrests</v>
      </c>
      <c r="L67" s="58">
        <f>IF(($E61&gt;0),L61,L60)</f>
        <v>100</v>
      </c>
      <c r="M67" s="58">
        <f>IF((B67=G67),1,2)</f>
        <v>1</v>
      </c>
    </row>
    <row r="68" spans="2:13" ht="15" hidden="1" customHeight="1">
      <c r="B68" s="49" t="str">
        <f t="shared" si="12"/>
        <v>per 100 referrals</v>
      </c>
      <c r="C68" s="49">
        <f t="shared" si="12"/>
        <v>6.86</v>
      </c>
      <c r="D68" s="49">
        <f t="shared" si="12"/>
        <v>0.28000000000000003</v>
      </c>
      <c r="E68" s="49">
        <f>MAX(C68:D68)</f>
        <v>6.86</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7.0000000000000007E-2</v>
      </c>
      <c r="E69" s="49">
        <f>MAX(C69:D69)</f>
        <v>1.39</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0.05</v>
      </c>
      <c r="E70" s="56">
        <f>MAX(C70:D70)</f>
        <v>0.69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Entry'!E6</f>
        <v>9263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Entry'!E7</f>
        <v>33</v>
      </c>
      <c r="F7" s="34">
        <f>IF((AND($E$7&gt;0,$D$66&gt;0)),($E$7/$D$66),0)</f>
        <v>3.5625607254669114</v>
      </c>
      <c r="G7" s="39">
        <f t="shared" ref="G7:G15" si="0">IF(L$6=100,"*",IF(M7=FALSE,"--",IF(K7=20,"**",($F7/$D7))))</f>
        <v>0.99586515836529377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33</v>
      </c>
      <c r="O7" s="42">
        <f>E6-E7</f>
        <v>9230</v>
      </c>
      <c r="P7" s="42">
        <f t="shared" ref="P7:P15" si="4">C7</f>
        <v>289</v>
      </c>
      <c r="Q7" s="42">
        <f>C6-C7</f>
        <v>80497</v>
      </c>
      <c r="R7" s="42">
        <f t="shared" ref="R7:R15" si="5">SUM(N7:Q7)</f>
        <v>90049</v>
      </c>
      <c r="S7" s="30">
        <f t="shared" ref="S7:S15" si="6">R7*((((N7*Q7)-(O7*P7))^2))</f>
        <v>11033052105289</v>
      </c>
      <c r="T7" s="30">
        <f t="shared" ref="T7:T15" si="7">(N7+O7)*(P7+Q7)*(N7+P7)*(O7+Q7)</f>
        <v>2.1620552526603492E+16</v>
      </c>
      <c r="U7" s="31">
        <f t="shared" ref="U7:U15" si="8">IF((S7&gt;0),S7/T7,"- -")</f>
        <v>5.1030389217450087E-4</v>
      </c>
    </row>
    <row r="8" spans="2:21" ht="18" customHeight="1">
      <c r="B8" s="32" t="str">
        <f>'Data Entry'!A8</f>
        <v>3. Refer to Juvenile Court</v>
      </c>
      <c r="C8" s="33">
        <f>'Data Entry'!C8</f>
        <v>686</v>
      </c>
      <c r="D8" s="34">
        <f>IF((AND(C67&gt;0,C8&gt;0)),(C8/C67),0)</f>
        <v>237.37024221453285</v>
      </c>
      <c r="E8" s="33">
        <f>'Data Entry'!E8</f>
        <v>11</v>
      </c>
      <c r="F8" s="34">
        <f>IF((AND($E$8&gt;0,$D$67&gt;0)),($E8/$D67),0)</f>
        <v>33.333333333333329</v>
      </c>
      <c r="G8" s="39">
        <f t="shared" si="0"/>
        <v>0.14042759961127307</v>
      </c>
      <c r="H8" s="40"/>
      <c r="I8" s="41"/>
      <c r="J8" s="40">
        <f>IF((ABS($U8)&gt;Defaults!D$7),1,2)</f>
        <v>1</v>
      </c>
      <c r="K8" s="39">
        <f>IF((AND(N8&gt;Defaults!B$12,(N8+O8)&gt;Defaults!B$13, P8 &gt; Defaults!B$12, (P8+Q8) &gt; Defaults!B$13)),1,20)</f>
        <v>1</v>
      </c>
      <c r="L8" s="1">
        <f t="shared" si="1"/>
        <v>1</v>
      </c>
      <c r="M8" s="1" t="b">
        <f t="shared" si="2"/>
        <v>1</v>
      </c>
      <c r="N8" s="42">
        <f t="shared" si="3"/>
        <v>11</v>
      </c>
      <c r="O8" s="42">
        <f>((D67*L67)-E8)+0.05</f>
        <v>22.05</v>
      </c>
      <c r="P8" s="42">
        <f t="shared" si="4"/>
        <v>686</v>
      </c>
      <c r="Q8" s="42">
        <f>(C$67*L67)-C8</f>
        <v>-397</v>
      </c>
      <c r="R8" s="42">
        <f t="shared" si="5"/>
        <v>322.04999999999995</v>
      </c>
      <c r="S8" s="30">
        <f t="shared" si="6"/>
        <v>122375375291.82452</v>
      </c>
      <c r="T8" s="30">
        <f t="shared" si="7"/>
        <v>-2496177375.7174997</v>
      </c>
      <c r="U8" s="31">
        <f t="shared" si="8"/>
        <v>-49.025111950086888</v>
      </c>
    </row>
    <row r="9" spans="2:21" ht="18" customHeight="1">
      <c r="B9" s="32" t="str">
        <f>'Data Entry'!A9</f>
        <v xml:space="preserve">4. Cases Diverted </v>
      </c>
      <c r="C9" s="33">
        <f>'Data Entry'!C9</f>
        <v>227</v>
      </c>
      <c r="D9" s="34">
        <f>IF((AND(C68&gt;0,C9&gt;0)),((C9/C68)),0)</f>
        <v>33.090379008746353</v>
      </c>
      <c r="E9" s="33">
        <f>'Data Entry'!E9</f>
        <v>1</v>
      </c>
      <c r="F9" s="34">
        <f>IF((AND($E$9&gt;0,$D$68&gt;0)),(($E$9/$D$68)),0)</f>
        <v>9.0909090909090917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10</v>
      </c>
      <c r="P9" s="42">
        <f t="shared" si="4"/>
        <v>227</v>
      </c>
      <c r="Q9" s="42">
        <f>(C$68*L68)-C9</f>
        <v>459</v>
      </c>
      <c r="R9" s="42">
        <f t="shared" si="5"/>
        <v>697</v>
      </c>
      <c r="S9" s="30">
        <f t="shared" si="6"/>
        <v>2285965537</v>
      </c>
      <c r="T9" s="30">
        <f t="shared" si="7"/>
        <v>806908872</v>
      </c>
      <c r="U9" s="31">
        <f t="shared" si="8"/>
        <v>2.8329909563815034</v>
      </c>
    </row>
    <row r="10" spans="2:21" ht="18" customHeight="1">
      <c r="B10" s="32" t="str">
        <f>'Data Entry'!A10</f>
        <v>5. Cases Involving Secure Detention</v>
      </c>
      <c r="C10" s="33">
        <f>'Data Entry'!C10</f>
        <v>104</v>
      </c>
      <c r="D10" s="34">
        <f>IF(((AND(C68&gt;0,C10&gt;0))),(C10/(C68)),0)</f>
        <v>15.160349854227405</v>
      </c>
      <c r="E10" s="33">
        <f>'Data Entry'!E10</f>
        <v>3</v>
      </c>
      <c r="F10" s="34">
        <f>IF(((AND($E$10&gt;0,$D$68&gt;0))),($E$10/($D$68)),0)</f>
        <v>27.272727272727273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8</v>
      </c>
      <c r="P10" s="42">
        <f t="shared" si="4"/>
        <v>104</v>
      </c>
      <c r="Q10" s="42">
        <f>(C$68*L68)-C10</f>
        <v>582</v>
      </c>
      <c r="R10" s="42">
        <f t="shared" si="5"/>
        <v>697</v>
      </c>
      <c r="S10" s="30">
        <f t="shared" si="6"/>
        <v>582271012</v>
      </c>
      <c r="T10" s="30">
        <f t="shared" si="7"/>
        <v>476378980</v>
      </c>
      <c r="U10" s="31">
        <f t="shared" si="8"/>
        <v>1.2222852737960856</v>
      </c>
    </row>
    <row r="11" spans="2:21" ht="18" customHeight="1">
      <c r="B11" s="32" t="str">
        <f>'Data Entry'!A11</f>
        <v>6. Cases Petitioned (Charge Filed)</v>
      </c>
      <c r="C11" s="33">
        <f>'Data Entry'!C11</f>
        <v>139</v>
      </c>
      <c r="D11" s="34">
        <f>IF(((AND(C68&gt;0,C11&gt;0))),(C11/(C68)),0)</f>
        <v>20.262390670553934</v>
      </c>
      <c r="E11" s="33">
        <f>'Data Entry'!E11</f>
        <v>1</v>
      </c>
      <c r="F11" s="34">
        <f>IF(((AND($E$11&gt;0,$D$68&gt;0))),($E$11/($D$68)),0)</f>
        <v>9.0909090909090917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10</v>
      </c>
      <c r="P11" s="42">
        <f t="shared" si="4"/>
        <v>139</v>
      </c>
      <c r="Q11" s="42">
        <f>(C$68*L68)-C11</f>
        <v>547</v>
      </c>
      <c r="R11" s="42">
        <f t="shared" si="5"/>
        <v>697</v>
      </c>
      <c r="S11" s="30">
        <f t="shared" si="6"/>
        <v>495322353</v>
      </c>
      <c r="T11" s="30">
        <f t="shared" si="7"/>
        <v>588437080</v>
      </c>
      <c r="U11" s="31">
        <f t="shared" si="8"/>
        <v>0.84175924637516042</v>
      </c>
    </row>
    <row r="12" spans="2:21" ht="18" customHeight="1">
      <c r="B12" s="32" t="str">
        <f>'Data Entry'!A12</f>
        <v>7. Cases Resulting in Delinquent Findings</v>
      </c>
      <c r="C12" s="33">
        <f>'Data Entry'!C12</f>
        <v>69</v>
      </c>
      <c r="D12" s="34">
        <f>IF(((AND(C69&gt;0,C12&gt;0))),(C12/(C69)),0)</f>
        <v>49.640287769784173</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69</v>
      </c>
      <c r="Q12" s="42">
        <f>(C69*L69)-C12</f>
        <v>70</v>
      </c>
      <c r="R12" s="42">
        <f t="shared" si="5"/>
        <v>140</v>
      </c>
      <c r="S12" s="30">
        <f t="shared" si="6"/>
        <v>666540</v>
      </c>
      <c r="T12" s="30">
        <f t="shared" si="7"/>
        <v>680961</v>
      </c>
      <c r="U12" s="31">
        <f t="shared" si="8"/>
        <v>0.97882257574222309</v>
      </c>
    </row>
    <row r="13" spans="2:21" ht="18" customHeight="1">
      <c r="B13" s="32" t="str">
        <f>'Data Entry'!A13</f>
        <v>8. Cases Resulting in Probation Placement</v>
      </c>
      <c r="C13" s="33">
        <f>'Data Entry'!C13</f>
        <v>12</v>
      </c>
      <c r="D13" s="34">
        <f>IF(((AND(C70&gt;0,C13&gt;0))),(C13/(C70)),0)</f>
        <v>17.39130434782609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57</v>
      </c>
      <c r="R13" s="42">
        <f t="shared" si="5"/>
        <v>69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Entry'!E14</f>
        <v>3</v>
      </c>
      <c r="F14" s="34">
        <f>IF(((AND($D$70&gt;0,$E$14&gt;0))), (($E$14/($D$70))),0)</f>
        <v>0</v>
      </c>
      <c r="G14" s="39" t="str">
        <f t="shared" si="0"/>
        <v>--</v>
      </c>
      <c r="H14" s="40"/>
      <c r="I14" s="41"/>
      <c r="J14" s="40" t="e">
        <f>IF((ABS($U14)&gt;Defaults!D$7),1,2)</f>
        <v>#DIV/0!</v>
      </c>
      <c r="K14" s="39">
        <f>IF((AND(N14&gt;Defaults!B$12,(N14+O14)&gt;Defaults!B$13, P14 &gt; Defaults!B$12, (P14+Q14) &gt; Defaults!B$13)),1,20)</f>
        <v>20</v>
      </c>
      <c r="L14" s="1" t="e">
        <f t="shared" si="1"/>
        <v>#DIV/0!</v>
      </c>
      <c r="M14" s="1" t="b">
        <f t="shared" si="2"/>
        <v>0</v>
      </c>
      <c r="N14" s="42">
        <f t="shared" si="3"/>
        <v>3</v>
      </c>
      <c r="O14" s="42">
        <f>(D70*L70)-E14</f>
        <v>-3</v>
      </c>
      <c r="P14" s="42">
        <f t="shared" si="4"/>
        <v>87</v>
      </c>
      <c r="Q14" s="42">
        <f>(C70*L70)-C14</f>
        <v>-18</v>
      </c>
      <c r="R14" s="42">
        <f t="shared" si="5"/>
        <v>69</v>
      </c>
      <c r="S14" s="30">
        <f t="shared" si="6"/>
        <v>2956581</v>
      </c>
      <c r="T14" s="30">
        <f t="shared" si="7"/>
        <v>0</v>
      </c>
      <c r="U14" s="31" t="e">
        <f t="shared" si="8"/>
        <v>#DIV/0!</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139</v>
      </c>
      <c r="R15" s="42">
        <f t="shared" si="5"/>
        <v>140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9.2629999999999999</v>
      </c>
      <c r="E42" s="56">
        <f>MAX(C42:D42)</f>
        <v>80.786000000000001</v>
      </c>
      <c r="G42" s="1" t="str">
        <f>B42</f>
        <v>per 1000 youth</v>
      </c>
      <c r="L42" s="57">
        <v>1000</v>
      </c>
      <c r="M42" s="57"/>
      <c r="R42" s="49"/>
    </row>
    <row r="43" spans="2:18" ht="15" hidden="1" customHeight="1">
      <c r="B43" s="49" t="s">
        <v>87</v>
      </c>
      <c r="C43" s="56">
        <f>C7/100</f>
        <v>2.89</v>
      </c>
      <c r="D43" s="56">
        <f>E7/100</f>
        <v>0.33</v>
      </c>
      <c r="E43" s="56">
        <f>MAX(C43:D43,0)</f>
        <v>2.89</v>
      </c>
      <c r="G43" s="1" t="str">
        <f>B43</f>
        <v>per 100 arrests</v>
      </c>
      <c r="L43" s="57">
        <v>100</v>
      </c>
      <c r="M43" s="57"/>
      <c r="R43" s="49"/>
    </row>
    <row r="44" spans="2:18" ht="15" hidden="1" customHeight="1">
      <c r="B44" s="49" t="s">
        <v>88</v>
      </c>
      <c r="C44" s="56">
        <f>C8/100</f>
        <v>6.86</v>
      </c>
      <c r="D44" s="56">
        <f>E8/100</f>
        <v>0.11</v>
      </c>
      <c r="E44" s="56">
        <f>MAX(C44:D44,0)</f>
        <v>6.86</v>
      </c>
      <c r="G44" s="1" t="str">
        <f>B44</f>
        <v>per 100 referrals</v>
      </c>
      <c r="L44" s="57">
        <v>100</v>
      </c>
      <c r="M44" s="57"/>
      <c r="R44" s="49"/>
    </row>
    <row r="45" spans="2:18" ht="15" hidden="1" customHeight="1">
      <c r="B45" s="49" t="s">
        <v>89</v>
      </c>
      <c r="C45" s="49">
        <f>C11/100</f>
        <v>1.39</v>
      </c>
      <c r="D45" s="49">
        <f>E11/100</f>
        <v>0.01</v>
      </c>
      <c r="E45" s="56">
        <f>MAX(C45:D45,0)</f>
        <v>1.39</v>
      </c>
      <c r="G45" s="1" t="str">
        <f>B45</f>
        <v>per 100 youth petitioned</v>
      </c>
      <c r="L45" s="57">
        <v>100</v>
      </c>
      <c r="M45" s="57"/>
      <c r="R45" s="49"/>
    </row>
    <row r="46" spans="2:18" ht="15" hidden="1" customHeight="1">
      <c r="B46" s="49" t="s">
        <v>90</v>
      </c>
      <c r="C46" s="49">
        <f>C12/100</f>
        <v>0.69</v>
      </c>
      <c r="D46" s="49">
        <f>E12/100</f>
        <v>0</v>
      </c>
      <c r="E46" s="56">
        <f>MAX(C46:D46)</f>
        <v>0.69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9.2629999999999999</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0.33</v>
      </c>
      <c r="E49" s="49">
        <f>MAX(C49:D49)</f>
        <v>2.89</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0.11</v>
      </c>
      <c r="E50" s="49">
        <f>MAX(C50:D50)</f>
        <v>6.86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0.01</v>
      </c>
      <c r="E51" s="49">
        <f>MAX(C51:D51)</f>
        <v>1.39</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v>
      </c>
      <c r="E52" s="56">
        <f>MAX(C52:D52)</f>
        <v>0.69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9.2629999999999999</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0.33</v>
      </c>
      <c r="E55" s="49">
        <f>MAX(C55:D55)</f>
        <v>2.89</v>
      </c>
      <c r="G55" s="1" t="str">
        <f>G49</f>
        <v>per 100 arrests</v>
      </c>
      <c r="L55" s="58">
        <f>IF(($E49&gt;0),L49,L48)</f>
        <v>100</v>
      </c>
      <c r="M55" s="58"/>
    </row>
    <row r="56" spans="2:18" ht="15" hidden="1" customHeight="1">
      <c r="B56" s="49" t="str">
        <f t="shared" si="10"/>
        <v>per 100 referrals</v>
      </c>
      <c r="C56" s="49">
        <f t="shared" si="10"/>
        <v>6.86</v>
      </c>
      <c r="D56" s="49">
        <f t="shared" si="10"/>
        <v>0.11</v>
      </c>
      <c r="E56" s="49">
        <f>MAX(C56:D56)</f>
        <v>6.86</v>
      </c>
      <c r="G56" s="1" t="str">
        <f>G50</f>
        <v>per 100 referrals</v>
      </c>
      <c r="L56" s="58">
        <f>IF(($E50&gt;0),L50,L49)</f>
        <v>100</v>
      </c>
      <c r="M56" s="58"/>
    </row>
    <row r="57" spans="2:18" ht="15" hidden="1" customHeight="1">
      <c r="B57" s="49" t="str">
        <f>IF(($E51&gt;0),B51,B49)</f>
        <v>per 100 youth petitioned</v>
      </c>
      <c r="C57" s="49">
        <f>IF(($E51&gt;0),C51,C50)</f>
        <v>1.39</v>
      </c>
      <c r="D57" s="49">
        <f>IF(($E51&gt;0),D51,D50)</f>
        <v>0.01</v>
      </c>
      <c r="E57" s="49">
        <f>MAX(C57:D57)</f>
        <v>1.39</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v>
      </c>
      <c r="E58" s="56">
        <f>MAX(C58:D58)</f>
        <v>0.69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9.2629999999999999</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0.33</v>
      </c>
      <c r="E61" s="49">
        <f>MAX(C61:D61)</f>
        <v>2.89</v>
      </c>
      <c r="G61" s="1" t="str">
        <f>G55</f>
        <v>per 100 arrests</v>
      </c>
      <c r="L61" s="58">
        <f>IF(($E55&gt;0),L55,L54)</f>
        <v>100</v>
      </c>
      <c r="M61" s="58"/>
    </row>
    <row r="62" spans="2:18" ht="15" hidden="1" customHeight="1">
      <c r="B62" s="49" t="str">
        <f t="shared" si="11"/>
        <v>per 100 referrals</v>
      </c>
      <c r="C62" s="49">
        <f t="shared" si="11"/>
        <v>6.86</v>
      </c>
      <c r="D62" s="49">
        <f t="shared" si="11"/>
        <v>0.11</v>
      </c>
      <c r="E62" s="49">
        <f>MAX(C62:D62)</f>
        <v>6.86</v>
      </c>
      <c r="G62" s="1" t="str">
        <f>G56</f>
        <v>per 100 referrals</v>
      </c>
      <c r="L62" s="58">
        <f>IF(($E56&gt;0),L56,L55)</f>
        <v>100</v>
      </c>
      <c r="M62" s="58"/>
    </row>
    <row r="63" spans="2:18" ht="15" hidden="1" customHeight="1">
      <c r="B63" s="49" t="str">
        <f>IF(($E57&gt;0),B57,B55)</f>
        <v>per 100 youth petitioned</v>
      </c>
      <c r="C63" s="49">
        <f>IF(($E57&gt;0),C57,C56)</f>
        <v>1.39</v>
      </c>
      <c r="D63" s="49">
        <f>IF(($E57&gt;0),D57,D56)</f>
        <v>0.01</v>
      </c>
      <c r="E63" s="49">
        <f>MAX(C63:D63)</f>
        <v>1.39</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v>
      </c>
      <c r="E64" s="56">
        <f>MAX(C64:D64)</f>
        <v>0.69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9.2629999999999999</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0.33</v>
      </c>
      <c r="E67" s="49">
        <f>MAX(C67:D67)</f>
        <v>2.89</v>
      </c>
      <c r="G67" s="1" t="str">
        <f>G61</f>
        <v>per 100 arrests</v>
      </c>
      <c r="L67" s="58">
        <f>IF(($E61&gt;0),L61,L60)</f>
        <v>100</v>
      </c>
      <c r="M67" s="58">
        <f>IF((B67=G67),1,2)</f>
        <v>1</v>
      </c>
    </row>
    <row r="68" spans="2:13" ht="15" hidden="1" customHeight="1">
      <c r="B68" s="49" t="str">
        <f t="shared" si="12"/>
        <v>per 100 referrals</v>
      </c>
      <c r="C68" s="49">
        <f t="shared" si="12"/>
        <v>6.86</v>
      </c>
      <c r="D68" s="49">
        <f t="shared" si="12"/>
        <v>0.11</v>
      </c>
      <c r="E68" s="49">
        <f>MAX(C68:D68)</f>
        <v>6.86</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0.01</v>
      </c>
      <c r="E69" s="49">
        <f>MAX(C69:D69)</f>
        <v>1.39</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v>
      </c>
      <c r="E70" s="56">
        <f>MAX(C70:D70)</f>
        <v>0.69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289</v>
      </c>
      <c r="Q7" s="42">
        <f>C6-C7</f>
        <v>80497</v>
      </c>
      <c r="R7" s="42">
        <f t="shared" ref="R7:R15" si="5">SUM(N7:Q7)</f>
        <v>80786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686</v>
      </c>
      <c r="D8" s="34">
        <f>IF((AND(C67&gt;0,C8&gt;0)),(C8/C67),0)</f>
        <v>237.37024221453285</v>
      </c>
      <c r="E8" s="33">
        <f>'Data Entry'!G8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686</v>
      </c>
      <c r="Q8" s="42">
        <f>(C$67*L67)-C8</f>
        <v>-397</v>
      </c>
      <c r="R8" s="42">
        <f t="shared" si="5"/>
        <v>289.04999999999995</v>
      </c>
      <c r="S8" s="30">
        <f t="shared" si="6"/>
        <v>18751277.614499986</v>
      </c>
      <c r="T8" s="30">
        <f t="shared" si="7"/>
        <v>-3950509.3425000035</v>
      </c>
      <c r="U8" s="31">
        <f t="shared" si="8"/>
        <v>-4.7465468345490871</v>
      </c>
    </row>
    <row r="9" spans="2:21" ht="18" customHeight="1">
      <c r="B9" s="32" t="str">
        <f>'Data Entry'!A9</f>
        <v xml:space="preserve">4. Cases Diverted </v>
      </c>
      <c r="C9" s="33">
        <f>'Data Entry'!C9</f>
        <v>227</v>
      </c>
      <c r="D9" s="34">
        <f>IF((AND(C68&gt;0,C9&gt;0)),((C9/C68)),0)</f>
        <v>33.090379008746353</v>
      </c>
      <c r="E9" s="33">
        <f>'Data Entry'!G9</f>
        <v>1</v>
      </c>
      <c r="F9" s="34">
        <f>IF((AND($E$9&gt;0,$D$68&gt;0)),(($E$9/$D$68)),0)</f>
        <v>100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0</v>
      </c>
      <c r="P9" s="42">
        <f t="shared" si="4"/>
        <v>227</v>
      </c>
      <c r="Q9" s="42">
        <f>(C$68*L68)-C9</f>
        <v>459</v>
      </c>
      <c r="R9" s="42">
        <f t="shared" si="5"/>
        <v>687</v>
      </c>
      <c r="S9" s="30">
        <f t="shared" si="6"/>
        <v>144737847</v>
      </c>
      <c r="T9" s="30">
        <f t="shared" si="7"/>
        <v>71791272</v>
      </c>
      <c r="U9" s="31">
        <f t="shared" si="8"/>
        <v>2.0160925272364585</v>
      </c>
    </row>
    <row r="10" spans="2:21" ht="18" customHeight="1">
      <c r="B10" s="32" t="str">
        <f>'Data Entry'!A10</f>
        <v>5. Cases Involving Secure Detention</v>
      </c>
      <c r="C10" s="33">
        <f>'Data Entry'!C10</f>
        <v>104</v>
      </c>
      <c r="D10" s="34">
        <f>IF(((AND(C68&gt;0,C10&gt;0))),(C10/(C68)),0)</f>
        <v>15.160349854227405</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104</v>
      </c>
      <c r="Q10" s="42">
        <f>(C$68*L68)-C10</f>
        <v>582</v>
      </c>
      <c r="R10" s="42">
        <f t="shared" si="5"/>
        <v>687</v>
      </c>
      <c r="S10" s="30">
        <f t="shared" si="6"/>
        <v>7430592</v>
      </c>
      <c r="T10" s="30">
        <f t="shared" si="7"/>
        <v>41593552</v>
      </c>
      <c r="U10" s="31">
        <f t="shared" si="8"/>
        <v>0.17864769039201076</v>
      </c>
    </row>
    <row r="11" spans="2:21" ht="18" customHeight="1">
      <c r="B11" s="32" t="str">
        <f>'Data Entry'!A11</f>
        <v>6. Cases Petitioned (Charge Filed)</v>
      </c>
      <c r="C11" s="33">
        <f>'Data Entry'!C11</f>
        <v>139</v>
      </c>
      <c r="D11" s="34">
        <f>IF(((AND(C68&gt;0,C11&gt;0))),(C11/(C68)),0)</f>
        <v>20.262390670553934</v>
      </c>
      <c r="E11" s="33">
        <f>'Data Entry'!G11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139</v>
      </c>
      <c r="Q11" s="42">
        <f>(C$68*L68)-C11</f>
        <v>547</v>
      </c>
      <c r="R11" s="42">
        <f t="shared" si="5"/>
        <v>687</v>
      </c>
      <c r="S11" s="30">
        <f t="shared" si="6"/>
        <v>13273527</v>
      </c>
      <c r="T11" s="30">
        <f t="shared" si="7"/>
        <v>52253992</v>
      </c>
      <c r="U11" s="31">
        <f t="shared" si="8"/>
        <v>0.25401938669106849</v>
      </c>
    </row>
    <row r="12" spans="2:21" ht="18" customHeight="1">
      <c r="B12" s="32" t="str">
        <f>'Data Entry'!A12</f>
        <v>7. Cases Resulting in Delinquent Findings</v>
      </c>
      <c r="C12" s="33">
        <f>'Data Entry'!C12</f>
        <v>69</v>
      </c>
      <c r="D12" s="34">
        <f>IF(((AND(C69&gt;0,C12&gt;0))),(C12/(C69)),0)</f>
        <v>49.640287769784173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69</v>
      </c>
      <c r="Q12" s="42">
        <f>(C69*L69)-C12</f>
        <v>70</v>
      </c>
      <c r="R12" s="42">
        <f t="shared" si="5"/>
        <v>139</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17.39130434782609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57</v>
      </c>
      <c r="R13" s="42">
        <f t="shared" si="5"/>
        <v>69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87</v>
      </c>
      <c r="Q14" s="42">
        <f>(C70*L70)-C14</f>
        <v>-18</v>
      </c>
      <c r="R14" s="42">
        <f t="shared" si="5"/>
        <v>69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139</v>
      </c>
      <c r="R15" s="42">
        <f t="shared" si="5"/>
        <v>139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0</v>
      </c>
      <c r="E42" s="56">
        <f>MAX(C42:D42)</f>
        <v>80.786000000000001</v>
      </c>
      <c r="G42" s="1" t="str">
        <f>B42</f>
        <v>per 1000 youth</v>
      </c>
      <c r="L42" s="57">
        <v>1000</v>
      </c>
      <c r="M42" s="57"/>
      <c r="R42" s="49"/>
    </row>
    <row r="43" spans="2:18" ht="15" hidden="1" customHeight="1">
      <c r="B43" s="49" t="s">
        <v>87</v>
      </c>
      <c r="C43" s="56">
        <f>C7/100</f>
        <v>2.89</v>
      </c>
      <c r="D43" s="56">
        <f>E7/100</f>
        <v>0</v>
      </c>
      <c r="E43" s="56">
        <f>MAX(C43:D43,0)</f>
        <v>2.89</v>
      </c>
      <c r="G43" s="1" t="str">
        <f>B43</f>
        <v>per 100 arrests</v>
      </c>
      <c r="L43" s="57">
        <v>100</v>
      </c>
      <c r="M43" s="57"/>
      <c r="R43" s="49"/>
    </row>
    <row r="44" spans="2:18" ht="15" hidden="1" customHeight="1">
      <c r="B44" s="49" t="s">
        <v>88</v>
      </c>
      <c r="C44" s="56">
        <f>C8/100</f>
        <v>6.86</v>
      </c>
      <c r="D44" s="56">
        <f>E8/100</f>
        <v>0.01</v>
      </c>
      <c r="E44" s="56">
        <f>MAX(C44:D44,0)</f>
        <v>6.86</v>
      </c>
      <c r="G44" s="1" t="str">
        <f>B44</f>
        <v>per 100 referrals</v>
      </c>
      <c r="L44" s="57">
        <v>100</v>
      </c>
      <c r="M44" s="57"/>
      <c r="R44" s="49"/>
    </row>
    <row r="45" spans="2:18" ht="15" hidden="1" customHeight="1">
      <c r="B45" s="49" t="s">
        <v>89</v>
      </c>
      <c r="C45" s="49">
        <f>C11/100</f>
        <v>1.39</v>
      </c>
      <c r="D45" s="49">
        <f>E11/100</f>
        <v>0</v>
      </c>
      <c r="E45" s="56">
        <f>MAX(C45:D45,0)</f>
        <v>1.39</v>
      </c>
      <c r="G45" s="1" t="str">
        <f>B45</f>
        <v>per 100 youth petitioned</v>
      </c>
      <c r="L45" s="57">
        <v>100</v>
      </c>
      <c r="M45" s="57"/>
      <c r="R45" s="49"/>
    </row>
    <row r="46" spans="2:18" ht="15" hidden="1" customHeight="1">
      <c r="B46" s="49" t="s">
        <v>90</v>
      </c>
      <c r="C46" s="49">
        <f>C12/100</f>
        <v>0.69</v>
      </c>
      <c r="D46" s="49">
        <f>E12/100</f>
        <v>0</v>
      </c>
      <c r="E46" s="56">
        <f>MAX(C46:D46)</f>
        <v>0.69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0</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0</v>
      </c>
      <c r="E49" s="49">
        <f>MAX(C49:D49)</f>
        <v>2.89</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0.01</v>
      </c>
      <c r="E50" s="49">
        <f>MAX(C50:D50)</f>
        <v>6.86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0</v>
      </c>
      <c r="E51" s="49">
        <f>MAX(C51:D51)</f>
        <v>1.39</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v>
      </c>
      <c r="E52" s="56">
        <f>MAX(C52:D52)</f>
        <v>0.69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0</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0</v>
      </c>
      <c r="E55" s="49">
        <f>MAX(C55:D55)</f>
        <v>2.89</v>
      </c>
      <c r="G55" s="1" t="str">
        <f>G49</f>
        <v>per 100 arrests</v>
      </c>
      <c r="L55" s="58">
        <f>IF(($E49&gt;0),L49,L48)</f>
        <v>100</v>
      </c>
      <c r="M55" s="58"/>
    </row>
    <row r="56" spans="2:18" ht="15" hidden="1" customHeight="1">
      <c r="B56" s="49" t="str">
        <f t="shared" si="10"/>
        <v>per 100 referrals</v>
      </c>
      <c r="C56" s="49">
        <f t="shared" si="10"/>
        <v>6.86</v>
      </c>
      <c r="D56" s="49">
        <f t="shared" si="10"/>
        <v>0.01</v>
      </c>
      <c r="E56" s="49">
        <f>MAX(C56:D56)</f>
        <v>6.86</v>
      </c>
      <c r="G56" s="1" t="str">
        <f>G50</f>
        <v>per 100 referrals</v>
      </c>
      <c r="L56" s="58">
        <f>IF(($E50&gt;0),L50,L49)</f>
        <v>100</v>
      </c>
      <c r="M56" s="58"/>
    </row>
    <row r="57" spans="2:18" ht="15" hidden="1" customHeight="1">
      <c r="B57" s="49" t="str">
        <f>IF(($E51&gt;0),B51,B49)</f>
        <v>per 100 youth petitioned</v>
      </c>
      <c r="C57" s="49">
        <f>IF(($E51&gt;0),C51,C50)</f>
        <v>1.39</v>
      </c>
      <c r="D57" s="49">
        <f>IF(($E51&gt;0),D51,D50)</f>
        <v>0</v>
      </c>
      <c r="E57" s="49">
        <f>MAX(C57:D57)</f>
        <v>1.39</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v>
      </c>
      <c r="E58" s="56">
        <f>MAX(C58:D58)</f>
        <v>0.69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0</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0</v>
      </c>
      <c r="E61" s="49">
        <f>MAX(C61:D61)</f>
        <v>2.89</v>
      </c>
      <c r="G61" s="1" t="str">
        <f>G55</f>
        <v>per 100 arrests</v>
      </c>
      <c r="L61" s="58">
        <f>IF(($E55&gt;0),L55,L54)</f>
        <v>100</v>
      </c>
      <c r="M61" s="58"/>
    </row>
    <row r="62" spans="2:18" ht="15" hidden="1" customHeight="1">
      <c r="B62" s="49" t="str">
        <f t="shared" si="11"/>
        <v>per 100 referrals</v>
      </c>
      <c r="C62" s="49">
        <f t="shared" si="11"/>
        <v>6.86</v>
      </c>
      <c r="D62" s="49">
        <f t="shared" si="11"/>
        <v>0.01</v>
      </c>
      <c r="E62" s="49">
        <f>MAX(C62:D62)</f>
        <v>6.86</v>
      </c>
      <c r="G62" s="1" t="str">
        <f>G56</f>
        <v>per 100 referrals</v>
      </c>
      <c r="L62" s="58">
        <f>IF(($E56&gt;0),L56,L55)</f>
        <v>100</v>
      </c>
      <c r="M62" s="58"/>
    </row>
    <row r="63" spans="2:18" ht="15" hidden="1" customHeight="1">
      <c r="B63" s="49" t="str">
        <f>IF(($E57&gt;0),B57,B55)</f>
        <v>per 100 youth petitioned</v>
      </c>
      <c r="C63" s="49">
        <f>IF(($E57&gt;0),C57,C56)</f>
        <v>1.39</v>
      </c>
      <c r="D63" s="49">
        <f>IF(($E57&gt;0),D57,D56)</f>
        <v>0</v>
      </c>
      <c r="E63" s="49">
        <f>MAX(C63:D63)</f>
        <v>1.39</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v>
      </c>
      <c r="E64" s="56">
        <f>MAX(C64:D64)</f>
        <v>0.69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0</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0</v>
      </c>
      <c r="E67" s="49">
        <f>MAX(C67:D67)</f>
        <v>2.89</v>
      </c>
      <c r="G67" s="1" t="str">
        <f>G61</f>
        <v>per 100 arrests</v>
      </c>
      <c r="L67" s="58">
        <f>IF(($E61&gt;0),L61,L60)</f>
        <v>100</v>
      </c>
      <c r="M67" s="58">
        <f>IF((B67=G67),1,2)</f>
        <v>1</v>
      </c>
    </row>
    <row r="68" spans="2:13" ht="15" hidden="1" customHeight="1">
      <c r="B68" s="49" t="str">
        <f t="shared" si="12"/>
        <v>per 100 referrals</v>
      </c>
      <c r="C68" s="49">
        <f t="shared" si="12"/>
        <v>6.86</v>
      </c>
      <c r="D68" s="49">
        <f t="shared" si="12"/>
        <v>0.01</v>
      </c>
      <c r="E68" s="49">
        <f>MAX(C68:D68)</f>
        <v>6.86</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0</v>
      </c>
      <c r="E69" s="49">
        <f>MAX(C69:D69)</f>
        <v>1.39</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v>
      </c>
      <c r="E70" s="56">
        <f>MAX(C70:D70)</f>
        <v>0.69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80786</v>
      </c>
      <c r="D6" s="34"/>
      <c r="E6" s="33">
        <f>'Data Entry'!H6</f>
        <v>475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289</v>
      </c>
      <c r="D7" s="34">
        <f>IF((AND(C66&gt;0,C7&gt;0)),(C7/C66),0)</f>
        <v>3.5773525115737876</v>
      </c>
      <c r="E7" s="33">
        <f>'Data Entry'!H7</f>
        <v>4</v>
      </c>
      <c r="F7" s="34">
        <f>IF((AND($E$7&gt;0,$D$66&gt;0)),($E$7/$D$66),0)</f>
        <v>8.4210526315789469</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4</v>
      </c>
      <c r="O7" s="42">
        <f>E6-E7</f>
        <v>471</v>
      </c>
      <c r="P7" s="42">
        <f t="shared" ref="P7:P15" si="4">C7</f>
        <v>289</v>
      </c>
      <c r="Q7" s="42">
        <f>C6-C7</f>
        <v>80497</v>
      </c>
      <c r="R7" s="42">
        <f t="shared" ref="R7:R15" si="5">SUM(N7:Q7)</f>
        <v>81261</v>
      </c>
      <c r="S7" s="30">
        <f t="shared" ref="S7:S15" si="6">R7*((((N7*Q7)-(O7*P7))^2))</f>
        <v>2807346939468021</v>
      </c>
      <c r="T7" s="30">
        <f t="shared" ref="T7:T15" si="7">(N7+O7)*(P7+Q7)*(N7+P7)*(O7+Q7)</f>
        <v>910354927020400</v>
      </c>
      <c r="U7" s="31">
        <f t="shared" ref="U7:U15" si="8">IF((S7&gt;0),S7/T7,"- -")</f>
        <v>3.0837938656041475</v>
      </c>
    </row>
    <row r="8" spans="2:21" ht="18" customHeight="1">
      <c r="B8" s="32" t="str">
        <f>'Data Entry'!A8</f>
        <v>3. Refer to Juvenile Court</v>
      </c>
      <c r="C8" s="33">
        <f>'Data Entry'!C8</f>
        <v>686</v>
      </c>
      <c r="D8" s="34">
        <f>IF((AND(C67&gt;0,C8&gt;0)),(C8/C67),0)</f>
        <v>237.37024221453285</v>
      </c>
      <c r="E8" s="33">
        <f>'Data Entry'!H8</f>
        <v>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0</v>
      </c>
      <c r="O8" s="42">
        <f>((D67*L67)-E8)+0.05</f>
        <v>4.05</v>
      </c>
      <c r="P8" s="42">
        <f t="shared" si="4"/>
        <v>686</v>
      </c>
      <c r="Q8" s="42">
        <f>(C$67*L67)-C8</f>
        <v>-397</v>
      </c>
      <c r="R8" s="42">
        <f t="shared" si="5"/>
        <v>293.04999999999995</v>
      </c>
      <c r="S8" s="30">
        <f t="shared" si="6"/>
        <v>2262038558.3144994</v>
      </c>
      <c r="T8" s="30">
        <f t="shared" si="7"/>
        <v>-315510832.66500002</v>
      </c>
      <c r="U8" s="31">
        <f t="shared" si="8"/>
        <v>-7.1694481587459924</v>
      </c>
    </row>
    <row r="9" spans="2:21" ht="18" customHeight="1">
      <c r="B9" s="32" t="str">
        <f>'Data Entry'!A9</f>
        <v xml:space="preserve">4. Cases Diverted </v>
      </c>
      <c r="C9" s="33">
        <f>'Data Entry'!C9</f>
        <v>227</v>
      </c>
      <c r="D9" s="34">
        <f>IF((AND(C68&gt;0,C9&gt;0)),((C9/C68)),0)</f>
        <v>33.090379008746353</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227</v>
      </c>
      <c r="Q9" s="42">
        <f>(C$68*L68)-C9</f>
        <v>459</v>
      </c>
      <c r="R9" s="42">
        <f t="shared" si="5"/>
        <v>686</v>
      </c>
      <c r="S9" s="30">
        <f t="shared" si="6"/>
        <v>0</v>
      </c>
      <c r="T9" s="30">
        <f t="shared" si="7"/>
        <v>0</v>
      </c>
      <c r="U9" s="31" t="str">
        <f t="shared" si="8"/>
        <v>- -</v>
      </c>
    </row>
    <row r="10" spans="2:21" ht="18" customHeight="1">
      <c r="B10" s="32" t="str">
        <f>'Data Entry'!A10</f>
        <v>5. Cases Involving Secure Detention</v>
      </c>
      <c r="C10" s="33">
        <f>'Data Entry'!C10</f>
        <v>104</v>
      </c>
      <c r="D10" s="34">
        <f>IF(((AND(C68&gt;0,C10&gt;0))),(C10/(C68)),0)</f>
        <v>15.160349854227405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104</v>
      </c>
      <c r="Q10" s="42">
        <f>(C$68*L68)-C10</f>
        <v>582</v>
      </c>
      <c r="R10" s="42">
        <f t="shared" si="5"/>
        <v>686</v>
      </c>
      <c r="S10" s="30">
        <f t="shared" si="6"/>
        <v>0</v>
      </c>
      <c r="T10" s="30">
        <f t="shared" si="7"/>
        <v>0</v>
      </c>
      <c r="U10" s="31" t="str">
        <f t="shared" si="8"/>
        <v>- -</v>
      </c>
    </row>
    <row r="11" spans="2:21" ht="18" customHeight="1">
      <c r="B11" s="32" t="str">
        <f>'Data Entry'!A11</f>
        <v>6. Cases Petitioned (Charge Filed)</v>
      </c>
      <c r="C11" s="33">
        <f>'Data Entry'!C11</f>
        <v>139</v>
      </c>
      <c r="D11" s="34">
        <f>IF(((AND(C68&gt;0,C11&gt;0))),(C11/(C68)),0)</f>
        <v>20.262390670553934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139</v>
      </c>
      <c r="Q11" s="42">
        <f>(C$68*L68)-C11</f>
        <v>547</v>
      </c>
      <c r="R11" s="42">
        <f t="shared" si="5"/>
        <v>686</v>
      </c>
      <c r="S11" s="30">
        <f t="shared" si="6"/>
        <v>0</v>
      </c>
      <c r="T11" s="30">
        <f t="shared" si="7"/>
        <v>0</v>
      </c>
      <c r="U11" s="31" t="str">
        <f t="shared" si="8"/>
        <v>- -</v>
      </c>
    </row>
    <row r="12" spans="2:21" ht="18" customHeight="1">
      <c r="B12" s="32" t="str">
        <f>'Data Entry'!A12</f>
        <v>7. Cases Resulting in Delinquent Findings</v>
      </c>
      <c r="C12" s="33">
        <f>'Data Entry'!C12</f>
        <v>69</v>
      </c>
      <c r="D12" s="34">
        <f>IF(((AND(C69&gt;0,C12&gt;0))),(C12/(C69)),0)</f>
        <v>49.640287769784173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69</v>
      </c>
      <c r="Q12" s="42">
        <f>(C69*L69)-C12</f>
        <v>70</v>
      </c>
      <c r="R12" s="42">
        <f t="shared" si="5"/>
        <v>139</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17.39130434782609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57</v>
      </c>
      <c r="R13" s="42">
        <f t="shared" si="5"/>
        <v>69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87</v>
      </c>
      <c r="D14" s="34">
        <f>IF(((AND(C70&gt;0,C14&gt;0))), ((C14/(C70))),0)</f>
        <v>126.08695652173914</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87</v>
      </c>
      <c r="Q14" s="42">
        <f>(C70*L70)-C14</f>
        <v>-18</v>
      </c>
      <c r="R14" s="42">
        <f t="shared" si="5"/>
        <v>69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139</v>
      </c>
      <c r="R15" s="42">
        <f t="shared" si="5"/>
        <v>139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80.786000000000001</v>
      </c>
      <c r="D42" s="56">
        <f>E6/1000</f>
        <v>0.47499999999999998</v>
      </c>
      <c r="E42" s="56">
        <f>MAX(C42:D42)</f>
        <v>80.786000000000001</v>
      </c>
      <c r="G42" s="1" t="str">
        <f>B42</f>
        <v>per 1000 youth</v>
      </c>
      <c r="L42" s="57">
        <v>1000</v>
      </c>
      <c r="M42" s="57"/>
      <c r="R42" s="49"/>
    </row>
    <row r="43" spans="2:18" ht="15" hidden="1" customHeight="1">
      <c r="B43" s="49" t="s">
        <v>87</v>
      </c>
      <c r="C43" s="56">
        <f>C7/100</f>
        <v>2.89</v>
      </c>
      <c r="D43" s="56">
        <f>E7/100</f>
        <v>0.04</v>
      </c>
      <c r="E43" s="56">
        <f>MAX(C43:D43,0)</f>
        <v>2.89</v>
      </c>
      <c r="G43" s="1" t="str">
        <f>B43</f>
        <v>per 100 arrests</v>
      </c>
      <c r="L43" s="57">
        <v>100</v>
      </c>
      <c r="M43" s="57"/>
      <c r="R43" s="49"/>
    </row>
    <row r="44" spans="2:18" ht="15" hidden="1" customHeight="1">
      <c r="B44" s="49" t="s">
        <v>88</v>
      </c>
      <c r="C44" s="56">
        <f>C8/100</f>
        <v>6.86</v>
      </c>
      <c r="D44" s="56">
        <f>E8/100</f>
        <v>0</v>
      </c>
      <c r="E44" s="56">
        <f>MAX(C44:D44,0)</f>
        <v>6.86</v>
      </c>
      <c r="G44" s="1" t="str">
        <f>B44</f>
        <v>per 100 referrals</v>
      </c>
      <c r="L44" s="57">
        <v>100</v>
      </c>
      <c r="M44" s="57"/>
      <c r="R44" s="49"/>
    </row>
    <row r="45" spans="2:18" ht="15" hidden="1" customHeight="1">
      <c r="B45" s="49" t="s">
        <v>89</v>
      </c>
      <c r="C45" s="49">
        <f>C11/100</f>
        <v>1.39</v>
      </c>
      <c r="D45" s="49">
        <f>E11/100</f>
        <v>0</v>
      </c>
      <c r="E45" s="56">
        <f>MAX(C45:D45,0)</f>
        <v>1.39</v>
      </c>
      <c r="G45" s="1" t="str">
        <f>B45</f>
        <v>per 100 youth petitioned</v>
      </c>
      <c r="L45" s="57">
        <v>100</v>
      </c>
      <c r="M45" s="57"/>
      <c r="R45" s="49"/>
    </row>
    <row r="46" spans="2:18" ht="15" hidden="1" customHeight="1">
      <c r="B46" s="49" t="s">
        <v>90</v>
      </c>
      <c r="C46" s="49">
        <f>C12/100</f>
        <v>0.69</v>
      </c>
      <c r="D46" s="49">
        <f>E12/100</f>
        <v>0</v>
      </c>
      <c r="E46" s="56">
        <f>MAX(C46:D46)</f>
        <v>0.69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80.786000000000001</v>
      </c>
      <c r="D48" s="56">
        <f>D42</f>
        <v>0.47499999999999998</v>
      </c>
      <c r="E48" s="56">
        <f>MAX(C48:D48)</f>
        <v>80.786000000000001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2.89</v>
      </c>
      <c r="D49" s="49">
        <f t="shared" si="9"/>
        <v>0.04</v>
      </c>
      <c r="E49" s="49">
        <f>MAX(C49:D49)</f>
        <v>2.89</v>
      </c>
      <c r="G49" s="1" t="str">
        <f>G43</f>
        <v>per 100 arrests</v>
      </c>
      <c r="L49" s="58">
        <f>IF(($E43&gt;0),L43,L42)</f>
        <v>100</v>
      </c>
      <c r="M49" s="58"/>
      <c r="N49" s="21"/>
      <c r="O49" s="21"/>
      <c r="P49" s="21"/>
      <c r="Q49" s="21"/>
      <c r="R49" s="21"/>
    </row>
    <row r="50" spans="2:18" ht="15" hidden="1" customHeight="1">
      <c r="B50" s="49" t="str">
        <f t="shared" si="9"/>
        <v>per 100 referrals</v>
      </c>
      <c r="C50" s="49">
        <f t="shared" si="9"/>
        <v>6.86</v>
      </c>
      <c r="D50" s="49">
        <f t="shared" si="9"/>
        <v>0</v>
      </c>
      <c r="E50" s="49">
        <f>MAX(C50:D50)</f>
        <v>6.86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1.39</v>
      </c>
      <c r="D51" s="49">
        <f>IF(($E45&gt;0),D45,D44)</f>
        <v>0</v>
      </c>
      <c r="E51" s="49">
        <f>MAX(C51:D51)</f>
        <v>1.39</v>
      </c>
      <c r="G51" s="1" t="str">
        <f>G45</f>
        <v>per 100 youth petitioned</v>
      </c>
      <c r="L51" s="58">
        <f>IF(($E45&gt;0),L45,L44)</f>
        <v>100</v>
      </c>
      <c r="M51" s="58"/>
    </row>
    <row r="52" spans="2:18" ht="15" hidden="1" customHeight="1">
      <c r="B52" s="49" t="str">
        <f>IF(($E46&gt;0),B46,B45)</f>
        <v>per 100 youth found delinquent</v>
      </c>
      <c r="C52" s="49">
        <f>IF(($E46&gt;0),C46,C45)</f>
        <v>0.69</v>
      </c>
      <c r="D52" s="49">
        <f>IF(($E46&gt;0),D46,D45)</f>
        <v>0</v>
      </c>
      <c r="E52" s="56">
        <f>MAX(C52:D52)</f>
        <v>0.69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80.786000000000001</v>
      </c>
      <c r="D54" s="56">
        <f>D48</f>
        <v>0.47499999999999998</v>
      </c>
      <c r="E54" s="56">
        <f>MAX(C54:D54)</f>
        <v>80.786000000000001</v>
      </c>
      <c r="G54" s="1" t="str">
        <f>G48</f>
        <v>per 1000 youth</v>
      </c>
      <c r="L54" s="58">
        <f>L48</f>
        <v>1000</v>
      </c>
      <c r="M54" s="58"/>
    </row>
    <row r="55" spans="2:18" ht="15" hidden="1" customHeight="1">
      <c r="B55" s="49" t="str">
        <f t="shared" ref="B55:D56" si="10">IF(($E49&gt;0),B49,B48)</f>
        <v>per 100 arrests</v>
      </c>
      <c r="C55" s="49">
        <f t="shared" si="10"/>
        <v>2.89</v>
      </c>
      <c r="D55" s="49">
        <f t="shared" si="10"/>
        <v>0.04</v>
      </c>
      <c r="E55" s="49">
        <f>MAX(C55:D55)</f>
        <v>2.89</v>
      </c>
      <c r="G55" s="1" t="str">
        <f>G49</f>
        <v>per 100 arrests</v>
      </c>
      <c r="L55" s="58">
        <f>IF(($E49&gt;0),L49,L48)</f>
        <v>100</v>
      </c>
      <c r="M55" s="58"/>
    </row>
    <row r="56" spans="2:18" ht="15" hidden="1" customHeight="1">
      <c r="B56" s="49" t="str">
        <f t="shared" si="10"/>
        <v>per 100 referrals</v>
      </c>
      <c r="C56" s="49">
        <f t="shared" si="10"/>
        <v>6.86</v>
      </c>
      <c r="D56" s="49">
        <f t="shared" si="10"/>
        <v>0</v>
      </c>
      <c r="E56" s="49">
        <f>MAX(C56:D56)</f>
        <v>6.86</v>
      </c>
      <c r="G56" s="1" t="str">
        <f>G50</f>
        <v>per 100 referrals</v>
      </c>
      <c r="L56" s="58">
        <f>IF(($E50&gt;0),L50,L49)</f>
        <v>100</v>
      </c>
      <c r="M56" s="58"/>
    </row>
    <row r="57" spans="2:18" ht="15" hidden="1" customHeight="1">
      <c r="B57" s="49" t="str">
        <f>IF(($E51&gt;0),B51,B49)</f>
        <v>per 100 youth petitioned</v>
      </c>
      <c r="C57" s="49">
        <f>IF(($E51&gt;0),C51,C50)</f>
        <v>1.39</v>
      </c>
      <c r="D57" s="49">
        <f>IF(($E51&gt;0),D51,D50)</f>
        <v>0</v>
      </c>
      <c r="E57" s="49">
        <f>MAX(C57:D57)</f>
        <v>1.39</v>
      </c>
      <c r="G57" s="1" t="str">
        <f>G51</f>
        <v>per 100 youth petitioned</v>
      </c>
      <c r="L57" s="58">
        <f>IF(($E51&gt;0),L51,L50)</f>
        <v>100</v>
      </c>
      <c r="M57" s="58"/>
    </row>
    <row r="58" spans="2:18" ht="15" hidden="1" customHeight="1">
      <c r="B58" s="49" t="str">
        <f>IF(($E52&gt;0),B52,B51)</f>
        <v>per 100 youth found delinquent</v>
      </c>
      <c r="C58" s="49">
        <f>IF(($E52&gt;0),C52,C51)</f>
        <v>0.69</v>
      </c>
      <c r="D58" s="49">
        <f>IF(($E52&gt;0),D52,D51)</f>
        <v>0</v>
      </c>
      <c r="E58" s="56">
        <f>MAX(C58:D58)</f>
        <v>0.69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80.786000000000001</v>
      </c>
      <c r="D60" s="56">
        <f>D54</f>
        <v>0.47499999999999998</v>
      </c>
      <c r="E60" s="56">
        <f>MAX(C60:D60)</f>
        <v>80.786000000000001</v>
      </c>
      <c r="G60" s="1" t="str">
        <f>G54</f>
        <v>per 1000 youth</v>
      </c>
      <c r="L60" s="58">
        <f>L54</f>
        <v>1000</v>
      </c>
      <c r="M60" s="58"/>
    </row>
    <row r="61" spans="2:18" ht="15" hidden="1" customHeight="1">
      <c r="B61" s="49" t="str">
        <f t="shared" ref="B61:D62" si="11">IF(($E55&gt;0),B55,B54)</f>
        <v>per 100 arrests</v>
      </c>
      <c r="C61" s="49">
        <f t="shared" si="11"/>
        <v>2.89</v>
      </c>
      <c r="D61" s="49">
        <f t="shared" si="11"/>
        <v>0.04</v>
      </c>
      <c r="E61" s="49">
        <f>MAX(C61:D61)</f>
        <v>2.89</v>
      </c>
      <c r="G61" s="1" t="str">
        <f>G55</f>
        <v>per 100 arrests</v>
      </c>
      <c r="L61" s="58">
        <f>IF(($E55&gt;0),L55,L54)</f>
        <v>100</v>
      </c>
      <c r="M61" s="58"/>
    </row>
    <row r="62" spans="2:18" ht="15" hidden="1" customHeight="1">
      <c r="B62" s="49" t="str">
        <f t="shared" si="11"/>
        <v>per 100 referrals</v>
      </c>
      <c r="C62" s="49">
        <f t="shared" si="11"/>
        <v>6.86</v>
      </c>
      <c r="D62" s="49">
        <f t="shared" si="11"/>
        <v>0</v>
      </c>
      <c r="E62" s="49">
        <f>MAX(C62:D62)</f>
        <v>6.86</v>
      </c>
      <c r="G62" s="1" t="str">
        <f>G56</f>
        <v>per 100 referrals</v>
      </c>
      <c r="L62" s="58">
        <f>IF(($E56&gt;0),L56,L55)</f>
        <v>100</v>
      </c>
      <c r="M62" s="58"/>
    </row>
    <row r="63" spans="2:18" ht="15" hidden="1" customHeight="1">
      <c r="B63" s="49" t="str">
        <f>IF(($E57&gt;0),B57,B55)</f>
        <v>per 100 youth petitioned</v>
      </c>
      <c r="C63" s="49">
        <f>IF(($E57&gt;0),C57,C56)</f>
        <v>1.39</v>
      </c>
      <c r="D63" s="49">
        <f>IF(($E57&gt;0),D57,D56)</f>
        <v>0</v>
      </c>
      <c r="E63" s="49">
        <f>MAX(C63:D63)</f>
        <v>1.39</v>
      </c>
      <c r="G63" s="1" t="str">
        <f>G57</f>
        <v>per 100 youth petitioned</v>
      </c>
      <c r="L63" s="58">
        <f>IF(($E57&gt;0),L57,L56)</f>
        <v>100</v>
      </c>
      <c r="M63" s="58"/>
    </row>
    <row r="64" spans="2:18" ht="15" hidden="1" customHeight="1">
      <c r="B64" s="49" t="str">
        <f>IF(($E58&gt;0),B58,B57)</f>
        <v>per 100 youth found delinquent</v>
      </c>
      <c r="C64" s="49">
        <f>IF(($E58&gt;0),C58,C57)</f>
        <v>0.69</v>
      </c>
      <c r="D64" s="49">
        <f>IF(($E58&gt;0),D58,D57)</f>
        <v>0</v>
      </c>
      <c r="E64" s="56">
        <f>MAX(C64:D64)</f>
        <v>0.69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80.786000000000001</v>
      </c>
      <c r="D66" s="56">
        <f>D60</f>
        <v>0.47499999999999998</v>
      </c>
      <c r="E66" s="56">
        <f>MAX(C66:D66)</f>
        <v>80.786000000000001</v>
      </c>
      <c r="G66" s="1" t="str">
        <f>G60</f>
        <v>per 1000 youth</v>
      </c>
      <c r="L66" s="58">
        <f>L60</f>
        <v>1000</v>
      </c>
      <c r="M66" s="58">
        <f>IF((B66=G66),1,2)</f>
        <v>1</v>
      </c>
    </row>
    <row r="67" spans="2:13" ht="15" hidden="1" customHeight="1">
      <c r="B67" s="49" t="str">
        <f t="shared" ref="B67:D68" si="12">IF(($E61&gt;0),B61,B60)</f>
        <v>per 100 arrests</v>
      </c>
      <c r="C67" s="49">
        <f t="shared" si="12"/>
        <v>2.89</v>
      </c>
      <c r="D67" s="49">
        <f t="shared" si="12"/>
        <v>0.04</v>
      </c>
      <c r="E67" s="49">
        <f>MAX(C67:D67)</f>
        <v>2.89</v>
      </c>
      <c r="G67" s="1" t="str">
        <f>G61</f>
        <v>per 100 arrests</v>
      </c>
      <c r="L67" s="58">
        <f>IF(($E61&gt;0),L61,L60)</f>
        <v>100</v>
      </c>
      <c r="M67" s="58">
        <f>IF((B67=G67),1,2)</f>
        <v>1</v>
      </c>
    </row>
    <row r="68" spans="2:13" ht="15" hidden="1" customHeight="1">
      <c r="B68" s="49" t="str">
        <f t="shared" si="12"/>
        <v>per 100 referrals</v>
      </c>
      <c r="C68" s="49">
        <f t="shared" si="12"/>
        <v>6.86</v>
      </c>
      <c r="D68" s="49">
        <f t="shared" si="12"/>
        <v>0</v>
      </c>
      <c r="E68" s="49">
        <f>MAX(C68:D68)</f>
        <v>6.86</v>
      </c>
      <c r="G68" s="1" t="str">
        <f>G62</f>
        <v>per 100 referrals</v>
      </c>
      <c r="L68" s="58">
        <f>IF(($E62&gt;0),L62,L61)</f>
        <v>100</v>
      </c>
      <c r="M68" s="58">
        <f>IF((B68=G68),1,2)</f>
        <v>1</v>
      </c>
    </row>
    <row r="69" spans="2:13" ht="15" hidden="1" customHeight="1">
      <c r="B69" s="49" t="str">
        <f>IF(($E63&gt;0),B63,B61)</f>
        <v>per 100 youth petitioned</v>
      </c>
      <c r="C69" s="49">
        <f>IF(($E63&gt;0),C63,C62)</f>
        <v>1.39</v>
      </c>
      <c r="D69" s="49">
        <f>IF(($E63&gt;0),D63,D62)</f>
        <v>0</v>
      </c>
      <c r="E69" s="49">
        <f>MAX(C69:D69)</f>
        <v>1.39</v>
      </c>
      <c r="G69" s="1" t="str">
        <f>G63</f>
        <v>per 100 youth petitioned</v>
      </c>
      <c r="L69" s="58">
        <f>IF(($E63&gt;0),L63,L62)</f>
        <v>100</v>
      </c>
      <c r="M69" s="58">
        <f>IF((B69=G69),1,2)</f>
        <v>1</v>
      </c>
    </row>
    <row r="70" spans="2:13" ht="15" hidden="1" customHeight="1">
      <c r="B70" s="49" t="str">
        <f>IF(($E64&gt;0),B64,B63)</f>
        <v>per 100 youth found delinquent</v>
      </c>
      <c r="C70" s="49">
        <f>IF(($E64&gt;0),C64,C63)</f>
        <v>0.69</v>
      </c>
      <c r="D70" s="49">
        <f>IF(($E64&gt;0),D64,D63)</f>
        <v>0</v>
      </c>
      <c r="E70" s="56">
        <f>MAX(C70:D70)</f>
        <v>0.69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U47JMPN4QEAR-1806752177-35382</_dlc_DocId>
    <_dlc_DocIdUrl xmlns="ac3811b5-0f3e-49e2-ba69-f2ffa0c782af">
      <Url>https://michiganphi.sharepoint.com/sites/CMDMC/_layouts/15/DocIdRedir.aspx?ID=U47JMPN4QEAR-1806752177-35382</Url>
      <Description>U47JMPN4QEAR-1806752177-35382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A91E17-C40A-4365-9101-B525A54E021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CF07080D-0B1C-4F31-9951-C78C0133E4EC}"/>
</file>

<file path=customXml/itemProps3.xml><?xml version="1.0" encoding="utf-8"?>
<ds:datastoreItem xmlns:ds="http://schemas.openxmlformats.org/officeDocument/2006/customXml" ds:itemID="{9B794C5C-8D42-45E4-AC50-9708D98A6BBD}">
  <ds:schemaRefs>
    <ds:schemaRef ds:uri="http://schemas.microsoft.com/sharepoint/v3/contenttype/forms"/>
  </ds:schemaRefs>
</ds:datastoreItem>
</file>

<file path=customXml/itemProps4.xml><?xml version="1.0" encoding="utf-8"?>
<ds:datastoreItem xmlns:ds="http://schemas.openxmlformats.org/officeDocument/2006/customXml" ds:itemID="{8642E86C-D6A1-481A-AB82-3DF9B74E4C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9609b47a-7da7-43a4-b504-496e1ed5ee22</vt:lpwstr>
  </property>
</Properties>
</file>