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41" documentId="8_{1BB39CA2-6492-40A9-9AF3-28E4F456F166}" xr6:coauthVersionLast="47" xr6:coauthVersionMax="47" xr10:uidLastSave="{A86F1C3D-7384-457A-B25F-89BCCBAAB75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0" i="1"/>
  <c r="J11" i="1"/>
  <c r="J12" i="1"/>
  <c r="J13" i="1"/>
  <c r="J14" i="1"/>
  <c r="J15" i="1"/>
  <c r="A6" i="17"/>
  <c r="J8" i="1"/>
  <c r="B9" i="1" l="1"/>
  <c r="B8" i="1" l="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8"/>
  <c r="M66" i="8"/>
  <c r="F27" i="6"/>
  <c r="M66" i="6"/>
  <c r="F27" i="3"/>
  <c r="M66" i="3"/>
  <c r="F27" i="2"/>
  <c r="M66" i="2"/>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4" i="16"/>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3" i="16"/>
  <c r="E12" i="2"/>
  <c r="J6" i="1"/>
  <c r="E6" i="2"/>
  <c r="D42" i="2" s="1"/>
  <c r="D48" i="2" s="1"/>
  <c r="D54" i="2" s="1"/>
  <c r="D60" i="2" s="1"/>
  <c r="D66" i="2" s="1"/>
  <c r="E3" i="10"/>
  <c r="F3" i="10"/>
  <c r="E6" i="4"/>
  <c r="J10" i="16"/>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5" i="16"/>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2" i="16"/>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6" i="16"/>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1" i="16"/>
  <c r="L6" i="3"/>
  <c r="C43" i="6"/>
  <c r="E43" i="6" s="1"/>
  <c r="P7" i="6"/>
  <c r="C43" i="2"/>
  <c r="P7" i="2"/>
  <c r="D42" i="5"/>
  <c r="D48" i="5" s="1"/>
  <c r="D54" i="5" s="1"/>
  <c r="D60" i="5" s="1"/>
  <c r="D66" i="5" s="1"/>
  <c r="J9" i="16"/>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B52" i="7" s="1"/>
  <c r="E46" i="3"/>
  <c r="L52" i="3" s="1"/>
  <c r="E43" i="7"/>
  <c r="D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L56" i="5" s="1"/>
  <c r="B49" i="7"/>
  <c r="C49" i="7"/>
  <c r="D52" i="3"/>
  <c r="B52" i="3"/>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52" i="3"/>
  <c r="D58" i="3" s="1"/>
  <c r="E49" i="5"/>
  <c r="B55" i="5" s="1"/>
  <c r="D51" i="2"/>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L7" i="4"/>
  <c r="O8" i="16" s="1"/>
  <c r="E50" i="2"/>
  <c r="D56" i="2" s="1"/>
  <c r="L55" i="3"/>
  <c r="C55" i="3"/>
  <c r="E55" i="3" s="1"/>
  <c r="L51" i="8"/>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3" l="1"/>
  <c r="C58" i="3"/>
  <c r="B58" i="3"/>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56" i="8" l="1"/>
  <c r="L56" i="8"/>
  <c r="L64" i="3"/>
  <c r="E58" i="8"/>
  <c r="L64" i="8" s="1"/>
  <c r="L64" i="5"/>
  <c r="D64" i="5"/>
  <c r="C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Q8" i="13"/>
  <c r="E64" i="5"/>
  <c r="B64" i="8"/>
  <c r="D64" i="8"/>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L70" i="5" s="1"/>
  <c r="F8" i="5"/>
  <c r="E64" i="8" l="1"/>
  <c r="C70" i="8" s="1"/>
  <c r="C70" i="5"/>
  <c r="Q13" i="5" s="1"/>
  <c r="B70" i="3"/>
  <c r="M70" i="3" s="1"/>
  <c r="L63" i="8"/>
  <c r="C69" i="7"/>
  <c r="D12" i="7" s="1"/>
  <c r="C63" i="8"/>
  <c r="L69" i="7"/>
  <c r="E63" i="3"/>
  <c r="C69" i="3" s="1"/>
  <c r="D15" i="3" s="1"/>
  <c r="D63" i="8"/>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F34" i="3"/>
  <c r="D70" i="8"/>
  <c r="F13" i="8" s="1"/>
  <c r="L70" i="8"/>
  <c r="Q14" i="8" s="1"/>
  <c r="B70" i="8"/>
  <c r="M70" i="8" s="1"/>
  <c r="E70" i="6"/>
  <c r="D12" i="3"/>
  <c r="Q15" i="7"/>
  <c r="D15" i="7"/>
  <c r="B69" i="3"/>
  <c r="M69" i="3" s="1"/>
  <c r="E63" i="8"/>
  <c r="D69" i="8" s="1"/>
  <c r="F12" i="8" s="1"/>
  <c r="Q12" i="7"/>
  <c r="D69" i="3"/>
  <c r="E69" i="3" s="1"/>
  <c r="L69" i="3"/>
  <c r="Q12" i="3" s="1"/>
  <c r="O14" i="6"/>
  <c r="C69" i="6"/>
  <c r="D12" i="6" s="1"/>
  <c r="B69" i="6"/>
  <c r="M69" i="6" s="1"/>
  <c r="O13" i="6"/>
  <c r="F14" i="6"/>
  <c r="D13" i="3"/>
  <c r="E69" i="7"/>
  <c r="D13" i="6"/>
  <c r="O13" i="3"/>
  <c r="F14" i="3"/>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D13" i="8"/>
  <c r="K14" i="5"/>
  <c r="D70" i="2"/>
  <c r="O14" i="2" s="1"/>
  <c r="D14"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3" i="8" l="1"/>
  <c r="F14" i="8"/>
  <c r="Q13" i="8"/>
  <c r="U10" i="3"/>
  <c r="J10" i="3" s="1"/>
  <c r="M10" i="3" s="1"/>
  <c r="O14" i="8"/>
  <c r="K14" i="8" s="1"/>
  <c r="F33" i="8"/>
  <c r="E70" i="8"/>
  <c r="F34" i="8"/>
  <c r="F15" i="8"/>
  <c r="K12" i="7"/>
  <c r="F15" i="3"/>
  <c r="B69" i="8"/>
  <c r="M69" i="8" s="1"/>
  <c r="O15" i="3"/>
  <c r="F12" i="3"/>
  <c r="U9" i="4"/>
  <c r="J9" i="4" s="1"/>
  <c r="M9" i="4" s="1"/>
  <c r="G9" i="4" s="1"/>
  <c r="G10" i="16" s="1"/>
  <c r="Q15" i="3"/>
  <c r="O12" i="3"/>
  <c r="R12" i="3" s="1"/>
  <c r="S12" i="3" s="1"/>
  <c r="C69" i="8"/>
  <c r="E69" i="8" s="1"/>
  <c r="L69" i="8"/>
  <c r="O15" i="8" s="1"/>
  <c r="F32" i="3"/>
  <c r="R15" i="7"/>
  <c r="S15" i="7" s="1"/>
  <c r="U15" i="7" s="1"/>
  <c r="J15" i="7" s="1"/>
  <c r="F35" i="3"/>
  <c r="U14" i="4"/>
  <c r="J14" i="4" s="1"/>
  <c r="M14" i="4" s="1"/>
  <c r="G14" i="4" s="1"/>
  <c r="G15" i="16" s="1"/>
  <c r="U13" i="4"/>
  <c r="J13" i="4" s="1"/>
  <c r="M13" i="4" s="1"/>
  <c r="G13" i="4" s="1"/>
  <c r="G14" i="16" s="1"/>
  <c r="T12" i="7"/>
  <c r="T13" i="6"/>
  <c r="T14" i="6"/>
  <c r="Q12" i="6"/>
  <c r="Q15" i="6"/>
  <c r="K15" i="7"/>
  <c r="D15" i="6"/>
  <c r="G11" i="3"/>
  <c r="E11" i="9" s="1"/>
  <c r="G10" i="3"/>
  <c r="I11" i="16" s="1"/>
  <c r="U10" i="4"/>
  <c r="J10" i="4" s="1"/>
  <c r="M10" i="4" s="1"/>
  <c r="G10" i="4" s="1"/>
  <c r="G11" i="16" s="1"/>
  <c r="K13" i="6"/>
  <c r="O15" i="6"/>
  <c r="F32" i="6"/>
  <c r="R12" i="7"/>
  <c r="S12" i="7" s="1"/>
  <c r="E69" i="6"/>
  <c r="O12" i="6"/>
  <c r="F35" i="6"/>
  <c r="R14" i="6"/>
  <c r="S14" i="6" s="1"/>
  <c r="U14" i="6" s="1"/>
  <c r="J14" i="6" s="1"/>
  <c r="M14" i="6" s="1"/>
  <c r="G14" i="6" s="1"/>
  <c r="M15" i="13" s="1"/>
  <c r="K14" i="6"/>
  <c r="R14" i="3"/>
  <c r="S14" i="3" s="1"/>
  <c r="R13" i="6"/>
  <c r="S13" i="6" s="1"/>
  <c r="U13" i="6" s="1"/>
  <c r="J13" i="6" s="1"/>
  <c r="M13" i="6" s="1"/>
  <c r="G13" i="6" s="1"/>
  <c r="G13" i="9" s="1"/>
  <c r="K13" i="3"/>
  <c r="T13" i="3"/>
  <c r="K14" i="3"/>
  <c r="T14" i="3"/>
  <c r="R13" i="3"/>
  <c r="S13" i="3" s="1"/>
  <c r="T15" i="7"/>
  <c r="F15" i="6"/>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3" l="1"/>
  <c r="J13" i="3" s="1"/>
  <c r="L13" i="3" s="1"/>
  <c r="P14" i="16" s="1"/>
  <c r="R14" i="8"/>
  <c r="S14" i="8" s="1"/>
  <c r="K13" i="8"/>
  <c r="T14" i="8"/>
  <c r="R13" i="8"/>
  <c r="S13" i="8" s="1"/>
  <c r="T13" i="8"/>
  <c r="R15" i="3"/>
  <c r="S15" i="3" s="1"/>
  <c r="U15" i="3" s="1"/>
  <c r="J15" i="3" s="1"/>
  <c r="M15" i="3" s="1"/>
  <c r="G15" i="3" s="1"/>
  <c r="I16" i="16" s="1"/>
  <c r="T15" i="3"/>
  <c r="K15" i="3"/>
  <c r="U12" i="7"/>
  <c r="J12" i="7" s="1"/>
  <c r="M12" i="7" s="1"/>
  <c r="F35" i="8"/>
  <c r="F32" i="8"/>
  <c r="U13" i="7"/>
  <c r="J13" i="7" s="1"/>
  <c r="M13" i="7" s="1"/>
  <c r="I12" i="16"/>
  <c r="L9" i="4"/>
  <c r="O10" i="16" s="1"/>
  <c r="T12" i="3"/>
  <c r="U12" i="3" s="1"/>
  <c r="J12" i="3" s="1"/>
  <c r="K12" i="3"/>
  <c r="D12" i="8"/>
  <c r="N30" i="4"/>
  <c r="Q15" i="8"/>
  <c r="R15" i="8" s="1"/>
  <c r="S15" i="8" s="1"/>
  <c r="L15" i="7"/>
  <c r="S16" i="16" s="1"/>
  <c r="R15" i="6"/>
  <c r="S15" i="6" s="1"/>
  <c r="U15" i="6" s="1"/>
  <c r="J15" i="6" s="1"/>
  <c r="M15" i="6" s="1"/>
  <c r="G15" i="6" s="1"/>
  <c r="D9" i="9"/>
  <c r="Q12" i="8"/>
  <c r="D15" i="8"/>
  <c r="M15" i="7"/>
  <c r="O12" i="8"/>
  <c r="L13" i="4"/>
  <c r="O14" i="16" s="1"/>
  <c r="G10" i="13"/>
  <c r="L14" i="4"/>
  <c r="O15" i="16" s="1"/>
  <c r="G11" i="13"/>
  <c r="U14" i="8"/>
  <c r="J14" i="8" s="1"/>
  <c r="N30" i="8" s="1"/>
  <c r="I12" i="13"/>
  <c r="T12" i="6"/>
  <c r="K12" i="6"/>
  <c r="I11" i="13"/>
  <c r="L10" i="4"/>
  <c r="O11" i="16" s="1"/>
  <c r="R12" i="6"/>
  <c r="S12" i="6" s="1"/>
  <c r="U12" i="6" s="1"/>
  <c r="J12" i="6" s="1"/>
  <c r="M12" i="6" s="1"/>
  <c r="G12" i="6" s="1"/>
  <c r="E10" i="9"/>
  <c r="K15" i="6"/>
  <c r="T15" i="6"/>
  <c r="U14" i="3"/>
  <c r="J14" i="3" s="1"/>
  <c r="L14" i="3" s="1"/>
  <c r="P15" i="16" s="1"/>
  <c r="D10" i="9"/>
  <c r="L13" i="6"/>
  <c r="R14" i="16" s="1"/>
  <c r="M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M13" i="3" l="1"/>
  <c r="G13" i="3" s="1"/>
  <c r="E13" i="9" s="1"/>
  <c r="U13" i="8"/>
  <c r="J13" i="8" s="1"/>
  <c r="M13" i="8" s="1"/>
  <c r="G13" i="8" s="1"/>
  <c r="Q14" i="13" s="1"/>
  <c r="L12" i="7"/>
  <c r="S13" i="16" s="1"/>
  <c r="E15" i="9"/>
  <c r="L15" i="3"/>
  <c r="P16" i="16" s="1"/>
  <c r="I16" i="13"/>
  <c r="K15" i="8"/>
  <c r="Y16" i="13"/>
  <c r="U15" i="13"/>
  <c r="L13" i="7"/>
  <c r="S14" i="16" s="1"/>
  <c r="L15" i="6"/>
  <c r="R16" i="16" s="1"/>
  <c r="Q15" i="9"/>
  <c r="U10" i="13"/>
  <c r="M9" i="9"/>
  <c r="U13" i="2"/>
  <c r="J13" i="2" s="1"/>
  <c r="M13" i="2" s="1"/>
  <c r="G13" i="2" s="1"/>
  <c r="E14" i="16" s="1"/>
  <c r="L12" i="3"/>
  <c r="P13" i="16" s="1"/>
  <c r="M12" i="3"/>
  <c r="G12" i="3" s="1"/>
  <c r="I13" i="16" s="1"/>
  <c r="R12" i="8"/>
  <c r="S12" i="8" s="1"/>
  <c r="M13" i="9"/>
  <c r="U14" i="13"/>
  <c r="Q12" i="9"/>
  <c r="T15" i="8"/>
  <c r="U15" i="8" s="1"/>
  <c r="J15" i="8" s="1"/>
  <c r="T12" i="8"/>
  <c r="K12" i="8"/>
  <c r="U11" i="13"/>
  <c r="M10" i="9"/>
  <c r="M14" i="9"/>
  <c r="M14" i="8"/>
  <c r="G14" i="8" s="1"/>
  <c r="K15" i="16" s="1"/>
  <c r="U11" i="7"/>
  <c r="J11" i="7" s="1"/>
  <c r="L11" i="7" s="1"/>
  <c r="S12" i="16" s="1"/>
  <c r="U14" i="2"/>
  <c r="J14" i="2" s="1"/>
  <c r="M14" i="2" s="1"/>
  <c r="G14" i="2" s="1"/>
  <c r="E15" i="16" s="1"/>
  <c r="L14" i="8"/>
  <c r="T15" i="16" s="1"/>
  <c r="P13" i="9"/>
  <c r="L12" i="6"/>
  <c r="R13" i="16" s="1"/>
  <c r="V15" i="13"/>
  <c r="N13" i="9"/>
  <c r="Y13" i="13"/>
  <c r="X14" i="13"/>
  <c r="I14" i="13"/>
  <c r="M14" i="3"/>
  <c r="G14" i="3" s="1"/>
  <c r="N30" i="3"/>
  <c r="U10" i="7"/>
  <c r="J10" i="7" s="1"/>
  <c r="L10" i="7" s="1"/>
  <c r="S11" i="16" s="1"/>
  <c r="V14" i="13"/>
  <c r="N14" i="9"/>
  <c r="I14" i="16"/>
  <c r="L8" i="6"/>
  <c r="R9" i="16" s="1"/>
  <c r="L15" i="5"/>
  <c r="Q16" i="16" s="1"/>
  <c r="T9" i="13"/>
  <c r="L8" i="9"/>
  <c r="X15" i="13"/>
  <c r="P14" i="9"/>
  <c r="G8" i="9"/>
  <c r="Q14" i="9"/>
  <c r="Y15" i="13"/>
  <c r="E9" i="13"/>
  <c r="L10" i="2"/>
  <c r="N11" i="16" s="1"/>
  <c r="L11" i="6"/>
  <c r="R12" i="16" s="1"/>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3" i="8" l="1"/>
  <c r="T14" i="16" s="1"/>
  <c r="K14" i="16"/>
  <c r="I13" i="9"/>
  <c r="V16" i="13"/>
  <c r="Y14" i="13"/>
  <c r="P15" i="9"/>
  <c r="X16" i="13"/>
  <c r="Q13" i="9"/>
  <c r="R13" i="9"/>
  <c r="Z14" i="13"/>
  <c r="L13" i="2"/>
  <c r="N14" i="16" s="1"/>
  <c r="U12" i="8"/>
  <c r="J12" i="8" s="1"/>
  <c r="M12" i="8" s="1"/>
  <c r="G12" i="8" s="1"/>
  <c r="K13" i="16" s="1"/>
  <c r="V13" i="13"/>
  <c r="N12" i="9"/>
  <c r="I13" i="13"/>
  <c r="E12" i="9"/>
  <c r="L15" i="8"/>
  <c r="T16" i="16" s="1"/>
  <c r="M15" i="8"/>
  <c r="G15" i="8" s="1"/>
  <c r="K16" i="16" s="1"/>
  <c r="M11" i="7"/>
  <c r="Z15" i="13"/>
  <c r="Q15" i="13"/>
  <c r="I14" i="9"/>
  <c r="R14" i="9"/>
  <c r="P12" i="9"/>
  <c r="E15" i="13"/>
  <c r="C13" i="9"/>
  <c r="E14" i="13"/>
  <c r="C14" i="9"/>
  <c r="L14" i="2"/>
  <c r="N15" i="16" s="1"/>
  <c r="N30" i="2"/>
  <c r="X13" i="13"/>
  <c r="M10" i="7"/>
  <c r="I15" i="16"/>
  <c r="I15" i="13"/>
  <c r="E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Q11" i="9"/>
  <c r="Y12" i="13"/>
  <c r="D15" i="9"/>
  <c r="G16" i="13"/>
  <c r="M10" i="8"/>
  <c r="G10" i="8" s="1"/>
  <c r="K11" i="16" s="1"/>
  <c r="L10" i="8"/>
  <c r="T11" i="16" s="1"/>
  <c r="L11" i="8"/>
  <c r="T12" i="16" s="1"/>
  <c r="M11" i="8"/>
  <c r="G11" i="8" s="1"/>
  <c r="K12" i="16" s="1"/>
  <c r="T14" i="13" l="1"/>
  <c r="L12" i="8"/>
  <c r="T13" i="16" s="1"/>
  <c r="L13" i="9"/>
  <c r="Z16" i="13"/>
  <c r="R15" i="9"/>
  <c r="Q16" i="13"/>
  <c r="I15" i="9"/>
  <c r="Q13" i="13"/>
  <c r="I12" i="9"/>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<sst xmlns="http://schemas.openxmlformats.org/spreadsheetml/2006/main" count="654" uniqueCount="141">
  <si>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</si>
  <si>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</si>
  <si>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</si>
  <si>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</si>
  <si>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</si>
  <si>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</si>
  <si>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</si>
  <si>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</si>
  <si>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</si>
  <si>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</si>
  <si>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</si>
  <si>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</si>
  <si>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</si>
  <si>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</si>
  <si>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</si>
  <si>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</si>
  <si>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</si>
  <si>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</si>
  <si>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</si>
  <si>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</si>
  <si>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</si>
  <si>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</si>
  <si>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</si>
  <si>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</si>
  <si>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</si>
  <si>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</si>
  <si>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</si>
  <si>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</si>
  <si>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</si>
  <si>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</si>
  <si>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</si>
  <si>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</si>
  <si>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</si>
  <si>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</si>
  <si>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</si>
  <si>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</si>
  <si>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</si>
  <si>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</si>
  <si>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</si>
  <si>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</si>
  <si>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</si>
  <si>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</si>
  <si>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</si>
  <si>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</si>
  <si>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</si>
  <si>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</si>
  <si>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</si>
  <si>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</si>
  <si>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</si>
  <si>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</si>
  <si>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</si>
  <si>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</si>
  <si>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</si>
  <si>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</si>
  <si>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</si>
  <si>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</si>
  <si>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</si>
  <si>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</si>
  <si>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</si>
  <si>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</si>
  <si>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</si>
  <si>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</si>
  <si>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</si>
  <si>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</si>
  <si>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</si>
  <si>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</si>
  <si>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</si>
  <si>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</si>
  <si>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</si>
  <si>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</si>
  <si>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</si>
  <si>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</si>
  <si>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</si>
  <si>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</si>
  <si>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</si>
  <si>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</si>
  <si>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</si>
  <si>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</si>
  <si>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</si>
  <si>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</si>
  <si>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</si>
  <si>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</si>
  <si>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</si>
  <si>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</si>
  <si>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</si>
  <si>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</si>
  <si>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</si>
  <si>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</si>
  <si>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</si>
  <si>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</si>
  <si>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</si>
  <si>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</si>
  <si>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</si>
  <si>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</si>
  <si>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</si>
  <si>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</si>
  <si>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</si>
  <si>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</si>
  <si>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</si>
  <si>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</si>
  <si>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</si>
  <si>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</si>
  <si>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</si>
  <si>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</si>
  <si>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</si>
  <si>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</si>
  <si>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</si>
  <si>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</si>
  <si>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</si>
  <si>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</si>
  <si>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</si>
  <si>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</si>
  <si>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</si>
  <si>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</si>
  <si>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</si>
  <si>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</si>
  <si>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</si>
  <si>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</si>
  <si>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</si>
  <si>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</si>
  <si>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</si>
  <si>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</si>
  <si>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</si>
  <si>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</si>
  <si>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</si>
  <si>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</si>
  <si>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</si>
  <si>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</si>
  <si>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Oakland</t>
  </si>
  <si>
    <t>Item 3.Referral: Oakland County Juvenile Court</t>
  </si>
  <si>
    <t>Item 4.Diversion: Oakland County Juvenile Court</t>
  </si>
  <si>
    <t>Item 5.Detention: Oakland County Juvenile Court</t>
  </si>
  <si>
    <t>Item 7.Delinquent: Oakland County Juvenile Court</t>
  </si>
  <si>
    <t>Item 9.Confinement: Oakland County Juvenile Court</t>
  </si>
  <si>
    <t>Item 6.Petitioned: Oakland County Juvenile Court</t>
  </si>
  <si>
    <t>Item 8.Probation: Oakland County Juvenile Court</t>
  </si>
  <si>
    <t>Item 10.Transferred: Oakland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</si>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</sst>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Oakland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N=199</c:v>
                </c:pt>
                <c:pt idx="2">
                  <c:v>Delinquent Findings, total N=235</c:v>
                </c:pt>
                <c:pt idx="3">
                  <c:v>Petitions, total N=355</c:v>
                </c:pt>
                <c:pt idx="4">
                  <c:v>Detentions, total N=227</c:v>
                </c:pt>
                <c:pt idx="5">
                  <c:v>Referrals, total N=1230</c:v>
                </c:pt>
                <c:pt idx="6">
                  <c:v>Arrests, total N=658</c:v>
                </c:pt>
                <c:pt idx="7">
                  <c:v>Population, total N=120122</c:v>
                </c:pt>
              </c:strCache>
            </c:strRef>
          </c:cat>
          <c:val>
            <c:numRef>
              <c:f>'Stacked 100%'!$B$7:$B$14</c:f>
              <c:numCache>
                <c:formatCode>0%</c:formatCode>
                <c:ptCount val="8"/>
                <c:pt idx="0">
                  <c:v>0</c:v>
                </c:pt>
                <c:pt idx="1">
                  <c:v>0.457286432160804</c:v>
                </c:pt>
                <c:pt idx="2">
                  <c:v>0.33191489361702126</c:v>
                </c:pt>
                <c:pt idx="3">
                  <c:v>0.41971830985915493</c:v>
                </c:pt>
                <c:pt idx="4">
                  <c:v>0.51101321585903081</c:v>
                </c:pt>
                <c:pt idx="5">
                  <c:v>0.42195121951219511</c:v>
                </c:pt>
                <c:pt idx="6">
                  <c:v>0.53039513677811545</c:v>
                </c:pt>
                <c:pt idx="7">
                  <c:v>0.14780806180383277</c:v>
                </c:pt>
              </c:numCache>
            </c:numRef>
          </c:val>
          <c:extLst>
            <c:ext xmlns:c16="http://schemas.microsoft.com/office/drawing/2014/chart" uri="{C3380CC4-5D6E-409C-BE32-E72D297353CC}">
              <c16:uniqueId val="{00000000-5A59-446F-90F1-4B9D2B13DB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N=199</c:v>
                </c:pt>
                <c:pt idx="2">
                  <c:v>Delinquent Findings, total N=235</c:v>
                </c:pt>
                <c:pt idx="3">
                  <c:v>Petitions, total N=355</c:v>
                </c:pt>
                <c:pt idx="4">
                  <c:v>Detentions, total N=227</c:v>
                </c:pt>
                <c:pt idx="5">
                  <c:v>Referrals, total N=1230</c:v>
                </c:pt>
                <c:pt idx="6">
                  <c:v>Arrests, total N=658</c:v>
                </c:pt>
                <c:pt idx="7">
                  <c:v>Population, total N=120122</c:v>
                </c:pt>
              </c:strCache>
            </c:strRef>
          </c:cat>
          <c:val>
            <c:numRef>
              <c:f>'Stacked 100%'!$C$7:$C$14</c:f>
              <c:numCache>
                <c:formatCode>0%</c:formatCode>
                <c:ptCount val="8"/>
                <c:pt idx="0">
                  <c:v>0</c:v>
                </c:pt>
                <c:pt idx="1">
                  <c:v>1.0050251256281407E-2</c:v>
                </c:pt>
                <c:pt idx="2">
                  <c:v>1.7021276595744681E-2</c:v>
                </c:pt>
                <c:pt idx="3">
                  <c:v>1.6901408450704224E-2</c:v>
                </c:pt>
                <c:pt idx="4">
                  <c:v>8.8105726872246704E-3</c:v>
                </c:pt>
                <c:pt idx="5">
                  <c:v>1.056910569105691E-2</c:v>
                </c:pt>
                <c:pt idx="6">
                  <c:v>4.4072948328267476E-2</c:v>
                </c:pt>
                <c:pt idx="7">
                  <c:v>7.2917533840595392E-2</c:v>
                </c:pt>
              </c:numCache>
            </c:numRef>
          </c:val>
          <c:extLst>
            <c:ext xmlns:c16="http://schemas.microsoft.com/office/drawing/2014/chart" uri="{C3380CC4-5D6E-409C-BE32-E72D297353CC}">
              <c16:uniqueId val="{00000001-5A59-446F-90F1-4B9D2B13DB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N=199</c:v>
                </c:pt>
                <c:pt idx="2">
                  <c:v>Delinquent Findings, total N=235</c:v>
                </c:pt>
                <c:pt idx="3">
                  <c:v>Petitions, total N=355</c:v>
                </c:pt>
                <c:pt idx="4">
                  <c:v>Detentions, total N=227</c:v>
                </c:pt>
                <c:pt idx="5">
                  <c:v>Referrals, total N=1230</c:v>
                </c:pt>
                <c:pt idx="6">
                  <c:v>Arrests, total N=658</c:v>
                </c:pt>
                <c:pt idx="7">
                  <c:v>Population, total N=120122</c:v>
                </c:pt>
              </c:strCache>
            </c:strRef>
          </c:cat>
          <c:val>
            <c:numRef>
              <c:f>'Stacked 100%'!$H$7:$H$14</c:f>
              <c:numCache>
                <c:formatCode>0%</c:formatCode>
                <c:ptCount val="8"/>
                <c:pt idx="0">
                  <c:v>0</c:v>
                </c:pt>
                <c:pt idx="1">
                  <c:v>1.51511325471579E-4</c:v>
                </c:pt>
                <c:pt idx="2">
                  <c:v>5.4323223177908562E-5</c:v>
                </c:pt>
                <c:pt idx="3">
                  <c:v>3.1739734179726239E-5</c:v>
                </c:pt>
                <c:pt idx="4">
                  <c:v>3.8813095538434669E-5</c:v>
                </c:pt>
                <c:pt idx="5">
                  <c:v>1.0575715513252693E-5</c:v>
                </c:pt>
                <c:pt idx="6">
                  <c:v>1.3857965096405242E-5</c:v>
                </c:pt>
                <c:pt idx="7">
                  <c:v>8.3233450397616806E-7</c:v>
                </c:pt>
              </c:numCache>
            </c:numRef>
          </c:val>
          <c:extLst>
            <c:ext xmlns:c16="http://schemas.microsoft.com/office/drawing/2014/chart" uri="{C3380CC4-5D6E-409C-BE32-E72D297353CC}">
              <c16:uniqueId val="{00000002-5A59-446F-90F1-4B9D2B13DB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N=199</c:v>
                </c:pt>
                <c:pt idx="2">
                  <c:v>Delinquent Findings, total N=235</c:v>
                </c:pt>
                <c:pt idx="3">
                  <c:v>Petitions, total N=355</c:v>
                </c:pt>
                <c:pt idx="4">
                  <c:v>Detentions, total N=227</c:v>
                </c:pt>
                <c:pt idx="5">
                  <c:v>Referrals, total N=1230</c:v>
                </c:pt>
                <c:pt idx="6">
                  <c:v>Arrests, total N=658</c:v>
                </c:pt>
                <c:pt idx="7">
                  <c:v>Population, total N=120122</c:v>
                </c:pt>
              </c:strCache>
            </c:strRef>
          </c:cat>
          <c:val>
            <c:numRef>
              <c:f>'Stacked 100%'!$I$7:$I$14</c:f>
              <c:numCache>
                <c:formatCode>0%</c:formatCode>
                <c:ptCount val="8"/>
                <c:pt idx="0">
                  <c:v>0</c:v>
                </c:pt>
                <c:pt idx="1">
                  <c:v>0.47738693467336685</c:v>
                </c:pt>
                <c:pt idx="2">
                  <c:v>0.58297872340425527</c:v>
                </c:pt>
                <c:pt idx="3">
                  <c:v>0.49859154929577465</c:v>
                </c:pt>
                <c:pt idx="4">
                  <c:v>0.40969162995594716</c:v>
                </c:pt>
                <c:pt idx="5">
                  <c:v>0.50162601626016257</c:v>
                </c:pt>
                <c:pt idx="6">
                  <c:v>0.39665653495440728</c:v>
                </c:pt>
                <c:pt idx="7">
                  <c:v>0.67929271906894662</c:v>
                </c:pt>
              </c:numCache>
            </c:numRef>
          </c:val>
          <c:extLst>
            <c:ext xmlns:c16="http://schemas.microsoft.com/office/drawing/2014/chart" uri="{C3380CC4-5D6E-409C-BE32-E72D297353CC}">
              <c16:uniqueId val="{00000003-5A59-446F-90F1-4B9D2B13DB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N=199</c:v>
                </c:pt>
                <c:pt idx="2">
                  <c:v>Delinquent Findings, total N=235</c:v>
                </c:pt>
                <c:pt idx="3">
                  <c:v>Petitions, total N=355</c:v>
                </c:pt>
                <c:pt idx="4">
                  <c:v>Detentions, total N=227</c:v>
                </c:pt>
                <c:pt idx="5">
                  <c:v>Referrals, total N=1230</c:v>
                </c:pt>
                <c:pt idx="6">
                  <c:v>Arrests, total N=658</c:v>
                </c:pt>
                <c:pt idx="7">
                  <c:v>Population, total N=120122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A59-446F-90F1-4B9D2B13DB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120122</v>
      </c>
      <c r="C6" s="11">
        <v>81598</v>
      </c>
      <c r="D6" s="11">
        <v>17755</v>
      </c>
      <c r="E6" s="11">
        <v>8759</v>
      </c>
      <c r="F6" s="11">
        <v>11536</v>
      </c>
      <c r="G6" s="11"/>
      <c r="H6" s="11">
        <v>474</v>
      </c>
      <c r="I6" s="11"/>
      <c r="J6" s="91">
        <f>SUM(D6:I6)</f>
        <v>38524</v>
      </c>
      <c r="K6" s="92"/>
    </row>
    <row r="7" spans="1:11" ht="15.75" customHeight="1" thickBot="1">
      <c r="A7" s="10" t="s">
        <v>8</v>
      </c>
      <c r="B7" s="11">
        <f t="shared" ref="B7:B15" si="0">SUM(C7:I7)+K7</f>
        <v>658</v>
      </c>
      <c r="C7" s="11">
        <v>261</v>
      </c>
      <c r="D7" s="11">
        <v>349</v>
      </c>
      <c r="E7" s="11">
        <v>29</v>
      </c>
      <c r="F7" s="11">
        <v>4</v>
      </c>
      <c r="G7" s="11">
        <v>2</v>
      </c>
      <c r="H7" s="11"/>
      <c r="I7" s="11"/>
      <c r="J7" s="91">
        <f t="shared" ref="J7" si="1">SUM(D7:I7)</f>
        <v>384</v>
      </c>
      <c r="K7" s="92">
        <v>13</v>
      </c>
    </row>
    <row r="8" spans="1:11" ht="15.75" customHeight="1" thickBot="1">
      <c r="A8" s="10" t="s">
        <v>9</v>
      </c>
      <c r="B8" s="11">
        <f t="shared" si="0"/>
        <v>1230</v>
      </c>
      <c r="C8" s="11">
        <v>617</v>
      </c>
      <c r="D8" s="11">
        <v>519</v>
      </c>
      <c r="E8" s="11">
        <v>13</v>
      </c>
      <c r="F8" s="11">
        <v>6</v>
      </c>
      <c r="G8" s="11"/>
      <c r="H8" s="11"/>
      <c r="I8" s="11">
        <v>10</v>
      </c>
      <c r="J8" s="91">
        <f>SUM(D8:I8)</f>
        <v>548</v>
      </c>
      <c r="K8" s="92">
        <v>65</v>
      </c>
    </row>
    <row r="9" spans="1:11" ht="15.75" customHeight="1" thickBot="1">
      <c r="A9" s="10" t="s">
        <v>10</v>
      </c>
      <c r="B9" s="11">
        <f>SUM(C9:I9)+K9</f>
        <v>85</v>
      </c>
      <c r="C9" s="11">
        <v>52</v>
      </c>
      <c r="D9" s="11">
        <v>28</v>
      </c>
      <c r="E9" s="11"/>
      <c r="F9" s="11">
        <v>1</v>
      </c>
      <c r="G9" s="11"/>
      <c r="H9" s="11"/>
      <c r="I9" s="11">
        <v>1</v>
      </c>
      <c r="J9" s="91">
        <f t="shared" ref="J9:J15" si="2">SUM(D9:I9)</f>
        <v>30</v>
      </c>
      <c r="K9" s="92">
        <v>3</v>
      </c>
    </row>
    <row r="10" spans="1:11" ht="15.75" customHeight="1" thickBot="1">
      <c r="A10" s="10" t="s">
        <v>11</v>
      </c>
      <c r="B10" s="11">
        <f t="shared" si="0"/>
        <v>227</v>
      </c>
      <c r="C10" s="11">
        <v>93</v>
      </c>
      <c r="D10" s="11">
        <v>116</v>
      </c>
      <c r="E10" s="11">
        <v>2</v>
      </c>
      <c r="F10" s="11"/>
      <c r="G10" s="11"/>
      <c r="H10" s="11"/>
      <c r="I10" s="11">
        <v>2</v>
      </c>
      <c r="J10" s="91">
        <f t="shared" si="2"/>
        <v>120</v>
      </c>
      <c r="K10" s="92">
        <v>14</v>
      </c>
    </row>
    <row r="11" spans="1:11" ht="15.75" customHeight="1" thickBot="1">
      <c r="A11" s="10" t="s">
        <v>12</v>
      </c>
      <c r="B11" s="11">
        <f t="shared" si="0"/>
        <v>355</v>
      </c>
      <c r="C11" s="11">
        <v>177</v>
      </c>
      <c r="D11" s="11">
        <v>149</v>
      </c>
      <c r="E11" s="11">
        <v>6</v>
      </c>
      <c r="F11" s="11">
        <v>1</v>
      </c>
      <c r="G11" s="11"/>
      <c r="H11" s="11"/>
      <c r="I11" s="11">
        <v>3</v>
      </c>
      <c r="J11" s="91">
        <f t="shared" si="2"/>
        <v>159</v>
      </c>
      <c r="K11" s="92">
        <v>19</v>
      </c>
    </row>
    <row r="12" spans="1:11" ht="15.75" customHeight="1" thickBot="1">
      <c r="A12" s="10" t="s">
        <v>13</v>
      </c>
      <c r="B12" s="11">
        <f t="shared" si="0"/>
        <v>235</v>
      </c>
      <c r="C12" s="11">
        <v>137</v>
      </c>
      <c r="D12" s="11">
        <v>78</v>
      </c>
      <c r="E12" s="11">
        <v>4</v>
      </c>
      <c r="F12" s="11">
        <v>1</v>
      </c>
      <c r="G12" s="11"/>
      <c r="H12" s="11"/>
      <c r="I12" s="11">
        <v>2</v>
      </c>
      <c r="J12" s="91">
        <f t="shared" si="2"/>
        <v>85</v>
      </c>
      <c r="K12" s="92">
        <v>13</v>
      </c>
    </row>
    <row r="13" spans="1:11" ht="15.75" customHeight="1" thickBot="1">
      <c r="A13" s="10" t="s">
        <v>125</v>
      </c>
      <c r="B13" s="11">
        <f t="shared" si="0"/>
        <v>23</v>
      </c>
      <c r="C13" s="11">
        <v>13</v>
      </c>
      <c r="D13" s="11">
        <v>8</v>
      </c>
      <c r="E13" s="11"/>
      <c r="F13" s="11"/>
      <c r="G13" s="11"/>
      <c r="H13" s="11"/>
      <c r="I13" s="11"/>
      <c r="J13" s="91">
        <f t="shared" si="2"/>
        <v>8</v>
      </c>
      <c r="K13" s="92">
        <v>2</v>
      </c>
    </row>
    <row r="14" spans="1:11" ht="26.25" customHeight="1" thickBot="1">
      <c r="A14" s="10" t="s">
        <v>115</v>
      </c>
      <c r="B14" s="11">
        <f t="shared" si="0"/>
        <v>199</v>
      </c>
      <c r="C14" s="11">
        <v>95</v>
      </c>
      <c r="D14" s="11">
        <v>91</v>
      </c>
      <c r="E14" s="11">
        <v>2</v>
      </c>
      <c r="F14" s="11">
        <v>1</v>
      </c>
      <c r="G14" s="11"/>
      <c r="H14" s="11"/>
      <c r="I14" s="11">
        <v>5</v>
      </c>
      <c r="J14" s="91">
        <f t="shared" si="2"/>
        <v>99</v>
      </c>
      <c r="K14" s="92">
        <v>5</v>
      </c>
    </row>
    <row r="15" spans="1:11" ht="15.75" customHeight="1" thickBot="1">
      <c r="A15" s="10" t="s">
        <v>16</v>
      </c>
      <c r="B15" s="11">
        <f t="shared" si="0"/>
        <v>0</v>
      </c>
      <c r="C15" s="11"/>
      <c r="D15" s="11"/>
      <c r="E15" s="11"/>
      <c r="F15" s="11"/>
      <c r="G15" s="11"/>
      <c r="H15" s="11"/>
      <c r="I15" s="11"/>
      <c r="J15" s="91">
        <f t="shared" si="2"/>
        <v>0</v>
      </c>
      <c r="K15" s="92"/>
    </row>
    <row r="16" spans="1:11" s="14" customFormat="1" ht="15" customHeight="1">
      <c r="A16" s="12" t="s">
        <v>17</v>
      </c>
      <c r="B16" s="13" t="str">
        <f>IF((B6 &gt; ($B6/100)),"Yes","No")</f>
        <v>Yes</v>
      </c>
      <c r="C16" s="13" t="str">
        <f>IF((C6 &gt; ($B6/100)),"Yes","No")</f>
        <v>Yes</v>
      </c>
      <c r="D16" s="13" t="str">
        <f t="shared" ref="D16:J16" si="3">IF((D6 &gt; ($B6/100)),"Yes","No")</f>
        <v>Yes</v>
      </c>
      <c r="E16" s="13" t="str">
        <f t="shared" si="3"/>
        <v>Yes</v>
      </c>
      <c r="F16" s="13" t="str">
        <f t="shared" si="3"/>
        <v>Yes</v>
      </c>
      <c r="G16" s="13" t="str">
        <f t="shared" si="3"/>
        <v>No</v>
      </c>
      <c r="H16" s="13" t="str">
        <f t="shared" si="3"/>
        <v>No</v>
      </c>
      <c r="I16" s="13" t="str">
        <f t="shared" si="3"/>
        <v>No</v>
      </c>
      <c r="J16" s="13" t="str">
        <f t="shared" si="3"/>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134</v>
      </c>
      <c r="E21" s="170"/>
      <c r="F21" s="170"/>
      <c r="G21" s="170"/>
      <c r="H21" s="170"/>
      <c r="I21" s="170"/>
    </row>
    <row r="22" spans="1:9" ht="15" customHeight="1">
      <c r="A22" s="170" t="s">
        <v>132</v>
      </c>
      <c r="B22" s="170"/>
      <c r="C22" s="8"/>
      <c r="D22" s="170" t="s">
        <v>135</v>
      </c>
      <c r="E22" s="170"/>
      <c r="F22" s="170"/>
      <c r="G22" s="170"/>
      <c r="H22" s="170"/>
      <c r="I22" s="170"/>
    </row>
    <row r="23" spans="1:9" ht="15" customHeight="1">
      <c r="A23" s="170" t="s">
        <v>133</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261</v>
      </c>
      <c r="Q7" s="42">
        <f>C6-C7</f>
        <v>81337</v>
      </c>
      <c r="R7" s="42">
        <f t="shared" ref="R7:R15" si="5">SUM(N7:Q7)</f>
        <v>81598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617</v>
      </c>
      <c r="D8" s="34">
        <f>IF((AND(C67&gt;0,C8&gt;0)),(C8/C67),0)</f>
        <v>236.39846743295021</v>
      </c>
      <c r="E8" s="33">
        <f>'Data Entry'!I8</f>
        <v>10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10</v>
      </c>
      <c r="O8" s="42">
        <f>((D67*L67)-E8)+0.05</f>
        <v>-9.9499999999999993</v>
      </c>
      <c r="P8" s="42">
        <f t="shared" si="4"/>
        <v>617</v>
      </c>
      <c r="Q8" s="42">
        <f>(C$67*L67)-C8</f>
        <v>-356</v>
      </c>
      <c r="R8" s="42">
        <f t="shared" si="5"/>
        <v>261.04999999999995</v>
      </c>
      <c r="S8" s="30">
        <f t="shared" si="6"/>
        <v>1736508443.3086243</v>
      </c>
      <c r="T8" s="30">
        <f t="shared" si="7"/>
        <v>-2994330.9825000423</v>
      </c>
      <c r="U8" s="31">
        <f t="shared" si="8"/>
        <v>-579.93202937731678</v>
      </c>
    </row>
    <row r="9" spans="2:21" ht="18" customHeight="1">
      <c r="B9" s="32" t="str">
        <f>'Data Entry'!A9</f>
        <v xml:space="preserve">4. Cases Diverted </v>
      </c>
      <c r="C9" s="33">
        <f>'Data Entry'!C9</f>
        <v>52</v>
      </c>
      <c r="D9" s="34">
        <f>IF((AND(C68&gt;0,C9&gt;0)),((C9/C68)),0)</f>
        <v>8.4278768233387353</v>
      </c>
      <c r="E9" s="33">
        <f>'Data Entry'!I9</f>
        <v>1</v>
      </c>
      <c r="F9" s="34">
        <f>IF((AND($E$9&gt;0,$D$68&gt;0)),(($E$9/$D$68)),0)</f>
        <v>10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9</v>
      </c>
      <c r="P9" s="42">
        <f t="shared" si="4"/>
        <v>52</v>
      </c>
      <c r="Q9" s="42">
        <f>(C$68*L68)-C9</f>
        <v>565</v>
      </c>
      <c r="R9" s="42">
        <f t="shared" si="5"/>
        <v>627</v>
      </c>
      <c r="S9" s="30">
        <f t="shared" si="6"/>
        <v>5899443</v>
      </c>
      <c r="T9" s="30">
        <f t="shared" si="7"/>
        <v>187703740</v>
      </c>
      <c r="U9" s="31">
        <f t="shared" si="8"/>
        <v>3.1429544238170216E-2</v>
      </c>
    </row>
    <row r="10" spans="2:21" ht="18" customHeight="1">
      <c r="B10" s="32" t="str">
        <f>'Data Entry'!A10</f>
        <v>5. Cases Involving Secure Detention</v>
      </c>
      <c r="C10" s="33">
        <f>'Data Entry'!C10</f>
        <v>93</v>
      </c>
      <c r="D10" s="34">
        <f>IF(((AND(C68&gt;0,C10&gt;0))),(C10/(C68)),0)</f>
        <v>15.07293354943274</v>
      </c>
      <c r="E10" s="33">
        <f>'Data Entry'!I10</f>
        <v>2</v>
      </c>
      <c r="F10" s="34">
        <f>IF(((AND($E$10&gt;0,$D$68&gt;0))),($E$10/($D$68)),0)</f>
        <v>20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8</v>
      </c>
      <c r="P10" s="42">
        <f t="shared" si="4"/>
        <v>93</v>
      </c>
      <c r="Q10" s="42">
        <f>(C$68*L68)-C10</f>
        <v>524</v>
      </c>
      <c r="R10" s="42">
        <f t="shared" si="5"/>
        <v>627</v>
      </c>
      <c r="S10" s="30">
        <f t="shared" si="6"/>
        <v>57944832</v>
      </c>
      <c r="T10" s="30">
        <f t="shared" si="7"/>
        <v>311831800</v>
      </c>
      <c r="U10" s="31">
        <f t="shared" si="8"/>
        <v>0.18582079184996528</v>
      </c>
    </row>
    <row r="11" spans="2:21" ht="18" customHeight="1">
      <c r="B11" s="32" t="str">
        <f>'Data Entry'!A11</f>
        <v>6. Cases Petitioned (Charge Filed)</v>
      </c>
      <c r="C11" s="33">
        <f>'Data Entry'!C11</f>
        <v>177</v>
      </c>
      <c r="D11" s="34">
        <f>IF(((AND(C68&gt;0,C11&gt;0))),(C11/(C68)),0)</f>
        <v>28.687196110210696</v>
      </c>
      <c r="E11" s="33">
        <f>'Data Entry'!I11</f>
        <v>3</v>
      </c>
      <c r="F11" s="34">
        <f>IF(((AND($E$11&gt;0,$D$68&gt;0))),($E$11/($D$68)),0)</f>
        <v>30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7</v>
      </c>
      <c r="P11" s="42">
        <f t="shared" si="4"/>
        <v>177</v>
      </c>
      <c r="Q11" s="42">
        <f>(C$68*L68)-C11</f>
        <v>440</v>
      </c>
      <c r="R11" s="42">
        <f t="shared" si="5"/>
        <v>627</v>
      </c>
      <c r="S11" s="30">
        <f t="shared" si="6"/>
        <v>4113747</v>
      </c>
      <c r="T11" s="30">
        <f t="shared" si="7"/>
        <v>496438200</v>
      </c>
      <c r="U11" s="31">
        <f t="shared" si="8"/>
        <v>8.2865238815224129E-3</v>
      </c>
    </row>
    <row r="12" spans="2:21" ht="18" customHeight="1">
      <c r="B12" s="32" t="str">
        <f>'Data Entry'!A12</f>
        <v>7. Cases Resulting in Delinquent Findings</v>
      </c>
      <c r="C12" s="33">
        <f>'Data Entry'!C12</f>
        <v>137</v>
      </c>
      <c r="D12" s="34">
        <f>IF(((AND(C69&gt;0,C12&gt;0))),(C12/(C69)),0)</f>
        <v>77.401129943502823</v>
      </c>
      <c r="E12" s="33">
        <f>'Data Entry'!I12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1</v>
      </c>
      <c r="P12" s="42">
        <f t="shared" si="4"/>
        <v>137</v>
      </c>
      <c r="Q12" s="42">
        <f>(C69*L69)-C12</f>
        <v>40</v>
      </c>
      <c r="R12" s="42">
        <f t="shared" si="5"/>
        <v>180</v>
      </c>
      <c r="S12" s="30">
        <f t="shared" si="6"/>
        <v>584820</v>
      </c>
      <c r="T12" s="30">
        <f t="shared" si="7"/>
        <v>3026169</v>
      </c>
      <c r="U12" s="31">
        <f t="shared" si="8"/>
        <v>0.19325424323625018</v>
      </c>
    </row>
    <row r="13" spans="2:21" ht="18" customHeight="1">
      <c r="B13" s="32" t="str">
        <f>'Data Entry'!A13</f>
        <v>8. Cases Resulting in Probation Placement</v>
      </c>
      <c r="C13" s="33">
        <f>'Data Entry'!C13</f>
        <v>13</v>
      </c>
      <c r="D13" s="34">
        <f>IF(((AND(C70&gt;0,C13&gt;0))),(C13/(C70)),0)</f>
        <v>9.4890510948905096</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2</v>
      </c>
      <c r="P13" s="42">
        <f t="shared" si="4"/>
        <v>13</v>
      </c>
      <c r="Q13" s="42">
        <f>(C70*L70)-C13</f>
        <v>124</v>
      </c>
      <c r="R13" s="42">
        <f t="shared" si="5"/>
        <v>139</v>
      </c>
      <c r="S13" s="30">
        <f t="shared" si="6"/>
        <v>93964</v>
      </c>
      <c r="T13" s="30">
        <f t="shared" si="7"/>
        <v>448812</v>
      </c>
      <c r="U13" s="31">
        <f t="shared" si="8"/>
        <v>0.20936160352218747</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Entry'!I14</f>
        <v>5</v>
      </c>
      <c r="F14" s="34">
        <f>IF(((AND($D$70&gt;0,$E$14&gt;0))), (($E$14/($D$70))),0)</f>
        <v>250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5</v>
      </c>
      <c r="O14" s="42">
        <f>(D70*L70)-E14</f>
        <v>-3</v>
      </c>
      <c r="P14" s="42">
        <f t="shared" si="4"/>
        <v>95</v>
      </c>
      <c r="Q14" s="42">
        <f>(C70*L70)-C14</f>
        <v>42</v>
      </c>
      <c r="R14" s="42">
        <f t="shared" si="5"/>
        <v>139</v>
      </c>
      <c r="S14" s="30">
        <f t="shared" si="6"/>
        <v>34058475</v>
      </c>
      <c r="T14" s="30">
        <f t="shared" si="7"/>
        <v>1068600</v>
      </c>
      <c r="U14" s="31">
        <f t="shared" si="8"/>
        <v>31.872052217855138</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177</v>
      </c>
      <c r="R15" s="42">
        <f t="shared" si="5"/>
        <v>180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0</v>
      </c>
      <c r="E42" s="56">
        <f>MAX(C42:D42)</f>
        <v>81.597999999999999</v>
      </c>
      <c r="G42" s="1" t="str">
        <f>B42</f>
        <v>per 1000 youth</v>
      </c>
      <c r="L42" s="57">
        <v>1000</v>
      </c>
      <c r="M42" s="57"/>
      <c r="R42" s="49"/>
    </row>
    <row r="43" spans="2:18" ht="15" hidden="1" customHeight="1">
      <c r="B43" s="49" t="s">
        <v>87</v>
      </c>
      <c r="C43" s="56">
        <f>C7/100</f>
        <v>2.61</v>
      </c>
      <c r="D43" s="56">
        <f>E7/100</f>
        <v>0</v>
      </c>
      <c r="E43" s="56">
        <f>MAX(C43:D43,0)</f>
        <v>2.61</v>
      </c>
      <c r="G43" s="1" t="str">
        <f>B43</f>
        <v>per 100 arrests</v>
      </c>
      <c r="L43" s="57">
        <v>100</v>
      </c>
      <c r="M43" s="57"/>
      <c r="R43" s="49"/>
    </row>
    <row r="44" spans="2:18" ht="15" hidden="1" customHeight="1">
      <c r="B44" s="49" t="s">
        <v>88</v>
      </c>
      <c r="C44" s="56">
        <f>C8/100</f>
        <v>6.17</v>
      </c>
      <c r="D44" s="56">
        <f>E8/100</f>
        <v>0.1</v>
      </c>
      <c r="E44" s="56">
        <f>MAX(C44:D44,0)</f>
        <v>6.17</v>
      </c>
      <c r="G44" s="1" t="str">
        <f>B44</f>
        <v>per 100 referrals</v>
      </c>
      <c r="L44" s="57">
        <v>100</v>
      </c>
      <c r="M44" s="57"/>
      <c r="R44" s="49"/>
    </row>
    <row r="45" spans="2:18" ht="15" hidden="1" customHeight="1">
      <c r="B45" s="49" t="s">
        <v>89</v>
      </c>
      <c r="C45" s="49">
        <f>C11/100</f>
        <v>1.77</v>
      </c>
      <c r="D45" s="49">
        <f>E11/100</f>
        <v>0.03</v>
      </c>
      <c r="E45" s="56">
        <f>MAX(C45:D45,0)</f>
        <v>1.77</v>
      </c>
      <c r="G45" s="1" t="str">
        <f>B45</f>
        <v>per 100 youth petitioned</v>
      </c>
      <c r="L45" s="57">
        <v>100</v>
      </c>
      <c r="M45" s="57"/>
      <c r="R45" s="49"/>
    </row>
    <row r="46" spans="2:18" ht="15" hidden="1" customHeight="1">
      <c r="B46" s="49" t="s">
        <v>90</v>
      </c>
      <c r="C46" s="49">
        <f>C12/100</f>
        <v>1.37</v>
      </c>
      <c r="D46" s="49">
        <f>E12/100</f>
        <v>0.02</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0</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0</v>
      </c>
      <c r="E49" s="49">
        <f>MAX(C49:D49)</f>
        <v>2.61</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0.1</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0.03</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0.02</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0</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0</v>
      </c>
      <c r="E55" s="49">
        <f>MAX(C55:D55)</f>
        <v>2.61</v>
      </c>
      <c r="G55" s="1" t="str">
        <f>G49</f>
        <v>per 100 arrests</v>
      </c>
      <c r="L55" s="58">
        <f>IF(($E49&gt;0),L49,L48)</f>
        <v>100</v>
      </c>
      <c r="M55" s="58"/>
    </row>
    <row r="56" spans="2:18" ht="15" hidden="1" customHeight="1">
      <c r="B56" s="49" t="str">
        <f t="shared" si="10"/>
        <v>per 100 referrals</v>
      </c>
      <c r="C56" s="49">
        <f t="shared" si="10"/>
        <v>6.17</v>
      </c>
      <c r="D56" s="49">
        <f t="shared" si="10"/>
        <v>0.1</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0.03</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0.02</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0</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0</v>
      </c>
      <c r="E61" s="49">
        <f>MAX(C61:D61)</f>
        <v>2.61</v>
      </c>
      <c r="G61" s="1" t="str">
        <f>G55</f>
        <v>per 100 arrests</v>
      </c>
      <c r="L61" s="58">
        <f>IF(($E55&gt;0),L55,L54)</f>
        <v>100</v>
      </c>
      <c r="M61" s="58"/>
    </row>
    <row r="62" spans="2:18" ht="15" hidden="1" customHeight="1">
      <c r="B62" s="49" t="str">
        <f t="shared" si="11"/>
        <v>per 100 referrals</v>
      </c>
      <c r="C62" s="49">
        <f t="shared" si="11"/>
        <v>6.17</v>
      </c>
      <c r="D62" s="49">
        <f t="shared" si="11"/>
        <v>0.1</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0.03</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0.02</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0</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0</v>
      </c>
      <c r="E67" s="49">
        <f>MAX(C67:D67)</f>
        <v>2.61</v>
      </c>
      <c r="G67" s="1" t="str">
        <f>G61</f>
        <v>per 100 arrests</v>
      </c>
      <c r="L67" s="58">
        <f>IF(($E61&gt;0),L61,L60)</f>
        <v>100</v>
      </c>
      <c r="M67" s="58">
        <f>IF((B67=G67),1,2)</f>
        <v>1</v>
      </c>
    </row>
    <row r="68" spans="2:13" ht="15" hidden="1" customHeight="1">
      <c r="B68" s="49" t="str">
        <f t="shared" si="12"/>
        <v>per 100 referrals</v>
      </c>
      <c r="C68" s="49">
        <f t="shared" si="12"/>
        <v>6.17</v>
      </c>
      <c r="D68" s="49">
        <f t="shared" si="12"/>
        <v>0.1</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0.03</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0.02</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Entry'!J6</f>
        <v>38524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Entry'!J7</f>
        <v>384</v>
      </c>
      <c r="F7" s="34">
        <f>IF((AND($E$7&gt;0,$D$66&gt;0)),($E$7/$D$66),0)</f>
        <v>9.9678122728688603</v>
      </c>
      <c r="G7" s="39">
        <f t="shared" ref="G7:G15" si="0">IF(L$6=100,"*",IF(M7=FALSE,"--",IF(K7=20,"**",($F7/$D7))))</f>
        <v>3.1162971105040351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384</v>
      </c>
      <c r="O7" s="42">
        <f>E6-E7</f>
        <v>38140</v>
      </c>
      <c r="P7" s="42">
        <f t="shared" ref="P7:P15" si="4">C7</f>
        <v>261</v>
      </c>
      <c r="Q7" s="42">
        <f>C6-C7</f>
        <v>81337</v>
      </c>
      <c r="R7" s="42">
        <f t="shared" ref="R7:R15" si="5">SUM(N7:Q7)</f>
        <v>120122</v>
      </c>
      <c r="S7" s="30">
        <f t="shared" ref="S7:S15" si="6">R7*((((N7*Q7)-(O7*P7))^2))</f>
        <v>5.4390067210620977E+19</v>
      </c>
      <c r="T7" s="30">
        <f t="shared" ref="T7:T15" si="7">(N7+O7)*(P7+Q7)*(N7+P7)*(O7+Q7)</f>
        <v>2.4224505036292307E+17</v>
      </c>
      <c r="U7" s="31">
        <f t="shared" ref="U7:U15" si="8">IF((S7&gt;0),S7/T7,"- -")</f>
        <v>224.52498876297236</v>
      </c>
    </row>
    <row r="8" spans="2:21" ht="18" customHeight="1">
      <c r="B8" s="32" t="str">
        <f>'Data Entry'!A8</f>
        <v>3. Refer to Juvenile Court</v>
      </c>
      <c r="C8" s="33">
        <f>'Data Entry'!C8</f>
        <v>617</v>
      </c>
      <c r="D8" s="34">
        <f>IF((AND(C67&gt;0,C8&gt;0)),(C8/C67),0)</f>
        <v>236.39846743295021</v>
      </c>
      <c r="E8" s="33">
        <f>'Data Entry'!J8</f>
        <v>548</v>
      </c>
      <c r="F8" s="34">
        <f>IF((AND($E$8&gt;0,$D$67&gt;0)),($E8/$D67),0)</f>
        <v>142.70833333333334</v>
      </c>
      <c r="G8" s="39">
        <f t="shared" si="0"/>
        <v>0.60367706645056729</v>
      </c>
      <c r="H8" s="40"/>
      <c r="I8" s="41"/>
      <c r="J8" s="40">
        <f>IF((ABS($U8)&gt;Defaults!D$7),1,2)</f>
        <v>1</v>
      </c>
      <c r="K8" s="39">
        <f>IF((AND(N8&gt;Defaults!B$12,(N8+O8)&gt;Defaults!B$13, P8 &gt; Defaults!B$12, (P8+Q8) &gt; Defaults!B$13)),1,20)</f>
        <v>1</v>
      </c>
      <c r="L8" s="1">
        <f t="shared" si="1"/>
        <v>1</v>
      </c>
      <c r="M8" s="1" t="b">
        <f t="shared" si="2"/>
        <v>1</v>
      </c>
      <c r="N8" s="42">
        <f t="shared" si="3"/>
        <v>548</v>
      </c>
      <c r="O8" s="42">
        <f>((D67*L67)-E8)+0.05</f>
        <v>-163.95</v>
      </c>
      <c r="P8" s="42">
        <f t="shared" si="4"/>
        <v>617</v>
      </c>
      <c r="Q8" s="42">
        <f>(C$67*L67)-C8</f>
        <v>-356</v>
      </c>
      <c r="R8" s="42">
        <f t="shared" si="5"/>
        <v>645.04999999999995</v>
      </c>
      <c r="S8" s="30">
        <f t="shared" si="6"/>
        <v>5691279105440.0996</v>
      </c>
      <c r="T8" s="30">
        <f t="shared" si="7"/>
        <v>-60717766081.837502</v>
      </c>
      <c r="U8" s="31">
        <f t="shared" si="8"/>
        <v>-93.733341535806787</v>
      </c>
    </row>
    <row r="9" spans="2:21" ht="18" customHeight="1">
      <c r="B9" s="32" t="str">
        <f>'Data Entry'!A9</f>
        <v xml:space="preserve">4. Cases Diverted </v>
      </c>
      <c r="C9" s="33">
        <f>'Data Entry'!C9</f>
        <v>52</v>
      </c>
      <c r="D9" s="34">
        <f>IF((AND(C68&gt;0,C9&gt;0)),((C9/C68)),0)</f>
        <v>8.4278768233387353</v>
      </c>
      <c r="E9" s="33">
        <f>'Data Entry'!J9</f>
        <v>30</v>
      </c>
      <c r="F9" s="34">
        <f>IF((AND($E$9&gt;0,$D$68&gt;0)),(($E$9/$D$68)),0)</f>
        <v>5.4744525547445253</v>
      </c>
      <c r="G9" s="39">
        <f t="shared" si="0"/>
        <v>0.64956485120718699</v>
      </c>
      <c r="H9" s="40"/>
      <c r="I9" s="41"/>
      <c r="J9" s="40">
        <f>IF((ABS($U9)&gt;Defaults!D$7),1,2)</f>
        <v>1</v>
      </c>
      <c r="K9" s="39">
        <f>IF((AND(N9&gt;Defaults!B$12,(N9+O9)&gt;Defaults!B$13, P9 &gt; Defaults!B$12, (P9+Q9) &gt; Defaults!B$13)),1,20)</f>
        <v>1</v>
      </c>
      <c r="L9" s="1">
        <f t="shared" si="1"/>
        <v>1</v>
      </c>
      <c r="M9" s="1" t="b">
        <f t="shared" si="2"/>
        <v>1</v>
      </c>
      <c r="N9" s="42">
        <f t="shared" si="3"/>
        <v>30</v>
      </c>
      <c r="O9" s="42">
        <f>(D$68*L68)-E9</f>
        <v>518</v>
      </c>
      <c r="P9" s="42">
        <f t="shared" si="4"/>
        <v>52</v>
      </c>
      <c r="Q9" s="42">
        <f>(C$68*L68)-C9</f>
        <v>565</v>
      </c>
      <c r="R9" s="42">
        <f t="shared" si="5"/>
        <v>1165</v>
      </c>
      <c r="S9" s="30">
        <f t="shared" si="6"/>
        <v>116174028340</v>
      </c>
      <c r="T9" s="30">
        <f t="shared" si="7"/>
        <v>30026729496</v>
      </c>
      <c r="U9" s="31">
        <f t="shared" si="8"/>
        <v>3.8690203791750308</v>
      </c>
    </row>
    <row r="10" spans="2:21" ht="18" customHeight="1">
      <c r="B10" s="32" t="str">
        <f>'Data Entry'!A10</f>
        <v>5. Cases Involving Secure Detention</v>
      </c>
      <c r="C10" s="33">
        <f>'Data Entry'!C10</f>
        <v>93</v>
      </c>
      <c r="D10" s="34">
        <f>IF(((AND(C68&gt;0,C10&gt;0))),(C10/(C68)),0)</f>
        <v>15.07293354943274</v>
      </c>
      <c r="E10" s="33">
        <f>'Data Entry'!J10</f>
        <v>120</v>
      </c>
      <c r="F10" s="34">
        <f>IF(((AND($E$10&gt;0,$D$68&gt;0))),($E$10/($D$68)),0)</f>
        <v>21.897810218978101</v>
      </c>
      <c r="G10" s="39">
        <f t="shared" si="0"/>
        <v>1.4527902048504826</v>
      </c>
      <c r="H10" s="40"/>
      <c r="I10" s="41"/>
      <c r="J10" s="40">
        <f>IF((ABS($U10)&gt;Defaults!D$7),1,2)</f>
        <v>1</v>
      </c>
      <c r="K10" s="39">
        <f>IF((AND(N10&gt;Defaults!B$12,(N10+O10)&gt;Defaults!B$13, P10 &gt; Defaults!B$12, (P10+Q10) &gt; Defaults!B$13)),1,20)</f>
        <v>1</v>
      </c>
      <c r="L10" s="1">
        <f t="shared" si="1"/>
        <v>1</v>
      </c>
      <c r="M10" s="1" t="b">
        <f t="shared" si="2"/>
        <v>1</v>
      </c>
      <c r="N10" s="42">
        <f t="shared" si="3"/>
        <v>120</v>
      </c>
      <c r="O10" s="42">
        <f>(D$68*L68)-E10</f>
        <v>428</v>
      </c>
      <c r="P10" s="42">
        <f t="shared" si="4"/>
        <v>93</v>
      </c>
      <c r="Q10" s="42">
        <f>(C$68*L68)-C10</f>
        <v>524</v>
      </c>
      <c r="R10" s="42">
        <f t="shared" si="5"/>
        <v>1165</v>
      </c>
      <c r="S10" s="30">
        <f t="shared" si="6"/>
        <v>620364569040</v>
      </c>
      <c r="T10" s="30">
        <f t="shared" si="7"/>
        <v>68561810016</v>
      </c>
      <c r="U10" s="31">
        <f t="shared" si="8"/>
        <v>9.0482525023074505</v>
      </c>
    </row>
    <row r="11" spans="2:21" ht="18" customHeight="1">
      <c r="B11" s="32" t="str">
        <f>'Data Entry'!A11</f>
        <v>6. Cases Petitioned (Charge Filed)</v>
      </c>
      <c r="C11" s="33">
        <f>'Data Entry'!C11</f>
        <v>177</v>
      </c>
      <c r="D11" s="34">
        <f>IF(((AND(C68&gt;0,C11&gt;0))),(C11/(C68)),0)</f>
        <v>28.687196110210696</v>
      </c>
      <c r="E11" s="33">
        <f>'Data Entry'!J11</f>
        <v>159</v>
      </c>
      <c r="F11" s="34">
        <f>IF(((AND($E$11&gt;0,$D$68&gt;0))),($E$11/($D$68)),0)</f>
        <v>29.014598540145982</v>
      </c>
      <c r="G11" s="39">
        <f t="shared" si="0"/>
        <v>1.0114128417666708</v>
      </c>
      <c r="H11" s="40"/>
      <c r="I11" s="41"/>
      <c r="J11" s="40">
        <f>IF((ABS($U11)&gt;Defaults!D$7),1,2)</f>
        <v>2</v>
      </c>
      <c r="K11" s="39">
        <f>IF((AND(N11&gt;Defaults!B$12,(N11+O11)&gt;Defaults!B$13, P11 &gt; Defaults!B$12, (P11+Q11) &gt; Defaults!B$13)),1,20)</f>
        <v>1</v>
      </c>
      <c r="L11" s="1">
        <f t="shared" si="1"/>
        <v>2</v>
      </c>
      <c r="M11" s="1" t="b">
        <f t="shared" si="2"/>
        <v>1</v>
      </c>
      <c r="N11" s="42">
        <f t="shared" si="3"/>
        <v>159</v>
      </c>
      <c r="O11" s="42">
        <f>(D$68*L68)-E11</f>
        <v>389</v>
      </c>
      <c r="P11" s="42">
        <f t="shared" si="4"/>
        <v>177</v>
      </c>
      <c r="Q11" s="42">
        <f>(C$68*L68)-C11</f>
        <v>440</v>
      </c>
      <c r="R11" s="42">
        <f t="shared" si="5"/>
        <v>1165</v>
      </c>
      <c r="S11" s="30">
        <f t="shared" si="6"/>
        <v>1427648085</v>
      </c>
      <c r="T11" s="30">
        <f t="shared" si="7"/>
        <v>94180183104</v>
      </c>
      <c r="U11" s="31">
        <f t="shared" si="8"/>
        <v>1.5158688780881816E-2</v>
      </c>
    </row>
    <row r="12" spans="2:21" ht="18" customHeight="1">
      <c r="B12" s="32" t="str">
        <f>'Data Entry'!A12</f>
        <v>7. Cases Resulting in Delinquent Findings</v>
      </c>
      <c r="C12" s="33">
        <f>'Data Entry'!C12</f>
        <v>137</v>
      </c>
      <c r="D12" s="34">
        <f>IF(((AND(C69&gt;0,C12&gt;0))),(C12/(C69)),0)</f>
        <v>77.401129943502823</v>
      </c>
      <c r="E12" s="33">
        <f>'Data Entry'!J12</f>
        <v>85</v>
      </c>
      <c r="F12" s="34">
        <f>IF(((AND($D$69&gt;0,$E$12&gt;0))),(E12/(D69)),0)</f>
        <v>53.459119496855344</v>
      </c>
      <c r="G12" s="39">
        <f t="shared" si="0"/>
        <v>0.69067621539732815</v>
      </c>
      <c r="H12" s="40"/>
      <c r="I12" s="41"/>
      <c r="J12" s="40">
        <f>IF((ABS($U12)&gt;Defaults!D$7),1,2)</f>
        <v>1</v>
      </c>
      <c r="K12" s="39">
        <f>IF((AND(N12&gt;Defaults!B$12,(N12+O12)&gt;Defaults!B$13, P12 &gt; Defaults!B$12, (P12+Q12) &gt; Defaults!B$13)),1,20)</f>
        <v>1</v>
      </c>
      <c r="L12" s="1">
        <f t="shared" si="1"/>
        <v>1</v>
      </c>
      <c r="M12" s="1" t="b">
        <f t="shared" si="2"/>
        <v>1</v>
      </c>
      <c r="N12" s="42">
        <f t="shared" si="3"/>
        <v>85</v>
      </c>
      <c r="O12" s="42">
        <f>(D69*L69)-E12</f>
        <v>74</v>
      </c>
      <c r="P12" s="42">
        <f t="shared" si="4"/>
        <v>137</v>
      </c>
      <c r="Q12" s="42">
        <f>(C69*L69)-C12</f>
        <v>40</v>
      </c>
      <c r="R12" s="42">
        <f t="shared" si="5"/>
        <v>336</v>
      </c>
      <c r="S12" s="30">
        <f t="shared" si="6"/>
        <v>15254616384</v>
      </c>
      <c r="T12" s="30">
        <f t="shared" si="7"/>
        <v>712243044</v>
      </c>
      <c r="U12" s="31">
        <f t="shared" si="8"/>
        <v>21.417711991020862</v>
      </c>
    </row>
    <row r="13" spans="2:21" ht="18" customHeight="1">
      <c r="B13" s="32" t="str">
        <f>'Data Entry'!A13</f>
        <v>8. Cases Resulting in Probation Placement</v>
      </c>
      <c r="C13" s="33">
        <f>'Data Entry'!C13</f>
        <v>13</v>
      </c>
      <c r="D13" s="34">
        <f>IF(((AND(C70&gt;0,C13&gt;0))),(C13/(C70)),0)</f>
        <v>9.4890510948905096</v>
      </c>
      <c r="E13" s="33">
        <f>'Data Entry'!J13</f>
        <v>8</v>
      </c>
      <c r="F13" s="34">
        <f>IF(((AND($D$70&gt;0,$E$13&gt;0))),($E$13/($D$70)),0)</f>
        <v>9.4117647058823533</v>
      </c>
      <c r="G13" s="39">
        <f t="shared" si="0"/>
        <v>0.99185520361990964</v>
      </c>
      <c r="H13" s="40"/>
      <c r="I13" s="41"/>
      <c r="J13" s="40">
        <f>IF((ABS($U13)&gt;Defaults!D$7),1,2)</f>
        <v>2</v>
      </c>
      <c r="K13" s="39">
        <f>IF((AND(N13&gt;Defaults!B$12,(N13+O13)&gt;Defaults!B$13, P13 &gt; Defaults!B$12, (P13+Q13) &gt; Defaults!B$13)),1,20)</f>
        <v>1</v>
      </c>
      <c r="L13" s="1">
        <f t="shared" si="1"/>
        <v>2</v>
      </c>
      <c r="M13" s="1" t="b">
        <f t="shared" si="2"/>
        <v>1</v>
      </c>
      <c r="N13" s="42">
        <f t="shared" si="3"/>
        <v>8</v>
      </c>
      <c r="O13" s="42">
        <f>(D70*L70)-E13</f>
        <v>77</v>
      </c>
      <c r="P13" s="42">
        <f t="shared" si="4"/>
        <v>13</v>
      </c>
      <c r="Q13" s="42">
        <f>(C70*L70)-C13</f>
        <v>124</v>
      </c>
      <c r="R13" s="42">
        <f t="shared" si="5"/>
        <v>222</v>
      </c>
      <c r="S13" s="30">
        <f t="shared" si="6"/>
        <v>17982</v>
      </c>
      <c r="T13" s="30">
        <f t="shared" si="7"/>
        <v>49153545</v>
      </c>
      <c r="U13" s="31">
        <f t="shared" si="8"/>
        <v>3.658332272880827E-4</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Entry'!J14</f>
        <v>99</v>
      </c>
      <c r="F14" s="34">
        <f>IF(((AND($D$70&gt;0,$E$14&gt;0))), (($E$14/($D$70))),0)</f>
        <v>116.47058823529412</v>
      </c>
      <c r="G14" s="39">
        <f t="shared" si="0"/>
        <v>1.6796284829721364</v>
      </c>
      <c r="H14" s="40"/>
      <c r="I14" s="41"/>
      <c r="J14" s="40">
        <f>IF((ABS($U14)&gt;Defaults!D$7),1,2)</f>
        <v>1</v>
      </c>
      <c r="K14" s="39">
        <f>IF((AND(N14&gt;Defaults!B$12,(N14+O14)&gt;Defaults!B$13, P14 &gt; Defaults!B$12, (P14+Q14) &gt; Defaults!B$13)),1,20)</f>
        <v>1</v>
      </c>
      <c r="L14" s="1">
        <f t="shared" si="1"/>
        <v>1</v>
      </c>
      <c r="M14" s="1" t="b">
        <f t="shared" si="2"/>
        <v>1</v>
      </c>
      <c r="N14" s="42">
        <f t="shared" si="3"/>
        <v>99</v>
      </c>
      <c r="O14" s="42">
        <f>(D70*L70)-E14</f>
        <v>-14</v>
      </c>
      <c r="P14" s="42">
        <f t="shared" si="4"/>
        <v>95</v>
      </c>
      <c r="Q14" s="42">
        <f>(C70*L70)-C14</f>
        <v>42</v>
      </c>
      <c r="R14" s="42">
        <f t="shared" si="5"/>
        <v>222</v>
      </c>
      <c r="S14" s="30">
        <f t="shared" si="6"/>
        <v>6686227968</v>
      </c>
      <c r="T14" s="30">
        <f t="shared" si="7"/>
        <v>63255640</v>
      </c>
      <c r="U14" s="31">
        <f t="shared" si="8"/>
        <v>105.70168870317335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159</v>
      </c>
      <c r="P15" s="42">
        <f t="shared" si="4"/>
        <v>0</v>
      </c>
      <c r="Q15" s="42">
        <f>(C69*L69)-C15</f>
        <v>177</v>
      </c>
      <c r="R15" s="42">
        <f t="shared" si="5"/>
        <v>336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38.524000000000001</v>
      </c>
      <c r="E42" s="56">
        <f>MAX(C42:D42)</f>
        <v>81.597999999999999</v>
      </c>
      <c r="G42" s="1" t="str">
        <f>B42</f>
        <v>per 1000 youth</v>
      </c>
      <c r="L42" s="57">
        <v>1000</v>
      </c>
      <c r="M42" s="57"/>
      <c r="R42" s="49"/>
    </row>
    <row r="43" spans="2:18" ht="15" hidden="1" customHeight="1">
      <c r="B43" s="49" t="s">
        <v>87</v>
      </c>
      <c r="C43" s="56">
        <f>C7/100</f>
        <v>2.61</v>
      </c>
      <c r="D43" s="56">
        <f>E7/100</f>
        <v>3.84</v>
      </c>
      <c r="E43" s="56">
        <f>MAX(C43:D43,0)</f>
        <v>3.84</v>
      </c>
      <c r="G43" s="1" t="str">
        <f>B43</f>
        <v>per 100 arrests</v>
      </c>
      <c r="L43" s="57">
        <v>100</v>
      </c>
      <c r="M43" s="57"/>
      <c r="R43" s="49"/>
    </row>
    <row r="44" spans="2:18" ht="15" hidden="1" customHeight="1">
      <c r="B44" s="49" t="s">
        <v>88</v>
      </c>
      <c r="C44" s="56">
        <f>C8/100</f>
        <v>6.17</v>
      </c>
      <c r="D44" s="56">
        <f>E8/100</f>
        <v>5.48</v>
      </c>
      <c r="E44" s="56">
        <f>MAX(C44:D44,0)</f>
        <v>6.17</v>
      </c>
      <c r="G44" s="1" t="str">
        <f>B44</f>
        <v>per 100 referrals</v>
      </c>
      <c r="L44" s="57">
        <v>100</v>
      </c>
      <c r="M44" s="57"/>
      <c r="R44" s="49"/>
    </row>
    <row r="45" spans="2:18" ht="15" hidden="1" customHeight="1">
      <c r="B45" s="49" t="s">
        <v>89</v>
      </c>
      <c r="C45" s="49">
        <f>C11/100</f>
        <v>1.77</v>
      </c>
      <c r="D45" s="49">
        <f>E11/100</f>
        <v>1.59</v>
      </c>
      <c r="E45" s="56">
        <f>MAX(C45:D45,0)</f>
        <v>1.77</v>
      </c>
      <c r="G45" s="1" t="str">
        <f>B45</f>
        <v>per 100 youth petitioned</v>
      </c>
      <c r="L45" s="57">
        <v>100</v>
      </c>
      <c r="M45" s="57"/>
      <c r="R45" s="49"/>
    </row>
    <row r="46" spans="2:18" ht="15" hidden="1" customHeight="1">
      <c r="B46" s="49" t="s">
        <v>90</v>
      </c>
      <c r="C46" s="49">
        <f>C12/100</f>
        <v>1.37</v>
      </c>
      <c r="D46" s="49">
        <f>E12/100</f>
        <v>0.85</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38.524000000000001</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3.84</v>
      </c>
      <c r="E49" s="49">
        <f>MAX(C49:D49)</f>
        <v>3.84</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5.48</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1.59</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0.85</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38.524000000000001</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3.84</v>
      </c>
      <c r="E55" s="49">
        <f>MAX(C55:D55)</f>
        <v>3.84</v>
      </c>
      <c r="G55" s="1" t="str">
        <f>G49</f>
        <v>per 100 arrests</v>
      </c>
      <c r="L55" s="58">
        <f>IF(($E49&gt;0),L49,L48)</f>
        <v>100</v>
      </c>
      <c r="M55" s="58"/>
    </row>
    <row r="56" spans="2:18" ht="15" hidden="1" customHeight="1">
      <c r="B56" s="49" t="str">
        <f t="shared" si="10"/>
        <v>per 100 referrals</v>
      </c>
      <c r="C56" s="49">
        <f t="shared" si="10"/>
        <v>6.17</v>
      </c>
      <c r="D56" s="49">
        <f t="shared" si="10"/>
        <v>5.48</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1.59</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0.85</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38.524000000000001</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3.84</v>
      </c>
      <c r="E61" s="49">
        <f>MAX(C61:D61)</f>
        <v>3.84</v>
      </c>
      <c r="G61" s="1" t="str">
        <f>G55</f>
        <v>per 100 arrests</v>
      </c>
      <c r="L61" s="58">
        <f>IF(($E55&gt;0),L55,L54)</f>
        <v>100</v>
      </c>
      <c r="M61" s="58"/>
    </row>
    <row r="62" spans="2:18" ht="15" hidden="1" customHeight="1">
      <c r="B62" s="49" t="str">
        <f t="shared" si="11"/>
        <v>per 100 referrals</v>
      </c>
      <c r="C62" s="49">
        <f t="shared" si="11"/>
        <v>6.17</v>
      </c>
      <c r="D62" s="49">
        <f t="shared" si="11"/>
        <v>5.48</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1.59</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0.85</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38.524000000000001</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3.84</v>
      </c>
      <c r="E67" s="49">
        <f>MAX(C67:D67)</f>
        <v>3.84</v>
      </c>
      <c r="G67" s="1" t="str">
        <f>G61</f>
        <v>per 100 arrests</v>
      </c>
      <c r="L67" s="58">
        <f>IF(($E61&gt;0),L61,L60)</f>
        <v>100</v>
      </c>
      <c r="M67" s="58">
        <f>IF((B67=G67),1,2)</f>
        <v>1</v>
      </c>
    </row>
    <row r="68" spans="2:13" ht="15" hidden="1" customHeight="1">
      <c r="B68" s="49" t="str">
        <f t="shared" si="12"/>
        <v>per 100 referrals</v>
      </c>
      <c r="C68" s="49">
        <f t="shared" si="12"/>
        <v>6.17</v>
      </c>
      <c r="D68" s="49">
        <f t="shared" si="12"/>
        <v>5.48</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1.59</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0.85</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Oakland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6.1453094535994941</v>
      </c>
      <c r="D7" s="72">
        <f>Hispanic!G7</f>
        <v>1.03510040466314</v>
      </c>
      <c r="E7" s="72" t="str">
        <f>Asian!G7</f>
        <v>**</v>
      </c>
      <c r="F7" s="72" t="str">
        <f>Hawaiian!G7</f>
        <v>*</v>
      </c>
      <c r="G7" s="72" t="str">
        <f>'Am Indian'!G7</f>
        <v>*</v>
      </c>
      <c r="H7" s="72" t="str">
        <f>'Other - Mixed'!G7</f>
        <v>*</v>
      </c>
      <c r="I7" s="73">
        <f>'All Minorities'!G7</f>
        <v>3.1162971105040351</v>
      </c>
      <c r="L7" s="1">
        <f>'Black or African-American'!L7</f>
        <v>1</v>
      </c>
      <c r="M7" s="1">
        <f>Hispanic!L7</f>
        <v>2</v>
      </c>
      <c r="N7" s="1">
        <f>Asian!L7</f>
        <v>20</v>
      </c>
      <c r="O7" s="1" t="e">
        <f>Hawaiian!L7</f>
        <v>#DIV/0!</v>
      </c>
      <c r="P7" s="1">
        <f>'Am Indian'!L7</f>
        <v>139</v>
      </c>
      <c r="Q7" s="1" t="e">
        <f>'Other - Mixed'!L7</f>
        <v>#VALUE!</v>
      </c>
      <c r="R7" s="1">
        <f>'All Minorities'!L7</f>
        <v>1</v>
      </c>
    </row>
    <row r="8" spans="2:18" ht="15" customHeight="1">
      <c r="B8" s="71" t="s">
        <v>9</v>
      </c>
      <c r="C8" s="72">
        <f>'Black or African-American'!$G8</f>
        <v>0.62906753725624953</v>
      </c>
      <c r="D8" s="72" t="str">
        <f>Hispanic!G8</f>
        <v>**</v>
      </c>
      <c r="E8" s="72" t="str">
        <f>Asian!G8</f>
        <v>**</v>
      </c>
      <c r="F8" s="72" t="str">
        <f>Hawaiian!G8</f>
        <v>*</v>
      </c>
      <c r="G8" s="72" t="str">
        <f>'Am Indian'!G8</f>
        <v>*</v>
      </c>
      <c r="H8" s="72" t="str">
        <f>'Other - Mixed'!G8</f>
        <v>*</v>
      </c>
      <c r="I8" s="73">
        <f>'All Minorities'!G8</f>
        <v>0.60367706645056729</v>
      </c>
      <c r="L8" s="1">
        <f>'Black or African-American'!L8</f>
        <v>1</v>
      </c>
      <c r="M8" s="1">
        <f>Hispanic!L8</f>
        <v>20</v>
      </c>
      <c r="N8" s="1">
        <f>Asian!L8</f>
        <v>40</v>
      </c>
      <c r="O8" s="1">
        <f>Hawaiian!L8</f>
        <v>139</v>
      </c>
      <c r="P8" s="1">
        <f>'Am Indian'!L8</f>
        <v>139</v>
      </c>
      <c r="Q8" s="1">
        <f>'Other - Mixed'!L8</f>
        <v>119</v>
      </c>
      <c r="R8" s="1">
        <f>'All Minorities'!L8</f>
        <v>1</v>
      </c>
    </row>
    <row r="9" spans="2:18" ht="15" customHeight="1">
      <c r="B9" s="71" t="s">
        <v>10</v>
      </c>
      <c r="C9" s="72">
        <f>'Black or African-American'!$G9</f>
        <v>0.64013635689936266</v>
      </c>
      <c r="D9" s="72" t="str">
        <f>Hispanic!G9</f>
        <v>**</v>
      </c>
      <c r="E9" s="72" t="str">
        <f>Asian!G9</f>
        <v>**</v>
      </c>
      <c r="F9" s="72" t="str">
        <f>Hawaiian!G9</f>
        <v>*</v>
      </c>
      <c r="G9" s="72" t="str">
        <f>'Am Indian'!G9</f>
        <v>*</v>
      </c>
      <c r="H9" s="72" t="str">
        <f>'Other - Mixed'!G9</f>
        <v>*</v>
      </c>
      <c r="I9" s="73">
        <f>'All Minorities'!G9</f>
        <v>0.64956485120718699</v>
      </c>
      <c r="L9" s="1">
        <f>'Black or African-American'!L9</f>
        <v>1</v>
      </c>
      <c r="M9" s="1">
        <f>Hispanic!L9</f>
        <v>40</v>
      </c>
      <c r="N9" s="1">
        <f>Asian!L9</f>
        <v>40</v>
      </c>
      <c r="O9" s="1" t="e">
        <f>Hawaiian!L9</f>
        <v>#VALUE!</v>
      </c>
      <c r="P9" s="1" t="e">
        <f>'Am Indian'!L9</f>
        <v>#VALUE!</v>
      </c>
      <c r="Q9" s="1">
        <f>'Other - Mixed'!L9</f>
        <v>139</v>
      </c>
      <c r="R9" s="1">
        <f>'All Minorities'!L9</f>
        <v>1</v>
      </c>
    </row>
    <row r="10" spans="2:18" ht="15" customHeight="1">
      <c r="B10" s="71" t="s">
        <v>11</v>
      </c>
      <c r="C10" s="72">
        <f>'Black or African-American'!$G10</f>
        <v>1.4828350632937615</v>
      </c>
      <c r="D10" s="72" t="str">
        <f>Hispanic!G10</f>
        <v>**</v>
      </c>
      <c r="E10" s="72" t="str">
        <f>Asian!G10</f>
        <v>**</v>
      </c>
      <c r="F10" s="72" t="str">
        <f>Hawaiian!G10</f>
        <v>*</v>
      </c>
      <c r="G10" s="72" t="str">
        <f>'Am Indian'!G10</f>
        <v>*</v>
      </c>
      <c r="H10" s="72" t="str">
        <f>'Other - Mixed'!G10</f>
        <v>*</v>
      </c>
      <c r="I10" s="73">
        <f>'All Minorities'!G10</f>
        <v>1.4527902048504826</v>
      </c>
      <c r="L10" s="1">
        <f>'Black or African-American'!L10</f>
        <v>1</v>
      </c>
      <c r="M10" s="1">
        <f>Hispanic!L10</f>
        <v>40</v>
      </c>
      <c r="N10" s="1">
        <f>Asian!L10</f>
        <v>40</v>
      </c>
      <c r="O10" s="1" t="e">
        <f>Hawaiian!L10</f>
        <v>#VALUE!</v>
      </c>
      <c r="P10" s="1" t="e">
        <f>'Am Indian'!L10</f>
        <v>#VALUE!</v>
      </c>
      <c r="Q10" s="1">
        <f>'Other - Mixed'!L10</f>
        <v>139</v>
      </c>
      <c r="R10" s="1">
        <f>'All Minorities'!L10</f>
        <v>1</v>
      </c>
    </row>
    <row r="11" spans="2:18" ht="15" customHeight="1">
      <c r="B11" s="71" t="s">
        <v>95</v>
      </c>
      <c r="C11" s="72">
        <f>'Black or African-American'!$G11</f>
        <v>1.0007620042889955</v>
      </c>
      <c r="D11" s="72" t="str">
        <f>Hispanic!G11</f>
        <v>**</v>
      </c>
      <c r="E11" s="72" t="str">
        <f>Asian!G11</f>
        <v>**</v>
      </c>
      <c r="F11" s="72" t="str">
        <f>Hawaiian!G11</f>
        <v>*</v>
      </c>
      <c r="G11" s="72" t="str">
        <f>'Am Indian'!G11</f>
        <v>*</v>
      </c>
      <c r="H11" s="72" t="str">
        <f>'Other - Mixed'!G11</f>
        <v>*</v>
      </c>
      <c r="I11" s="73">
        <f>'All Minorities'!G11</f>
        <v>1.0114128417666708</v>
      </c>
      <c r="L11" s="1">
        <f>'Black or African-American'!L11</f>
        <v>2</v>
      </c>
      <c r="M11" s="1">
        <f>Hispanic!L11</f>
        <v>40</v>
      </c>
      <c r="N11" s="1">
        <f>Asian!L11</f>
        <v>40</v>
      </c>
      <c r="O11" s="1" t="e">
        <f>Hawaiian!L11</f>
        <v>#VALUE!</v>
      </c>
      <c r="P11" s="1" t="e">
        <f>'Am Indian'!L11</f>
        <v>#VALUE!</v>
      </c>
      <c r="Q11" s="1">
        <f>'Other - Mixed'!L11</f>
        <v>139</v>
      </c>
      <c r="R11" s="1">
        <f>'All Minorities'!L11</f>
        <v>2</v>
      </c>
    </row>
    <row r="12" spans="2:18" ht="15" customHeight="1">
      <c r="B12" s="71" t="s">
        <v>13</v>
      </c>
      <c r="C12" s="72">
        <f>'Black or African-American'!$G12</f>
        <v>0.6763337089109881</v>
      </c>
      <c r="D12" s="72" t="str">
        <f>Hispanic!G12</f>
        <v>**</v>
      </c>
      <c r="E12" s="72" t="str">
        <f>Asian!G12</f>
        <v>**</v>
      </c>
      <c r="F12" s="72" t="str">
        <f>Hawaiian!G12</f>
        <v>*</v>
      </c>
      <c r="G12" s="72" t="str">
        <f>'Am Indian'!G12</f>
        <v>*</v>
      </c>
      <c r="H12" s="72" t="str">
        <f>'Other - Mixed'!G12</f>
        <v>*</v>
      </c>
      <c r="I12" s="73">
        <f>'All Minorities'!G12</f>
        <v>0.69067621539732815</v>
      </c>
      <c r="L12" s="1">
        <f>'Black or African-American'!L12</f>
        <v>1</v>
      </c>
      <c r="M12" s="1">
        <f>Hispanic!L12</f>
        <v>40</v>
      </c>
      <c r="N12" s="1">
        <f>Asian!L12</f>
        <v>40</v>
      </c>
      <c r="O12" s="1" t="e">
        <f>Hawaiian!L12</f>
        <v>#VALUE!</v>
      </c>
      <c r="P12" s="1" t="e">
        <f>'Am Indian'!L12</f>
        <v>#VALUE!</v>
      </c>
      <c r="Q12" s="1">
        <f>'Other - Mixed'!L12</f>
        <v>139</v>
      </c>
      <c r="R12" s="1">
        <f>'All Minorities'!L12</f>
        <v>1</v>
      </c>
    </row>
    <row r="13" spans="2:18" ht="15" customHeight="1">
      <c r="B13" s="71" t="s">
        <v>14</v>
      </c>
      <c r="C13" s="72">
        <f>'Black or African-American'!$G13</f>
        <v>1.0808678500986193</v>
      </c>
      <c r="D13" s="72" t="str">
        <f>Hispanic!G13</f>
        <v>**</v>
      </c>
      <c r="E13" s="72" t="str">
        <f>Asian!G13</f>
        <v>**</v>
      </c>
      <c r="F13" s="72" t="str">
        <f>Hawaiian!G13</f>
        <v>*</v>
      </c>
      <c r="G13" s="72" t="str">
        <f>'Am Indian'!G13</f>
        <v>*</v>
      </c>
      <c r="H13" s="72" t="str">
        <f>'Other - Mixed'!G13</f>
        <v>*</v>
      </c>
      <c r="I13" s="73">
        <f>'All Minorities'!G13</f>
        <v>0.99185520361990964</v>
      </c>
      <c r="L13" s="1">
        <f>'Black or African-American'!L13</f>
        <v>2</v>
      </c>
      <c r="M13" s="1">
        <f>Hispanic!L13</f>
        <v>40</v>
      </c>
      <c r="N13" s="1">
        <f>Asian!L13</f>
        <v>40</v>
      </c>
      <c r="O13" s="1" t="e">
        <f>Hawaiian!L13</f>
        <v>#VALUE!</v>
      </c>
      <c r="P13" s="1" t="e">
        <f>'Am Indian'!L13</f>
        <v>#VALUE!</v>
      </c>
      <c r="Q13" s="1">
        <f>'Other - Mixed'!L13</f>
        <v>139</v>
      </c>
      <c r="R13" s="1">
        <f>'All Minorities'!L13</f>
        <v>2</v>
      </c>
    </row>
    <row r="14" spans="2:18" ht="25.5" customHeight="1">
      <c r="B14" s="71" t="s">
        <v>15</v>
      </c>
      <c r="C14" s="72">
        <f>'Black or African-American'!$G14</f>
        <v>1.6824561403508773</v>
      </c>
      <c r="D14" s="72" t="str">
        <f>Hispanic!G14</f>
        <v>**</v>
      </c>
      <c r="E14" s="72" t="str">
        <f>Asian!G14</f>
        <v>**</v>
      </c>
      <c r="F14" s="72" t="str">
        <f>Hawaiian!G14</f>
        <v>*</v>
      </c>
      <c r="G14" s="72" t="str">
        <f>'Am Indian'!G14</f>
        <v>*</v>
      </c>
      <c r="H14" s="72" t="str">
        <f>'Other - Mixed'!G14</f>
        <v>*</v>
      </c>
      <c r="I14" s="73">
        <f>'All Minorities'!G14</f>
        <v>1.6796284829721364</v>
      </c>
      <c r="L14" s="1">
        <f>'Black or African-American'!L14</f>
        <v>1</v>
      </c>
      <c r="M14" s="1">
        <f>Hispanic!L14</f>
        <v>40</v>
      </c>
      <c r="N14" s="1">
        <f>Asian!L14</f>
        <v>40</v>
      </c>
      <c r="O14" s="1" t="e">
        <f>Hawaiian!L14</f>
        <v>#VALUE!</v>
      </c>
      <c r="P14" s="1" t="e">
        <f>'Am Indian'!L14</f>
        <v>#VALUE!</v>
      </c>
      <c r="Q14" s="1">
        <f>'Other - Mixed'!L14</f>
        <v>119</v>
      </c>
      <c r="R14" s="1">
        <f>'All Minorities'!L14</f>
        <v>1</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120122</v>
      </c>
      <c r="D3" s="57">
        <f>'Data Entry'!C6</f>
        <v>81598</v>
      </c>
      <c r="E3" s="57">
        <f>'Data Entry'!D6</f>
        <v>17755</v>
      </c>
      <c r="F3" s="57">
        <f>'Data Entry'!E6</f>
        <v>8759</v>
      </c>
      <c r="G3" s="57">
        <f>'Data Entry'!F6</f>
        <v>11536</v>
      </c>
      <c r="H3" s="57">
        <f>'Data Entry'!G6</f>
        <v>0</v>
      </c>
      <c r="I3" s="57">
        <f>'Data Entry'!H6</f>
        <v>474</v>
      </c>
      <c r="J3" s="57">
        <f>'Data Entry'!I6</f>
        <v>0</v>
      </c>
      <c r="K3" s="57">
        <f>'Data Entry'!J6</f>
        <v>38524</v>
      </c>
    </row>
    <row r="4" spans="2:11" ht="15" customHeight="1">
      <c r="B4" s="16" t="s">
        <v>8</v>
      </c>
      <c r="C4" s="1">
        <f>IF((C$3&gt;0),(1000*('Data Entry'!B7/'Data Entry'!B$6)), 0)</f>
        <v>5.4777642729891269</v>
      </c>
      <c r="D4" s="1">
        <f>IF((D$3&gt;0),(1000*('Data Entry'!C7/'Data Entry'!C$6)), 0)</f>
        <v>3.1986078090149266</v>
      </c>
      <c r="E4" s="1">
        <f>IF((E$3&gt;0),(1000*('Data Entry'!D7/'Data Entry'!D$6)), 0)</f>
        <v>19.656434807096591</v>
      </c>
      <c r="F4" s="1">
        <f>IF((F$3&gt;0),(1000*('Data Entry'!E7/'Data Entry'!E$6)), 0)</f>
        <v>3.3108802374700312</v>
      </c>
      <c r="G4" s="1">
        <f>IF((G$3&gt;0),(1000*('Data Entry'!F7/'Data Entry'!F$6)), 0)</f>
        <v>0.34674063800277394</v>
      </c>
      <c r="H4" s="1">
        <f>IF((H$3&gt;0),(1000*('Data Entry'!G7/'Data Entry'!G$6)), 0)</f>
        <v>0</v>
      </c>
      <c r="I4" s="1">
        <f>IF((I$3&gt;0),(1000*('Data Entry'!H7/'Data Entry'!H$6)), 0)</f>
        <v>0</v>
      </c>
      <c r="J4" s="1">
        <f>IF((J$3&gt;0),(1000*('Data Entry'!I7/'Data Entry'!I$6)), 0)</f>
        <v>0</v>
      </c>
      <c r="K4" s="1">
        <f>IF((K$3&gt;0),(1000*('Data Entry'!J7/'Data Entry'!J$6)), 0)</f>
        <v>9.9678122728688603</v>
      </c>
    </row>
    <row r="5" spans="2:11" ht="15" customHeight="1">
      <c r="B5" s="16" t="s">
        <v>9</v>
      </c>
      <c r="C5" s="1">
        <f>IF((C$3&gt;0),(1000*('Data Entry'!B8/'Data Entry'!B$6)), 0)</f>
        <v>10.239589750420407</v>
      </c>
      <c r="D5" s="1">
        <f>IF((D$3&gt;0),(1000*('Data Entry'!C8/'Data Entry'!C$6)), 0)</f>
        <v>7.5614598397019535</v>
      </c>
      <c r="E5" s="1">
        <f>IF((E$3&gt;0),(1000*('Data Entry'!D8/'Data Entry'!D$6)), 0)</f>
        <v>29.23120247817516</v>
      </c>
      <c r="F5" s="1">
        <f>IF((F$3&gt;0),(1000*('Data Entry'!E8/'Data Entry'!E$6)), 0)</f>
        <v>1.4841876926589792</v>
      </c>
      <c r="G5" s="1">
        <f>IF((G$3&gt;0),(1000*('Data Entry'!F8/'Data Entry'!F$6)), 0)</f>
        <v>0.52011095700416088</v>
      </c>
      <c r="H5" s="1">
        <f>IF((H$3&gt;0),(1000*('Data Entry'!G8/'Data Entry'!G$6)), 0)</f>
        <v>0</v>
      </c>
      <c r="I5" s="1">
        <f>IF((I$3&gt;0),(1000*('Data Entry'!H8/'Data Entry'!H$6)), 0)</f>
        <v>0</v>
      </c>
      <c r="J5" s="1">
        <f>IF((J$3&gt;0),(1000*('Data Entry'!I8/'Data Entry'!I$6)), 0)</f>
        <v>0</v>
      </c>
      <c r="K5" s="1">
        <f>IF((K$3&gt;0),(1000*('Data Entry'!J8/'Data Entry'!J$6)), 0)</f>
        <v>14.224898764406603</v>
      </c>
    </row>
    <row r="6" spans="2:11" ht="15" customHeight="1">
      <c r="B6" s="16" t="s">
        <v>10</v>
      </c>
      <c r="C6" s="1">
        <f>IF((C$3&gt;0),(1000*('Data Entry'!B9/'Data Entry'!B$6)), 0)</f>
        <v>0.70761392584206051</v>
      </c>
      <c r="D6" s="1">
        <f>IF((D$3&gt;0),(1000*('Data Entry'!C9/'Data Entry'!C$6)), 0)</f>
        <v>0.63727052133630724</v>
      </c>
      <c r="E6" s="1">
        <f>IF((E$3&gt;0),(1000*('Data Entry'!D9/'Data Entry'!D$6)), 0)</f>
        <v>1.5770205575894114</v>
      </c>
      <c r="F6" s="1">
        <f>IF((F$3&gt;0),(1000*('Data Entry'!E9/'Data Entry'!E$6)), 0)</f>
        <v>0</v>
      </c>
      <c r="G6" s="1">
        <f>IF((G$3&gt;0),(1000*('Data Entry'!F9/'Data Entry'!F$6)), 0)</f>
        <v>8.6685159500693484E-2</v>
      </c>
      <c r="H6" s="1">
        <f>IF((H$3&gt;0),(1000*('Data Entry'!G9/'Data Entry'!G$6)), 0)</f>
        <v>0</v>
      </c>
      <c r="I6" s="1">
        <f>IF((I$3&gt;0),(1000*('Data Entry'!H9/'Data Entry'!H$6)), 0)</f>
        <v>0</v>
      </c>
      <c r="J6" s="1">
        <f>IF((J$3&gt;0),(1000*('Data Entry'!I9/'Data Entry'!I$6)), 0)</f>
        <v>0</v>
      </c>
      <c r="K6" s="1">
        <f>IF((K$3&gt;0),(1000*('Data Entry'!J9/'Data Entry'!J$6)), 0)</f>
        <v>0.77873533381787974</v>
      </c>
    </row>
    <row r="7" spans="2:11" ht="15" customHeight="1">
      <c r="B7" s="16" t="s">
        <v>11</v>
      </c>
      <c r="C7" s="1">
        <f>IF((C$3&gt;0),(1000*('Data Entry'!B10/'Data Entry'!B$6)), 0)</f>
        <v>1.8897454254840911</v>
      </c>
      <c r="D7" s="1">
        <f>IF((D$3&gt;0),(1000*('Data Entry'!C10/'Data Entry'!C$6)), 0)</f>
        <v>1.1397338170053188</v>
      </c>
      <c r="E7" s="1">
        <f>IF((E$3&gt;0),(1000*('Data Entry'!D10/'Data Entry'!D$6)), 0)</f>
        <v>6.5333708814418472</v>
      </c>
      <c r="F7" s="1">
        <f>IF((F$3&gt;0),(1000*('Data Entry'!E10/'Data Entry'!E$6)), 0)</f>
        <v>0.22833656810138145</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3.114941335271519</v>
      </c>
    </row>
    <row r="8" spans="2:11" ht="15" customHeight="1">
      <c r="B8" s="16" t="s">
        <v>95</v>
      </c>
      <c r="C8" s="1">
        <f>IF((C$3&gt;0),(1000*('Data Entry'!B11/'Data Entry'!B$6)), 0)</f>
        <v>2.9553287491050768</v>
      </c>
      <c r="D8" s="1">
        <f>IF((D$3&gt;0),(1000*('Data Entry'!C11/'Data Entry'!C$6)), 0)</f>
        <v>2.169170813010123</v>
      </c>
      <c r="E8" s="1">
        <f>IF((E$3&gt;0),(1000*('Data Entry'!D11/'Data Entry'!D$6)), 0)</f>
        <v>8.3920022528865115</v>
      </c>
      <c r="F8" s="1">
        <f>IF((F$3&gt;0),(1000*('Data Entry'!E11/'Data Entry'!E$6)), 0)</f>
        <v>0.68500970430414432</v>
      </c>
      <c r="G8" s="1">
        <f>IF((G$3&gt;0),(1000*('Data Entry'!F11/'Data Entry'!F$6)), 0)</f>
        <v>8.6685159500693484E-2</v>
      </c>
      <c r="H8" s="1">
        <f>IF((H$3&gt;0),(1000*('Data Entry'!G11/'Data Entry'!G$6)), 0)</f>
        <v>0</v>
      </c>
      <c r="I8" s="1">
        <f>IF((I$3&gt;0),(1000*('Data Entry'!H11/'Data Entry'!H$6)), 0)</f>
        <v>0</v>
      </c>
      <c r="J8" s="1">
        <f>IF((J$3&gt;0),(1000*('Data Entry'!I11/'Data Entry'!I$6)), 0)</f>
        <v>0</v>
      </c>
      <c r="K8" s="1">
        <f>IF((K$3&gt;0),(1000*('Data Entry'!J11/'Data Entry'!J$6)), 0)</f>
        <v>4.127297269234762</v>
      </c>
    </row>
    <row r="9" spans="2:11" ht="15" customHeight="1">
      <c r="B9" s="16" t="s">
        <v>13</v>
      </c>
      <c r="C9" s="1">
        <f>IF((C$3&gt;0),(1000*('Data Entry'!B12/'Data Entry'!B$6)), 0)</f>
        <v>1.9563443832104026</v>
      </c>
      <c r="D9" s="1">
        <f>IF((D$3&gt;0),(1000*('Data Entry'!C12/'Data Entry'!C$6)), 0)</f>
        <v>1.6789627196745018</v>
      </c>
      <c r="E9" s="1">
        <f>IF((E$3&gt;0),(1000*('Data Entry'!D12/'Data Entry'!D$6)), 0)</f>
        <v>4.3931286961419316</v>
      </c>
      <c r="F9" s="1">
        <f>IF((F$3&gt;0),(1000*('Data Entry'!E12/'Data Entry'!E$6)), 0)</f>
        <v>0.4566731362027629</v>
      </c>
      <c r="G9" s="1">
        <f>IF((G$3&gt;0),(1000*('Data Entry'!F12/'Data Entry'!F$6)), 0)</f>
        <v>8.6685159500693484E-2</v>
      </c>
      <c r="H9" s="1">
        <f>IF((H$3&gt;0),(1000*('Data Entry'!G12/'Data Entry'!G$6)), 0)</f>
        <v>0</v>
      </c>
      <c r="I9" s="1">
        <f>IF((I$3&gt;0),(1000*('Data Entry'!H12/'Data Entry'!H$6)), 0)</f>
        <v>0</v>
      </c>
      <c r="J9" s="1">
        <f>IF((J$3&gt;0),(1000*('Data Entry'!I12/'Data Entry'!I$6)), 0)</f>
        <v>0</v>
      </c>
      <c r="K9" s="1">
        <f>IF((K$3&gt;0),(1000*('Data Entry'!J12/'Data Entry'!J$6)), 0)</f>
        <v>2.2064167791506595</v>
      </c>
    </row>
    <row r="10" spans="2:11" ht="15" customHeight="1">
      <c r="B10" s="16" t="s">
        <v>14</v>
      </c>
      <c r="C10" s="1">
        <f>IF((C$3&gt;0),(1000*('Data Entry'!B13/'Data Entry'!B$6)), 0)</f>
        <v>0.1914720034631458</v>
      </c>
      <c r="D10" s="1">
        <f>IF((D$3&gt;0),(1000*('Data Entry'!C13/'Data Entry'!C$6)), 0)</f>
        <v>0.15931763033407681</v>
      </c>
      <c r="E10" s="1">
        <f>IF((E$3&gt;0),(1000*('Data Entry'!D13/'Data Entry'!D$6)), 0)</f>
        <v>0.45057730216840325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0.20766275568476794</v>
      </c>
    </row>
    <row r="11" spans="2:11" ht="25.5" customHeight="1">
      <c r="B11" s="16" t="s">
        <v>15</v>
      </c>
      <c r="C11" s="1">
        <f>IF((C$3&gt;0),(1000*('Data Entry'!B14/'Data Entry'!B$6)), 0)</f>
        <v>1.6566490734420005</v>
      </c>
      <c r="D11" s="1">
        <f>IF((D$3&gt;0),(1000*('Data Entry'!C14/'Data Entry'!C$6)), 0)</f>
        <v>1.1642442216720998</v>
      </c>
      <c r="E11" s="1">
        <f>IF((E$3&gt;0),(1000*('Data Entry'!D14/'Data Entry'!D$6)), 0)</f>
        <v>5.125316812165587</v>
      </c>
      <c r="F11" s="1">
        <f>IF((F$3&gt;0),(1000*('Data Entry'!E14/'Data Entry'!E$6)), 0)</f>
        <v>0.22833656810138145</v>
      </c>
      <c r="G11" s="1">
        <f>IF((G$3&gt;0),(1000*('Data Entry'!F14/'Data Entry'!F$6)), 0)</f>
        <v>8.6685159500693484E-2</v>
      </c>
      <c r="H11" s="1">
        <f>IF((H$3&gt;0),(1000*('Data Entry'!G14/'Data Entry'!G$6)), 0)</f>
        <v>0</v>
      </c>
      <c r="I11" s="1">
        <f>IF((I$3&gt;0),(1000*('Data Entry'!H14/'Data Entry'!H$6)), 0)</f>
        <v>0</v>
      </c>
      <c r="J11" s="1">
        <f>IF((J$3&gt;0),(1000*('Data Entry'!I14/'Data Entry'!I$6)), 0)</f>
        <v>0</v>
      </c>
      <c r="K11" s="1">
        <f>IF((K$3&gt;0),(1000*('Data Entry'!J14/'Data Entry'!J$6)), 0)</f>
        <v>2.569826601599003</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Oakland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6.1453094535994932</v>
      </c>
      <c r="E19" s="72">
        <f t="shared" si="1"/>
        <v>1.0351004046631402</v>
      </c>
      <c r="F19" s="72">
        <f t="shared" si="1"/>
        <v>0.108403611416668</v>
      </c>
      <c r="G19" s="72" t="str">
        <f t="shared" si="1"/>
        <v>--</v>
      </c>
      <c r="H19" s="72" t="str">
        <f t="shared" si="1"/>
        <v>--</v>
      </c>
      <c r="I19" s="72" t="str">
        <f t="shared" si="1"/>
        <v>--</v>
      </c>
      <c r="J19" s="73">
        <f t="shared" si="1"/>
        <v>3.1162971105040356</v>
      </c>
    </row>
    <row r="20" spans="2:10" ht="15" customHeight="1">
      <c r="B20" s="71" t="s">
        <v>9</v>
      </c>
      <c r="C20" s="72">
        <f t="shared" ref="C20:J27" si="2">IF(AND(($D5&gt;0),(D5&gt;0)), (D5/$D5),"--")</f>
        <v>1</v>
      </c>
      <c r="D20" s="72">
        <f t="shared" si="2"/>
        <v>3.8658146836533818</v>
      </c>
      <c r="E20" s="72">
        <f t="shared" si="2"/>
        <v>0.19628322098150305</v>
      </c>
      <c r="F20" s="72">
        <f t="shared" si="2"/>
        <v>6.8784463321921424E-2</v>
      </c>
      <c r="G20" s="72" t="str">
        <f t="shared" si="2"/>
        <v>--</v>
      </c>
      <c r="H20" s="72" t="str">
        <f t="shared" si="2"/>
        <v>--</v>
      </c>
      <c r="I20" s="72" t="str">
        <f t="shared" si="2"/>
        <v>--</v>
      </c>
      <c r="J20" s="73">
        <f t="shared" si="2"/>
        <v>1.8812370978574555</v>
      </c>
    </row>
    <row r="21" spans="2:10" ht="15" customHeight="1">
      <c r="B21" s="71" t="s">
        <v>10</v>
      </c>
      <c r="C21" s="72">
        <f t="shared" si="2"/>
        <v>1</v>
      </c>
      <c r="D21" s="72">
        <f t="shared" si="2"/>
        <v>2.4746485280419384</v>
      </c>
      <c r="E21" s="72" t="str">
        <f t="shared" si="2"/>
        <v>--</v>
      </c>
      <c r="F21" s="72">
        <f t="shared" si="2"/>
        <v>0.13602568547956898</v>
      </c>
      <c r="G21" s="72" t="str">
        <f t="shared" si="2"/>
        <v>--</v>
      </c>
      <c r="H21" s="72" t="str">
        <f t="shared" si="2"/>
        <v>--</v>
      </c>
      <c r="I21" s="72" t="str">
        <f t="shared" si="2"/>
        <v>--</v>
      </c>
      <c r="J21" s="73">
        <f t="shared" si="2"/>
        <v>1.2219854955552183</v>
      </c>
    </row>
    <row r="22" spans="2:10" ht="15" customHeight="1">
      <c r="B22" s="71" t="s">
        <v>11</v>
      </c>
      <c r="C22" s="72">
        <f t="shared" si="2"/>
        <v>1</v>
      </c>
      <c r="D22" s="72">
        <f t="shared" si="2"/>
        <v>5.732365561117116</v>
      </c>
      <c r="E22" s="72">
        <f t="shared" si="2"/>
        <v>0.20034201380576905</v>
      </c>
      <c r="F22" s="72" t="str">
        <f t="shared" si="2"/>
        <v>--</v>
      </c>
      <c r="G22" s="72" t="str">
        <f t="shared" si="2"/>
        <v>--</v>
      </c>
      <c r="H22" s="72" t="str">
        <f t="shared" si="2"/>
        <v>--</v>
      </c>
      <c r="I22" s="72" t="str">
        <f t="shared" si="2"/>
        <v>--</v>
      </c>
      <c r="J22" s="73">
        <f t="shared" si="2"/>
        <v>2.7330428287686601</v>
      </c>
    </row>
    <row r="23" spans="2:10" ht="15" customHeight="1">
      <c r="B23" s="71" t="s">
        <v>95</v>
      </c>
      <c r="C23" s="72">
        <f t="shared" si="2"/>
        <v>1</v>
      </c>
      <c r="D23" s="72">
        <f t="shared" si="2"/>
        <v>3.868760451022788</v>
      </c>
      <c r="E23" s="72">
        <f t="shared" si="2"/>
        <v>0.31579334379553425</v>
      </c>
      <c r="F23" s="72">
        <f t="shared" si="2"/>
        <v>3.9962348276483539E-2</v>
      </c>
      <c r="G23" s="72" t="str">
        <f t="shared" si="2"/>
        <v>--</v>
      </c>
      <c r="H23" s="72" t="str">
        <f t="shared" si="2"/>
        <v>--</v>
      </c>
      <c r="I23" s="72" t="str">
        <f t="shared" si="2"/>
        <v>--</v>
      </c>
      <c r="J23" s="73">
        <f t="shared" si="2"/>
        <v>1.9027073591808932</v>
      </c>
    </row>
    <row r="24" spans="2:10" ht="15" customHeight="1">
      <c r="B24" s="71" t="s">
        <v>13</v>
      </c>
      <c r="C24" s="72">
        <f t="shared" si="2"/>
        <v>1</v>
      </c>
      <c r="D24" s="72">
        <f t="shared" si="2"/>
        <v>2.6165731047283893</v>
      </c>
      <c r="E24" s="72">
        <f t="shared" si="2"/>
        <v>0.27199718662681055</v>
      </c>
      <c r="F24" s="72">
        <f t="shared" si="2"/>
        <v>5.1630187189325452E-2</v>
      </c>
      <c r="G24" s="72" t="str">
        <f t="shared" si="2"/>
        <v>--</v>
      </c>
      <c r="H24" s="72" t="str">
        <f t="shared" si="2"/>
        <v>--</v>
      </c>
      <c r="I24" s="72" t="str">
        <f t="shared" si="2"/>
        <v>--</v>
      </c>
      <c r="J24" s="73">
        <f t="shared" si="2"/>
        <v>1.3141547178477044</v>
      </c>
    </row>
    <row r="25" spans="2:10" ht="15" customHeight="1">
      <c r="B25" s="71" t="s">
        <v>14</v>
      </c>
      <c r="C25" s="72">
        <f t="shared" si="2"/>
        <v>1</v>
      </c>
      <c r="D25" s="72">
        <f t="shared" si="2"/>
        <v>2.8281697463336437</v>
      </c>
      <c r="E25" s="72" t="str">
        <f t="shared" si="2"/>
        <v>--</v>
      </c>
      <c r="F25" s="72" t="str">
        <f t="shared" si="2"/>
        <v>--</v>
      </c>
      <c r="G25" s="72" t="str">
        <f t="shared" si="2"/>
        <v>--</v>
      </c>
      <c r="H25" s="72" t="str">
        <f t="shared" si="2"/>
        <v>--</v>
      </c>
      <c r="I25" s="72" t="str">
        <f t="shared" si="2"/>
        <v>--</v>
      </c>
      <c r="J25" s="73">
        <f t="shared" si="2"/>
        <v>1.3034511952588996</v>
      </c>
    </row>
    <row r="26" spans="2:10" ht="25.5" customHeight="1">
      <c r="B26" s="71" t="s">
        <v>15</v>
      </c>
      <c r="C26" s="72">
        <f t="shared" si="2"/>
        <v>1</v>
      </c>
      <c r="D26" s="72">
        <f t="shared" si="2"/>
        <v>4.4022694867272376</v>
      </c>
      <c r="E26" s="72">
        <f t="shared" si="2"/>
        <v>0.19612428719933181</v>
      </c>
      <c r="F26" s="72">
        <f t="shared" si="2"/>
        <v>7.4456164683553538E-2</v>
      </c>
      <c r="G26" s="72" t="str">
        <f t="shared" si="2"/>
        <v>--</v>
      </c>
      <c r="H26" s="72" t="str">
        <f t="shared" si="2"/>
        <v>--</v>
      </c>
      <c r="I26" s="72" t="str">
        <f t="shared" si="2"/>
        <v>--</v>
      </c>
      <c r="J26" s="73">
        <f t="shared" si="2"/>
        <v>2.2072916951292152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Oakland</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81598</v>
      </c>
      <c r="D7" s="104">
        <f>'Data Entry'!D6</f>
        <v>17755</v>
      </c>
      <c r="E7" s="105"/>
      <c r="F7" s="106">
        <f>'Data Entry'!E6</f>
        <v>8759</v>
      </c>
      <c r="G7" s="105"/>
      <c r="H7" s="106">
        <f>'Data Entry'!F6</f>
        <v>11536</v>
      </c>
      <c r="I7" s="105"/>
      <c r="J7" s="106">
        <f>'Data Entry'!G6</f>
        <v>0</v>
      </c>
      <c r="K7" s="105"/>
      <c r="L7" s="106">
        <f>'Data Entry'!H6</f>
        <v>474</v>
      </c>
      <c r="M7" s="105"/>
      <c r="N7" s="106">
        <f>'Data Entry'!I6</f>
        <v>0</v>
      </c>
      <c r="O7" s="105"/>
      <c r="P7" s="106">
        <f>'Data Entry'!J6</f>
        <v>38524</v>
      </c>
      <c r="Q7" s="107"/>
    </row>
    <row r="8" spans="2:26" s="1" customFormat="1" ht="15" customHeight="1">
      <c r="B8" s="142" t="s">
        <v>8</v>
      </c>
      <c r="C8" s="103">
        <f>'Data Entry'!C7</f>
        <v>261</v>
      </c>
      <c r="D8" s="104">
        <f>'Data Entry'!D7</f>
        <v>349</v>
      </c>
      <c r="E8" s="105">
        <f>'Black or African-American'!$G7</f>
        <v>6.1453094535994941</v>
      </c>
      <c r="F8" s="106">
        <f>'Data Entry'!E7</f>
        <v>29</v>
      </c>
      <c r="G8" s="105">
        <f>Hispanic!G7</f>
        <v>1.03510040466314</v>
      </c>
      <c r="H8" s="106">
        <f>'Data Entry'!F7</f>
        <v>4</v>
      </c>
      <c r="I8" s="105" t="str">
        <f>Asian!G7</f>
        <v>**</v>
      </c>
      <c r="J8" s="106">
        <f>'Data Entry'!G7</f>
        <v>2</v>
      </c>
      <c r="K8" s="105" t="str">
        <f>Hawaiian!G7</f>
        <v>*</v>
      </c>
      <c r="L8" s="106">
        <f>'Data Entry'!H7</f>
        <v>0</v>
      </c>
      <c r="M8" s="105" t="str">
        <f>'Am Indian'!G7</f>
        <v>*</v>
      </c>
      <c r="N8" s="106">
        <f>'Data Entry'!I7</f>
        <v>0</v>
      </c>
      <c r="O8" s="105" t="str">
        <f>'Other - Mixed'!G7</f>
        <v>*</v>
      </c>
      <c r="P8" s="106">
        <f>'Data Entry'!J7</f>
        <v>384</v>
      </c>
      <c r="Q8" s="107">
        <f>'All Minorities'!G7</f>
        <v>3.1162971105040351</v>
      </c>
      <c r="R8"/>
      <c r="T8" s="1">
        <f>'Black or African-American'!L7</f>
        <v>1</v>
      </c>
      <c r="U8" s="1">
        <f>Hispanic!L7</f>
        <v>2</v>
      </c>
      <c r="V8" s="1">
        <f>Asian!L7</f>
        <v>20</v>
      </c>
      <c r="W8" s="1" t="e">
        <f>Hawaiian!L7</f>
        <v>#DIV/0!</v>
      </c>
      <c r="X8" s="1">
        <f>'Am Indian'!L7</f>
        <v>139</v>
      </c>
      <c r="Y8" s="1" t="e">
        <f>'Other - Mixed'!L7</f>
        <v>#VALUE!</v>
      </c>
      <c r="Z8" s="1">
        <f>'All Minorities'!L7</f>
        <v>1</v>
      </c>
    </row>
    <row r="9" spans="2:26" s="1" customFormat="1" ht="15" customHeight="1">
      <c r="B9" s="142" t="s">
        <v>126</v>
      </c>
      <c r="C9" s="103">
        <f>'Data Entry'!C8</f>
        <v>617</v>
      </c>
      <c r="D9" s="108">
        <f>'Data Entry'!D8</f>
        <v>519</v>
      </c>
      <c r="E9" s="109">
        <f>'Black or African-American'!$G8</f>
        <v>0.62906753725624953</v>
      </c>
      <c r="F9" s="110">
        <f>'Data Entry'!E8</f>
        <v>13</v>
      </c>
      <c r="G9" s="109" t="str">
        <f>Hispanic!G8</f>
        <v>**</v>
      </c>
      <c r="H9" s="110">
        <f>'Data Entry'!F8</f>
        <v>6</v>
      </c>
      <c r="I9" s="109" t="str">
        <f>Asian!G8</f>
        <v>**</v>
      </c>
      <c r="J9" s="110">
        <f>'Data Entry'!G8</f>
        <v>0</v>
      </c>
      <c r="K9" s="109" t="str">
        <f>Hawaiian!G8</f>
        <v>*</v>
      </c>
      <c r="L9" s="110">
        <f>'Data Entry'!H8</f>
        <v>0</v>
      </c>
      <c r="M9" s="109" t="str">
        <f>'Am Indian'!G8</f>
        <v>*</v>
      </c>
      <c r="N9" s="110">
        <f>'Data Entry'!I8</f>
        <v>10</v>
      </c>
      <c r="O9" s="109" t="str">
        <f>'Other - Mixed'!G8</f>
        <v>*</v>
      </c>
      <c r="P9" s="110">
        <f>'Data Entry'!J8</f>
        <v>548</v>
      </c>
      <c r="Q9" s="111">
        <f>'All Minorities'!G8</f>
        <v>0.60367706645056729</v>
      </c>
      <c r="R9"/>
      <c r="T9" s="1">
        <f>'Black or African-American'!L8</f>
        <v>1</v>
      </c>
      <c r="U9" s="1">
        <f>Hispanic!L8</f>
        <v>20</v>
      </c>
      <c r="V9" s="1">
        <f>Asian!L8</f>
        <v>40</v>
      </c>
      <c r="W9" s="1">
        <f>Hawaiian!L8</f>
        <v>139</v>
      </c>
      <c r="X9" s="1">
        <f>'Am Indian'!L8</f>
        <v>139</v>
      </c>
      <c r="Y9" s="1">
        <f>'Other - Mixed'!L8</f>
        <v>119</v>
      </c>
      <c r="Z9" s="1">
        <f>'All Minorities'!L8</f>
        <v>1</v>
      </c>
    </row>
    <row r="10" spans="2:26" s="1" customFormat="1" ht="15" customHeight="1">
      <c r="B10" s="142" t="s">
        <v>10</v>
      </c>
      <c r="C10" s="103">
        <f>'Data Entry'!C9</f>
        <v>52</v>
      </c>
      <c r="D10" s="112">
        <f>'Data Entry'!D9</f>
        <v>28</v>
      </c>
      <c r="E10" s="113">
        <f>'Black or African-American'!$G9</f>
        <v>0.64013635689936266</v>
      </c>
      <c r="F10" s="114">
        <f>'Data Entry'!E9</f>
        <v>0</v>
      </c>
      <c r="G10" s="113" t="str">
        <f>Hispanic!G9</f>
        <v>**</v>
      </c>
      <c r="H10" s="114">
        <f>'Data Entry'!F9</f>
        <v>1</v>
      </c>
      <c r="I10" s="113" t="str">
        <f>Asian!G9</f>
        <v>**</v>
      </c>
      <c r="J10" s="114">
        <f>'Data Entry'!G9</f>
        <v>0</v>
      </c>
      <c r="K10" s="113" t="str">
        <f>Hawaiian!G9</f>
        <v>*</v>
      </c>
      <c r="L10" s="114">
        <f>'Data Entry'!H9</f>
        <v>0</v>
      </c>
      <c r="M10" s="113" t="str">
        <f>'Am Indian'!G9</f>
        <v>*</v>
      </c>
      <c r="N10" s="114">
        <f>'Data Entry'!I9</f>
        <v>1</v>
      </c>
      <c r="O10" s="113" t="str">
        <f>'Other - Mixed'!G9</f>
        <v>*</v>
      </c>
      <c r="P10" s="114">
        <f>'Data Entry'!J9</f>
        <v>30</v>
      </c>
      <c r="Q10" s="115">
        <f>'All Minorities'!G9</f>
        <v>0.64956485120718699</v>
      </c>
      <c r="R10"/>
      <c r="T10" s="1">
        <f>'Black or African-American'!L9</f>
        <v>1</v>
      </c>
      <c r="U10" s="1">
        <f>Hispanic!L9</f>
        <v>40</v>
      </c>
      <c r="V10" s="1">
        <f>Asian!L9</f>
        <v>40</v>
      </c>
      <c r="W10" s="1" t="e">
        <f>Hawaiian!L9</f>
        <v>#VALUE!</v>
      </c>
      <c r="X10" s="1" t="e">
        <f>'Am Indian'!L9</f>
        <v>#VALUE!</v>
      </c>
      <c r="Y10" s="1">
        <f>'Other - Mixed'!L9</f>
        <v>139</v>
      </c>
      <c r="Z10" s="1">
        <f>'All Minorities'!L9</f>
        <v>1</v>
      </c>
    </row>
    <row r="11" spans="2:26" s="1" customFormat="1" ht="15" customHeight="1">
      <c r="B11" s="142" t="s">
        <v>11</v>
      </c>
      <c r="C11" s="103">
        <f>'Data Entry'!C10</f>
        <v>93</v>
      </c>
      <c r="D11" s="108">
        <f>'Data Entry'!D10</f>
        <v>116</v>
      </c>
      <c r="E11" s="109">
        <f>'Black or African-American'!$G10</f>
        <v>1.4828350632937615</v>
      </c>
      <c r="F11" s="110">
        <f>'Data Entry'!E10</f>
        <v>2</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120</v>
      </c>
      <c r="Q11" s="111">
        <f>'All Minorities'!G10</f>
        <v>1.4527902048504826</v>
      </c>
      <c r="R11"/>
      <c r="T11" s="1">
        <f>'Black or African-American'!L10</f>
        <v>1</v>
      </c>
      <c r="U11" s="1">
        <f>Hispanic!L10</f>
        <v>40</v>
      </c>
      <c r="V11" s="1">
        <f>Asian!L10</f>
        <v>40</v>
      </c>
      <c r="W11" s="1" t="e">
        <f>Hawaiian!L10</f>
        <v>#VALUE!</v>
      </c>
      <c r="X11" s="1" t="e">
        <f>'Am Indian'!L10</f>
        <v>#VALUE!</v>
      </c>
      <c r="Y11" s="1">
        <f>'Other - Mixed'!L10</f>
        <v>139</v>
      </c>
      <c r="Z11" s="1">
        <f>'All Minorities'!L10</f>
        <v>1</v>
      </c>
    </row>
    <row r="12" spans="2:26" s="1" customFormat="1" ht="15" customHeight="1">
      <c r="B12" s="142" t="s">
        <v>95</v>
      </c>
      <c r="C12" s="103">
        <f>'Data Entry'!C11</f>
        <v>177</v>
      </c>
      <c r="D12" s="112">
        <f>'Data Entry'!D11</f>
        <v>149</v>
      </c>
      <c r="E12" s="113">
        <f>'Black or African-American'!$G11</f>
        <v>1.0007620042889955</v>
      </c>
      <c r="F12" s="114">
        <f>'Data Entry'!E11</f>
        <v>6</v>
      </c>
      <c r="G12" s="113" t="str">
        <f>Hispanic!G11</f>
        <v>**</v>
      </c>
      <c r="H12" s="114">
        <f>'Data Entry'!F11</f>
        <v>1</v>
      </c>
      <c r="I12" s="113" t="str">
        <f>Asian!G11</f>
        <v>**</v>
      </c>
      <c r="J12" s="114">
        <f>'Data Entry'!G11</f>
        <v>0</v>
      </c>
      <c r="K12" s="113" t="str">
        <f>Hawaiian!G11</f>
        <v>*</v>
      </c>
      <c r="L12" s="114">
        <f>'Data Entry'!H11</f>
        <v>0</v>
      </c>
      <c r="M12" s="113" t="str">
        <f>'Am Indian'!G11</f>
        <v>*</v>
      </c>
      <c r="N12" s="114">
        <f>'Data Entry'!I11</f>
        <v>3</v>
      </c>
      <c r="O12" s="113" t="str">
        <f>'Other - Mixed'!G11</f>
        <v>*</v>
      </c>
      <c r="P12" s="114">
        <f>'Data Entry'!J11</f>
        <v>159</v>
      </c>
      <c r="Q12" s="115">
        <f>'All Minorities'!G11</f>
        <v>1.0114128417666708</v>
      </c>
      <c r="R12"/>
      <c r="T12" s="1">
        <f>'Black or African-American'!L11</f>
        <v>2</v>
      </c>
      <c r="U12" s="1">
        <f>Hispanic!L11</f>
        <v>40</v>
      </c>
      <c r="V12" s="1">
        <f>Asian!L11</f>
        <v>40</v>
      </c>
      <c r="W12" s="1" t="e">
        <f>Hawaiian!L11</f>
        <v>#VALUE!</v>
      </c>
      <c r="X12" s="1" t="e">
        <f>'Am Indian'!L11</f>
        <v>#VALUE!</v>
      </c>
      <c r="Y12" s="1">
        <f>'Other - Mixed'!L11</f>
        <v>139</v>
      </c>
      <c r="Z12" s="1">
        <f>'All Minorities'!L11</f>
        <v>2</v>
      </c>
    </row>
    <row r="13" spans="2:26" s="1" customFormat="1" ht="15" customHeight="1">
      <c r="B13" s="142" t="s">
        <v>13</v>
      </c>
      <c r="C13" s="103">
        <f>'Data Entry'!C12</f>
        <v>137</v>
      </c>
      <c r="D13" s="108">
        <f>'Data Entry'!D12</f>
        <v>78</v>
      </c>
      <c r="E13" s="109">
        <f>'Black or African-American'!$G12</f>
        <v>0.6763337089109881</v>
      </c>
      <c r="F13" s="110">
        <f>'Data Entry'!E12</f>
        <v>4</v>
      </c>
      <c r="G13" s="109" t="str">
        <f>Hispanic!G12</f>
        <v>**</v>
      </c>
      <c r="H13" s="110">
        <f>'Data Entry'!F12</f>
        <v>1</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85</v>
      </c>
      <c r="Q13" s="111">
        <f>'All Minorities'!G12</f>
        <v>0.69067621539732815</v>
      </c>
      <c r="R13"/>
      <c r="T13" s="1">
        <f>'Black or African-American'!L12</f>
        <v>1</v>
      </c>
      <c r="U13" s="1">
        <f>Hispanic!L12</f>
        <v>40</v>
      </c>
      <c r="V13" s="1">
        <f>Asian!L12</f>
        <v>40</v>
      </c>
      <c r="W13" s="1" t="e">
        <f>Hawaiian!L12</f>
        <v>#VALUE!</v>
      </c>
      <c r="X13" s="1" t="e">
        <f>'Am Indian'!L12</f>
        <v>#VALUE!</v>
      </c>
      <c r="Y13" s="1">
        <f>'Other - Mixed'!L12</f>
        <v>139</v>
      </c>
      <c r="Z13" s="1">
        <f>'All Minorities'!L12</f>
        <v>1</v>
      </c>
    </row>
    <row r="14" spans="2:26" s="1" customFormat="1" ht="15" customHeight="1">
      <c r="B14" s="142" t="s">
        <v>125</v>
      </c>
      <c r="C14" s="103">
        <f>'Data Entry'!C13</f>
        <v>13</v>
      </c>
      <c r="D14" s="112">
        <f>'Data Entry'!D13</f>
        <v>8</v>
      </c>
      <c r="E14" s="113">
        <f>'Black or African-American'!$G13</f>
        <v>1.0808678500986193</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8</v>
      </c>
      <c r="Q14" s="115">
        <f>'All Minorities'!G13</f>
        <v>0.99185520361990964</v>
      </c>
      <c r="R14"/>
      <c r="T14" s="1">
        <f>'Black or African-American'!L13</f>
        <v>2</v>
      </c>
      <c r="U14" s="1">
        <f>Hispanic!L13</f>
        <v>40</v>
      </c>
      <c r="V14" s="1">
        <f>Asian!L13</f>
        <v>40</v>
      </c>
      <c r="W14" s="1" t="e">
        <f>Hawaiian!L13</f>
        <v>#VALUE!</v>
      </c>
      <c r="X14" s="1" t="e">
        <f>'Am Indian'!L13</f>
        <v>#VALUE!</v>
      </c>
      <c r="Y14" s="1">
        <f>'Other - Mixed'!L13</f>
        <v>139</v>
      </c>
      <c r="Z14" s="1">
        <f>'All Minorities'!L13</f>
        <v>2</v>
      </c>
    </row>
    <row r="15" spans="2:26" s="1" customFormat="1" ht="33">
      <c r="B15" s="144" t="s">
        <v>115</v>
      </c>
      <c r="C15" s="103">
        <f>'Data Entry'!C14</f>
        <v>95</v>
      </c>
      <c r="D15" s="108">
        <f>'Data Entry'!D14</f>
        <v>91</v>
      </c>
      <c r="E15" s="109">
        <f>'Black or African-American'!$G14</f>
        <v>1.6824561403508773</v>
      </c>
      <c r="F15" s="110">
        <f>'Data Entry'!E14</f>
        <v>2</v>
      </c>
      <c r="G15" s="109" t="str">
        <f>Hispanic!G14</f>
        <v>**</v>
      </c>
      <c r="H15" s="110">
        <f>'Data Entry'!F14</f>
        <v>1</v>
      </c>
      <c r="I15" s="109" t="str">
        <f>Asian!G14</f>
        <v>**</v>
      </c>
      <c r="J15" s="110">
        <f>'Data Entry'!G14</f>
        <v>0</v>
      </c>
      <c r="K15" s="109" t="str">
        <f>Hawaiian!G14</f>
        <v>*</v>
      </c>
      <c r="L15" s="110">
        <f>'Data Entry'!H14</f>
        <v>0</v>
      </c>
      <c r="M15" s="109" t="str">
        <f>'Am Indian'!G14</f>
        <v>*</v>
      </c>
      <c r="N15" s="110">
        <f>'Data Entry'!I14</f>
        <v>5</v>
      </c>
      <c r="O15" s="109" t="str">
        <f>'Other - Mixed'!G14</f>
        <v>*</v>
      </c>
      <c r="P15" s="110">
        <f>'Data Entry'!J14</f>
        <v>99</v>
      </c>
      <c r="Q15" s="111">
        <f>'All Minorities'!G14</f>
        <v>1.6796284829721364</v>
      </c>
      <c r="R15"/>
      <c r="T15" s="1">
        <f>'Black or African-American'!L14</f>
        <v>1</v>
      </c>
      <c r="U15" s="1">
        <f>Hispanic!L14</f>
        <v>40</v>
      </c>
      <c r="V15" s="1">
        <f>Asian!L14</f>
        <v>40</v>
      </c>
      <c r="W15" s="1" t="e">
        <f>Hawaiian!L14</f>
        <v>#VALUE!</v>
      </c>
      <c r="X15" s="1" t="e">
        <f>'Am Indian'!L14</f>
        <v>#VALUE!</v>
      </c>
      <c r="Y15" s="1">
        <f>'Other - Mixed'!L14</f>
        <v>119</v>
      </c>
      <c r="Z15" s="1">
        <f>'All Minorities'!L14</f>
        <v>1</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Oakland County Juvenile Court</v>
      </c>
      <c r="E27" s="1" t="str">
        <f>'Data Entry'!D20</f>
        <v>Item 4.Diversion: Oakland County Juvenile Court</v>
      </c>
      <c r="I27" s="96"/>
      <c r="J27" s="96"/>
    </row>
    <row r="28" spans="2:18" ht="12.75" customHeight="1">
      <c r="B28" s="1" t="str">
        <f>'Data Entry'!A21</f>
        <v>Item 5.Detention: Oakland County Juvenile Court</v>
      </c>
      <c r="E28" s="1" t="str">
        <f>'Data Entry'!D21</f>
        <v>Item 6.Petitioned: Oakland County Juvenile Court</v>
      </c>
      <c r="I28" s="96"/>
      <c r="J28" s="96"/>
    </row>
    <row r="29" spans="2:18" ht="12.75" customHeight="1">
      <c r="B29" s="1" t="str">
        <f>'Data Entry'!A22</f>
        <v>Item 7.Delinquent: Oakland County Juvenile Court</v>
      </c>
      <c r="E29" s="1" t="str">
        <f>'Data Entry'!D22</f>
        <v>Item 8.Probation: Oakland County Juvenile Court</v>
      </c>
      <c r="I29" s="96"/>
      <c r="J29" s="96"/>
    </row>
    <row r="30" spans="2:18" ht="12.75" customHeight="1">
      <c r="B30" s="1" t="str">
        <f>'Data Entry'!A23</f>
        <v>Item 9.Confinement: Oakland County Juvenile Court</v>
      </c>
      <c r="E30" s="1" t="str">
        <f>'Data Entry'!D23</f>
        <v>Item 10.Transferred: Oakland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6" sqref="A6"/>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Oakland</v>
      </c>
    </row>
    <row r="6" spans="1:12">
      <c r="A6" s="135" t="str">
        <f>CONCATENATE("Percentage of Minorities at Stages of the Juvenile Justice System, ", A5, " 2022")</f>
        <v>Percentage of Minorities at Stages of the Juvenile Justice System, County: Oakland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2.1181081922957117</v>
      </c>
    </row>
    <row r="8" spans="1:12" ht="25.5" customHeight="1">
      <c r="A8" s="151" t="str">
        <f>CONCATENATE("Confinement, total N=", 'Data Entry'!B14)</f>
        <v>Confinement, total N=199</v>
      </c>
      <c r="B8" s="150">
        <f>'Data Entry'!D14/'Data Entry'!B14</f>
        <v>0.457286432160804</v>
      </c>
      <c r="C8" s="150">
        <f>'Data Entry'!E14/'Data Entry'!B14</f>
        <v>1.0050251256281407E-2</v>
      </c>
      <c r="D8" s="150">
        <f>'Data Entry'!F14/'Data Entry'!B14</f>
        <v>5.0251256281407036E-3</v>
      </c>
      <c r="E8" s="150">
        <f>'Data Entry'!G14/'Data Entry'!B14</f>
        <v>0</v>
      </c>
      <c r="F8" s="150">
        <f>'Data Entry'!H14/'Data Entry'!B14</f>
        <v>0</v>
      </c>
      <c r="G8" s="150">
        <f>'Data Entry'!I14/'Data Entry'!B14</f>
        <v>2.5125628140703519E-2</v>
      </c>
      <c r="H8" s="150">
        <f>SUM(D8:G8)/'Data Entry'!B14</f>
        <v>1.51511325471579E-4</v>
      </c>
      <c r="I8" s="150">
        <f>'Data Entry'!C14/'Data Entry'!B14</f>
        <v>0.47738693467336685</v>
      </c>
      <c r="K8" s="96" t="str">
        <f>A8</f>
        <v>Confinement, total N=199</v>
      </c>
      <c r="L8">
        <f>I14/(SUM(B14:G14))</f>
        <v>2.1181081922957117</v>
      </c>
    </row>
    <row r="9" spans="1:12">
      <c r="A9" s="128" t="str">
        <f>CONCATENATE("Delinquent Findings, total N=", 'Data Entry'!B12)</f>
        <v>Delinquent Findings, total N=235</v>
      </c>
      <c r="B9" s="150">
        <f>'Data Entry'!D12/'Data Entry'!B12</f>
        <v>0.33191489361702126</v>
      </c>
      <c r="C9" s="150">
        <f>'Data Entry'!E12/'Data Entry'!B12</f>
        <v>1.7021276595744681E-2</v>
      </c>
      <c r="D9" s="150">
        <f>'Data Entry'!F12/'Data Entry'!B12</f>
        <v>4.2553191489361703E-3</v>
      </c>
      <c r="E9" s="150">
        <f>'Data Entry'!G12/'Data Entry'!B12</f>
        <v>0</v>
      </c>
      <c r="F9" s="150">
        <f>'Data Entry'!H12/'Data Entry'!B12</f>
        <v>0</v>
      </c>
      <c r="G9" s="150">
        <f>'Data Entry'!I12/'Data Entry'!B12</f>
        <v>8.5106382978723406E-3</v>
      </c>
      <c r="H9" s="150">
        <f>SUM(D9:G9)/'Data Entry'!B12</f>
        <v>5.4323223177908562E-5</v>
      </c>
      <c r="I9" s="150">
        <f>'Data Entry'!C12/'Data Entry'!B12</f>
        <v>0.58297872340425527</v>
      </c>
      <c r="K9" s="96" t="str">
        <f t="shared" si="0"/>
        <v>Delinquent Findings, total N=235</v>
      </c>
      <c r="L9">
        <f>I14/(SUM(B14:G14))</f>
        <v>2.1181081922957117</v>
      </c>
    </row>
    <row r="10" spans="1:12">
      <c r="A10" s="128" t="str">
        <f>CONCATENATE("Petitions, total N=", 'Data Entry'!B11)</f>
        <v>Petitions, total N=355</v>
      </c>
      <c r="B10" s="150">
        <f>'Data Entry'!D11/'Data Entry'!B11</f>
        <v>0.41971830985915493</v>
      </c>
      <c r="C10" s="150">
        <f>'Data Entry'!E11/'Data Entry'!B11</f>
        <v>1.6901408450704224E-2</v>
      </c>
      <c r="D10" s="150">
        <f>'Data Entry'!F11/'Data Entry'!B11</f>
        <v>2.8169014084507044E-3</v>
      </c>
      <c r="E10" s="150">
        <f>'Data Entry'!G11/'Data Entry'!B11</f>
        <v>0</v>
      </c>
      <c r="F10" s="150">
        <f>'Data Entry'!H11/'Data Entry'!B11</f>
        <v>0</v>
      </c>
      <c r="G10" s="150">
        <f>'Data Entry'!I11/'Data Entry'!B11</f>
        <v>8.4507042253521118E-3</v>
      </c>
      <c r="H10" s="150">
        <f>SUM(D10:G10)/'Data Entry'!B11</f>
        <v>3.1739734179726239E-5</v>
      </c>
      <c r="I10" s="150">
        <f>'Data Entry'!C11/'Data Entry'!B11</f>
        <v>0.49859154929577465</v>
      </c>
      <c r="K10" s="96" t="str">
        <f t="shared" si="0"/>
        <v>Petitions, total N=355</v>
      </c>
      <c r="L10">
        <f>I14/(SUM(B14:G14))</f>
        <v>2.1181081922957117</v>
      </c>
    </row>
    <row r="11" spans="1:12">
      <c r="A11" s="128" t="str">
        <f>CONCATENATE("Detentions, total N=", 'Data Entry'!B10)</f>
        <v>Detentions, total N=227</v>
      </c>
      <c r="B11" s="150">
        <f>'Data Entry'!D10/'Data Entry'!B10</f>
        <v>0.51101321585903081</v>
      </c>
      <c r="C11" s="150">
        <f>'Data Entry'!E10/'Data Entry'!B10</f>
        <v>8.8105726872246704E-3</v>
      </c>
      <c r="D11" s="150">
        <f>'Data Entry'!F10/'Data Entry'!B10</f>
        <v>0</v>
      </c>
      <c r="E11" s="150">
        <f>'Data Entry'!G10/'Data Entry'!B10</f>
        <v>0</v>
      </c>
      <c r="F11" s="150">
        <f>'Data Entry'!H10/'Data Entry'!B10</f>
        <v>0</v>
      </c>
      <c r="G11" s="150">
        <f>'Data Entry'!I10/'Data Entry'!B10</f>
        <v>8.8105726872246704E-3</v>
      </c>
      <c r="H11" s="150">
        <f>SUM(D11:G11)/'Data Entry'!B10</f>
        <v>3.8813095538434669E-5</v>
      </c>
      <c r="I11" s="150">
        <f>'Data Entry'!C10/'Data Entry'!B10</f>
        <v>0.40969162995594716</v>
      </c>
      <c r="K11" s="96" t="str">
        <f t="shared" si="0"/>
        <v>Detentions, total N=227</v>
      </c>
      <c r="L11">
        <f>I14/(SUM(B14:G14))</f>
        <v>2.1181081922957117</v>
      </c>
    </row>
    <row r="12" spans="1:12">
      <c r="A12" s="128" t="str">
        <f>CONCATENATE("Referrals, total N=", 'Data Entry'!B8)</f>
        <v>Referrals, total N=1230</v>
      </c>
      <c r="B12" s="150">
        <f>'Data Entry'!D8/'Data Entry'!B8</f>
        <v>0.42195121951219511</v>
      </c>
      <c r="C12" s="150">
        <f>'Data Entry'!E8/'Data Entry'!B8</f>
        <v>1.056910569105691E-2</v>
      </c>
      <c r="D12" s="150">
        <f>'Data Entry'!F8/'Data Entry'!B8</f>
        <v>4.8780487804878049E-3</v>
      </c>
      <c r="E12" s="150">
        <f>'Data Entry'!G8/'Data Entry'!B8</f>
        <v>0</v>
      </c>
      <c r="F12" s="150">
        <f>'Data Entry'!H8/'Data Entry'!B8</f>
        <v>0</v>
      </c>
      <c r="G12" s="150">
        <f>'Data Entry'!I8/'Data Entry'!B8</f>
        <v>8.130081300813009E-3</v>
      </c>
      <c r="H12" s="150">
        <f>SUM(D12:G12)/'Data Entry'!B8</f>
        <v>1.0575715513252693E-5</v>
      </c>
      <c r="I12" s="150">
        <f>'Data Entry'!C8/'Data Entry'!B8</f>
        <v>0.50162601626016257</v>
      </c>
      <c r="K12" s="96" t="str">
        <f t="shared" si="0"/>
        <v>Referrals, total N=1230</v>
      </c>
      <c r="L12">
        <f>I14/(SUM(B14:G14))</f>
        <v>2.1181081922957117</v>
      </c>
    </row>
    <row r="13" spans="1:12">
      <c r="A13" s="128" t="str">
        <f>CONCATENATE("Arrests, total N=", 'Data Entry'!B7)</f>
        <v>Arrests, total N=658</v>
      </c>
      <c r="B13" s="150">
        <f>'Data Entry'!D7/'Data Entry'!B7</f>
        <v>0.53039513677811545</v>
      </c>
      <c r="C13" s="150">
        <f>'Data Entry'!E7/'Data Entry'!B7</f>
        <v>4.4072948328267476E-2</v>
      </c>
      <c r="D13" s="150">
        <f>'Data Entry'!F7/'Data Entry'!B7</f>
        <v>6.0790273556231003E-3</v>
      </c>
      <c r="E13" s="150">
        <f>'Data Entry'!G7/'Data Entry'!B7</f>
        <v>3.0395136778115501E-3</v>
      </c>
      <c r="F13" s="150">
        <f>'Data Entry'!H7/'Data Entry'!B7</f>
        <v>0</v>
      </c>
      <c r="G13" s="150">
        <f>'Data Entry'!I7/'Data Entry'!B7</f>
        <v>0</v>
      </c>
      <c r="H13" s="150">
        <f>SUM(D13:G13)/'Data Entry'!B7</f>
        <v>1.3857965096405242E-5</v>
      </c>
      <c r="I13" s="150">
        <f>'Data Entry'!C7/'Data Entry'!B7</f>
        <v>0.39665653495440728</v>
      </c>
      <c r="K13" s="96" t="str">
        <f t="shared" si="0"/>
        <v>Arrests, total N=658</v>
      </c>
      <c r="L13">
        <f>I14/(SUM(B14:G14))</f>
        <v>2.1181081922957117</v>
      </c>
    </row>
    <row r="14" spans="1:12">
      <c r="A14" s="128" t="str">
        <f>CONCATENATE("Population, total N=", 'Data Entry'!B6)</f>
        <v>Population, total N=120122</v>
      </c>
      <c r="B14" s="150">
        <f>'Data Entry'!D6/'Data Entry'!B6</f>
        <v>0.14780806180383277</v>
      </c>
      <c r="C14" s="150">
        <f>'Data Entry'!E6/'Data Entry'!B6</f>
        <v>7.2917533840595392E-2</v>
      </c>
      <c r="D14" s="150">
        <f>'Data Entry'!F6/'Data Entry'!B6</f>
        <v>9.6035697041341309E-2</v>
      </c>
      <c r="E14" s="150">
        <f>'Data Entry'!G6/'Data Entry'!B6</f>
        <v>0</v>
      </c>
      <c r="F14" s="150">
        <f>'Data Entry'!H6/'Data Entry'!B6</f>
        <v>3.9459882452839616E-3</v>
      </c>
      <c r="G14" s="150">
        <f>'Data Entry'!I6/'Data Entry'!B6</f>
        <v>0</v>
      </c>
      <c r="H14" s="150">
        <f>SUM(D14:G14)/'Data Entry'!B6</f>
        <v>8.3233450397616806E-7</v>
      </c>
      <c r="I14" s="150">
        <f>'Data Entry'!C6/'Data Entry'!B6</f>
        <v>0.67929271906894662</v>
      </c>
      <c r="K14" s="96" t="str">
        <f t="shared" si="0"/>
        <v>Population, total N=120122</v>
      </c>
      <c r="L14">
        <f>I14/(SUM(B14:G14))</f>
        <v>2.1181081922957117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Oakland</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81598</v>
      </c>
      <c r="D7" s="104">
        <f>'Data Entry'!D6</f>
        <v>17755</v>
      </c>
      <c r="E7" s="105"/>
      <c r="F7" s="106">
        <f>'Data Entry'!E6</f>
        <v>8759</v>
      </c>
      <c r="G7" s="105"/>
      <c r="H7" s="106">
        <f>'Data Entry'!F6</f>
        <v>11536</v>
      </c>
      <c r="I7" s="105"/>
      <c r="J7" s="106">
        <f>'Data Entry'!J6</f>
        <v>38524</v>
      </c>
      <c r="K7" s="107"/>
    </row>
    <row r="8" spans="2:30" s="1" customFormat="1" ht="15" customHeight="1">
      <c r="B8" s="121" t="s">
        <v>8</v>
      </c>
      <c r="C8" s="103">
        <f>'Data Entry'!C7</f>
        <v>261</v>
      </c>
      <c r="D8" s="104">
        <f>'Data Entry'!D7</f>
        <v>349</v>
      </c>
      <c r="E8" s="105">
        <f>'Black or African-American'!$G7</f>
        <v>6.1453094535994941</v>
      </c>
      <c r="F8" s="106">
        <f>'Data Entry'!E7</f>
        <v>29</v>
      </c>
      <c r="G8" s="105">
        <f>Hispanic!G7</f>
        <v>1.03510040466314</v>
      </c>
      <c r="H8" s="106">
        <f>'Data Entry'!F7</f>
        <v>4</v>
      </c>
      <c r="I8" s="105" t="str">
        <f>Asian!G7</f>
        <v>**</v>
      </c>
      <c r="J8" s="106">
        <f>'Data Entry'!J7</f>
        <v>384</v>
      </c>
      <c r="K8" s="107">
        <f>'All Minorities'!G7</f>
        <v>3.1162971105040351</v>
      </c>
      <c r="L8"/>
      <c r="N8" s="1">
        <f>'Black or African-American'!L7</f>
        <v>1</v>
      </c>
      <c r="O8" s="1">
        <f>Hispanic!L7</f>
        <v>2</v>
      </c>
      <c r="P8" s="1">
        <f>Asian!L7</f>
        <v>20</v>
      </c>
      <c r="Q8" s="1" t="e">
        <f>Hawaiian!L7</f>
        <v>#DIV/0!</v>
      </c>
      <c r="R8" s="1">
        <f>'Am Indian'!L7</f>
        <v>139</v>
      </c>
      <c r="S8" s="1" t="e">
        <f>'Other - Mixed'!L7</f>
        <v>#VALUE!</v>
      </c>
      <c r="T8" s="1">
        <f>'All Minorities'!L7</f>
        <v>1</v>
      </c>
    </row>
    <row r="9" spans="2:30" s="1" customFormat="1" ht="15" customHeight="1">
      <c r="B9" s="121" t="s">
        <v>126</v>
      </c>
      <c r="C9" s="103">
        <f>'Data Entry'!C8</f>
        <v>617</v>
      </c>
      <c r="D9" s="108">
        <f>'Data Entry'!D8</f>
        <v>519</v>
      </c>
      <c r="E9" s="109">
        <f>'Black or African-American'!$G8</f>
        <v>0.62906753725624953</v>
      </c>
      <c r="F9" s="110">
        <f>'Data Entry'!E8</f>
        <v>13</v>
      </c>
      <c r="G9" s="109" t="str">
        <f>Hispanic!G8</f>
        <v>**</v>
      </c>
      <c r="H9" s="110">
        <f>'Data Entry'!F8</f>
        <v>6</v>
      </c>
      <c r="I9" s="109" t="str">
        <f>Asian!G8</f>
        <v>**</v>
      </c>
      <c r="J9" s="110">
        <f>'Data Entry'!J8</f>
        <v>548</v>
      </c>
      <c r="K9" s="111">
        <f>'All Minorities'!G8</f>
        <v>0.60367706645056729</v>
      </c>
      <c r="L9"/>
      <c r="N9" s="1">
        <f>'Black or African-American'!L8</f>
        <v>1</v>
      </c>
      <c r="O9" s="1">
        <f>Hispanic!L8</f>
        <v>20</v>
      </c>
      <c r="P9" s="1">
        <f>Asian!L8</f>
        <v>40</v>
      </c>
      <c r="Q9" s="1">
        <f>Hawaiian!L8</f>
        <v>139</v>
      </c>
      <c r="R9" s="1">
        <f>'Am Indian'!L8</f>
        <v>139</v>
      </c>
      <c r="S9" s="1">
        <f>'Other - Mixed'!L8</f>
        <v>119</v>
      </c>
      <c r="T9" s="1">
        <f>'All Minorities'!L8</f>
        <v>1</v>
      </c>
    </row>
    <row r="10" spans="2:30" s="1" customFormat="1" ht="15" customHeight="1">
      <c r="B10" s="121" t="s">
        <v>10</v>
      </c>
      <c r="C10" s="103">
        <f>'Data Entry'!C9</f>
        <v>52</v>
      </c>
      <c r="D10" s="112">
        <f>'Data Entry'!D9</f>
        <v>28</v>
      </c>
      <c r="E10" s="113">
        <f>'Black or African-American'!$G9</f>
        <v>0.64013635689936266</v>
      </c>
      <c r="F10" s="114">
        <f>'Data Entry'!E9</f>
        <v>0</v>
      </c>
      <c r="G10" s="113" t="str">
        <f>Hispanic!G9</f>
        <v>**</v>
      </c>
      <c r="H10" s="114">
        <f>'Data Entry'!F9</f>
        <v>1</v>
      </c>
      <c r="I10" s="113" t="str">
        <f>Asian!G9</f>
        <v>**</v>
      </c>
      <c r="J10" s="114">
        <f>'Data Entry'!J9</f>
        <v>30</v>
      </c>
      <c r="K10" s="115">
        <f>'All Minorities'!G9</f>
        <v>0.64956485120718699</v>
      </c>
      <c r="L10"/>
      <c r="N10" s="1">
        <f>'Black or African-American'!L9</f>
        <v>1</v>
      </c>
      <c r="O10" s="1">
        <f>Hispanic!L9</f>
        <v>40</v>
      </c>
      <c r="P10" s="1">
        <f>Asian!L9</f>
        <v>40</v>
      </c>
      <c r="Q10" s="1" t="e">
        <f>Hawaiian!L9</f>
        <v>#VALUE!</v>
      </c>
      <c r="R10" s="1" t="e">
        <f>'Am Indian'!L9</f>
        <v>#VALUE!</v>
      </c>
      <c r="S10" s="1">
        <f>'Other - Mixed'!L9</f>
        <v>139</v>
      </c>
      <c r="T10" s="1">
        <f>'All Minorities'!L9</f>
        <v>1</v>
      </c>
    </row>
    <row r="11" spans="2:30" s="1" customFormat="1" ht="15" customHeight="1">
      <c r="B11" s="121" t="s">
        <v>11</v>
      </c>
      <c r="C11" s="103">
        <f>'Data Entry'!C10</f>
        <v>93</v>
      </c>
      <c r="D11" s="108">
        <f>'Data Entry'!D10</f>
        <v>116</v>
      </c>
      <c r="E11" s="109">
        <f>'Black or African-American'!$G10</f>
        <v>1.4828350632937615</v>
      </c>
      <c r="F11" s="110">
        <f>'Data Entry'!E10</f>
        <v>2</v>
      </c>
      <c r="G11" s="109" t="str">
        <f>Hispanic!G10</f>
        <v>**</v>
      </c>
      <c r="H11" s="110">
        <f>'Data Entry'!F10</f>
        <v>0</v>
      </c>
      <c r="I11" s="109" t="str">
        <f>Asian!G10</f>
        <v>**</v>
      </c>
      <c r="J11" s="110">
        <f>'Data Entry'!J10</f>
        <v>120</v>
      </c>
      <c r="K11" s="111">
        <f>'All Minorities'!G10</f>
        <v>1.4527902048504826</v>
      </c>
      <c r="L11"/>
      <c r="N11" s="1">
        <f>'Black or African-American'!L10</f>
        <v>1</v>
      </c>
      <c r="O11" s="1">
        <f>Hispanic!L10</f>
        <v>40</v>
      </c>
      <c r="P11" s="1">
        <f>Asian!L10</f>
        <v>40</v>
      </c>
      <c r="Q11" s="1" t="e">
        <f>Hawaiian!L10</f>
        <v>#VALUE!</v>
      </c>
      <c r="R11" s="1" t="e">
        <f>'Am Indian'!L10</f>
        <v>#VALUE!</v>
      </c>
      <c r="S11" s="1">
        <f>'Other - Mixed'!L10</f>
        <v>139</v>
      </c>
      <c r="T11" s="1">
        <f>'All Minorities'!L10</f>
        <v>1</v>
      </c>
    </row>
    <row r="12" spans="2:30" s="1" customFormat="1" ht="15" customHeight="1">
      <c r="B12" s="121" t="s">
        <v>95</v>
      </c>
      <c r="C12" s="103">
        <f>'Data Entry'!C11</f>
        <v>177</v>
      </c>
      <c r="D12" s="112">
        <f>'Data Entry'!D11</f>
        <v>149</v>
      </c>
      <c r="E12" s="113">
        <f>'Black or African-American'!$G11</f>
        <v>1.0007620042889955</v>
      </c>
      <c r="F12" s="114">
        <f>'Data Entry'!E11</f>
        <v>6</v>
      </c>
      <c r="G12" s="113" t="str">
        <f>Hispanic!G11</f>
        <v>**</v>
      </c>
      <c r="H12" s="114">
        <f>'Data Entry'!F11</f>
        <v>1</v>
      </c>
      <c r="I12" s="113" t="str">
        <f>Asian!G11</f>
        <v>**</v>
      </c>
      <c r="J12" s="114">
        <f>'Data Entry'!J11</f>
        <v>159</v>
      </c>
      <c r="K12" s="115">
        <f>'All Minorities'!G11</f>
        <v>1.0114128417666708</v>
      </c>
      <c r="L12"/>
      <c r="N12" s="1">
        <f>'Black or African-American'!L11</f>
        <v>2</v>
      </c>
      <c r="O12" s="1">
        <f>Hispanic!L11</f>
        <v>40</v>
      </c>
      <c r="P12" s="1">
        <f>Asian!L11</f>
        <v>40</v>
      </c>
      <c r="Q12" s="1" t="e">
        <f>Hawaiian!L11</f>
        <v>#VALUE!</v>
      </c>
      <c r="R12" s="1" t="e">
        <f>'Am Indian'!L11</f>
        <v>#VALUE!</v>
      </c>
      <c r="S12" s="1">
        <f>'Other - Mixed'!L11</f>
        <v>139</v>
      </c>
      <c r="T12" s="1">
        <f>'All Minorities'!L11</f>
        <v>2</v>
      </c>
    </row>
    <row r="13" spans="2:30" s="1" customFormat="1" ht="15" customHeight="1">
      <c r="B13" s="121" t="s">
        <v>13</v>
      </c>
      <c r="C13" s="103">
        <f>'Data Entry'!C12</f>
        <v>137</v>
      </c>
      <c r="D13" s="108">
        <f>'Data Entry'!D12</f>
        <v>78</v>
      </c>
      <c r="E13" s="109">
        <f>'Black or African-American'!$G12</f>
        <v>0.6763337089109881</v>
      </c>
      <c r="F13" s="110">
        <f>'Data Entry'!E12</f>
        <v>4</v>
      </c>
      <c r="G13" s="109" t="str">
        <f>Hispanic!G12</f>
        <v>**</v>
      </c>
      <c r="H13" s="110">
        <f>'Data Entry'!F12</f>
        <v>1</v>
      </c>
      <c r="I13" s="109" t="str">
        <f>Asian!G12</f>
        <v>**</v>
      </c>
      <c r="J13" s="110">
        <f>'Data Entry'!J12</f>
        <v>85</v>
      </c>
      <c r="K13" s="111">
        <f>'All Minorities'!G12</f>
        <v>0.69067621539732815</v>
      </c>
      <c r="L13"/>
      <c r="N13" s="1">
        <f>'Black or African-American'!L12</f>
        <v>1</v>
      </c>
      <c r="O13" s="1">
        <f>Hispanic!L12</f>
        <v>40</v>
      </c>
      <c r="P13" s="1">
        <f>Asian!L12</f>
        <v>40</v>
      </c>
      <c r="Q13" s="1" t="e">
        <f>Hawaiian!L12</f>
        <v>#VALUE!</v>
      </c>
      <c r="R13" s="1" t="e">
        <f>'Am Indian'!L12</f>
        <v>#VALUE!</v>
      </c>
      <c r="S13" s="1">
        <f>'Other - Mixed'!L12</f>
        <v>139</v>
      </c>
      <c r="T13" s="1">
        <f>'All Minorities'!L12</f>
        <v>1</v>
      </c>
      <c r="W13" s="8"/>
      <c r="X13" s="8"/>
      <c r="Y13" s="8"/>
      <c r="Z13" s="8"/>
      <c r="AA13" s="8"/>
      <c r="AB13" s="8"/>
      <c r="AC13" s="8"/>
      <c r="AD13" s="8"/>
    </row>
    <row r="14" spans="2:30" s="1" customFormat="1" ht="15" customHeight="1">
      <c r="B14" s="121" t="s">
        <v>14</v>
      </c>
      <c r="C14" s="103">
        <f>'Data Entry'!C13</f>
        <v>13</v>
      </c>
      <c r="D14" s="112">
        <f>'Data Entry'!D13</f>
        <v>8</v>
      </c>
      <c r="E14" s="113">
        <f>'Black or African-American'!$G13</f>
        <v>1.0808678500986193</v>
      </c>
      <c r="F14" s="114">
        <f>'Data Entry'!E13</f>
        <v>0</v>
      </c>
      <c r="G14" s="113" t="str">
        <f>Hispanic!G13</f>
        <v>**</v>
      </c>
      <c r="H14" s="114">
        <f>'Data Entry'!F13</f>
        <v>0</v>
      </c>
      <c r="I14" s="113" t="str">
        <f>Asian!G13</f>
        <v>**</v>
      </c>
      <c r="J14" s="114">
        <f>'Data Entry'!J13</f>
        <v>8</v>
      </c>
      <c r="K14" s="115">
        <f>'All Minorities'!G13</f>
        <v>0.99185520361990964</v>
      </c>
      <c r="L14"/>
      <c r="N14" s="1">
        <f>'Black or African-American'!L13</f>
        <v>2</v>
      </c>
      <c r="O14" s="1">
        <f>Hispanic!L13</f>
        <v>40</v>
      </c>
      <c r="P14" s="1">
        <f>Asian!L13</f>
        <v>40</v>
      </c>
      <c r="Q14" s="1" t="e">
        <f>Hawaiian!L13</f>
        <v>#VALUE!</v>
      </c>
      <c r="R14" s="1" t="e">
        <f>'Am Indian'!L13</f>
        <v>#VALUE!</v>
      </c>
      <c r="S14" s="1">
        <f>'Other - Mixed'!L13</f>
        <v>139</v>
      </c>
      <c r="T14" s="1">
        <f>'All Minorities'!L13</f>
        <v>2</v>
      </c>
      <c r="W14" s="8"/>
      <c r="X14" s="8"/>
      <c r="Y14" s="8"/>
      <c r="Z14" s="8"/>
      <c r="AA14" s="8"/>
      <c r="AB14" s="8"/>
      <c r="AC14" s="8"/>
      <c r="AD14" s="8"/>
    </row>
    <row r="15" spans="2:30" s="1" customFormat="1" ht="33">
      <c r="B15" s="126" t="s">
        <v>115</v>
      </c>
      <c r="C15" s="103">
        <f>'Data Entry'!C14</f>
        <v>95</v>
      </c>
      <c r="D15" s="108">
        <f>'Data Entry'!D14</f>
        <v>91</v>
      </c>
      <c r="E15" s="109">
        <f>'Black or African-American'!$G14</f>
        <v>1.6824561403508773</v>
      </c>
      <c r="F15" s="110">
        <f>'Data Entry'!E14</f>
        <v>2</v>
      </c>
      <c r="G15" s="109" t="str">
        <f>Hispanic!G14</f>
        <v>**</v>
      </c>
      <c r="H15" s="110">
        <f>'Data Entry'!F14</f>
        <v>1</v>
      </c>
      <c r="I15" s="109" t="str">
        <f>Asian!G14</f>
        <v>**</v>
      </c>
      <c r="J15" s="110">
        <f>'Data Entry'!J14</f>
        <v>99</v>
      </c>
      <c r="K15" s="111">
        <f>'All Minorities'!G14</f>
        <v>1.6796284829721364</v>
      </c>
      <c r="L15"/>
      <c r="N15" s="1">
        <f>'Black or African-American'!L14</f>
        <v>1</v>
      </c>
      <c r="O15" s="1">
        <f>Hispanic!L14</f>
        <v>40</v>
      </c>
      <c r="P15" s="1">
        <f>Asian!L14</f>
        <v>40</v>
      </c>
      <c r="Q15" s="1" t="e">
        <f>Hawaiian!L14</f>
        <v>#VALUE!</v>
      </c>
      <c r="R15" s="1" t="e">
        <f>'Am Indian'!L14</f>
        <v>#VALUE!</v>
      </c>
      <c r="S15" s="1">
        <f>'Other - Mixed'!L14</f>
        <v>119</v>
      </c>
      <c r="T15" s="1">
        <f>'All Minorities'!L14</f>
        <v>1</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Oakland County Juvenile Court</v>
      </c>
      <c r="E27" s="1" t="str">
        <f>'Data Entry'!D20</f>
        <v>Item 4.Diversion: Oakland County Juvenile Court</v>
      </c>
      <c r="I27" s="96"/>
    </row>
    <row r="28" spans="2:30" ht="12.75" customHeight="1">
      <c r="B28" s="1" t="str">
        <f>'Data Entry'!A21</f>
        <v>Item 5.Detention: Oakland County Juvenile Court</v>
      </c>
      <c r="E28" s="1" t="str">
        <f>'Data Entry'!D21</f>
        <v>Item 6.Petitioned: Oakland County Juvenile Court</v>
      </c>
      <c r="I28" s="96"/>
    </row>
    <row r="29" spans="2:30" ht="12.75" customHeight="1">
      <c r="B29" s="1" t="str">
        <f>'Data Entry'!A22</f>
        <v>Item 7.Delinquent: Oakland County Juvenile Court</v>
      </c>
      <c r="E29" s="1" t="str">
        <f>'Data Entry'!D22</f>
        <v>Item 8.Probation: Oakland County Juvenile Court</v>
      </c>
      <c r="I29" s="96"/>
    </row>
    <row r="30" spans="2:30" ht="12.75" customHeight="1">
      <c r="B30" s="1" t="str">
        <f>'Data Entry'!A23</f>
        <v>Item 9.Confinement: Oakland County Juvenile Court</v>
      </c>
      <c r="E30" s="1" t="str">
        <f>'Data Entry'!D23</f>
        <v>Item 10.Transferred: Oakland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Entry'!D6</f>
        <v>17755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Entry'!D7</f>
        <v>349</v>
      </c>
      <c r="F7" s="34">
        <f>IF((AND($E$7&gt;0,$D$66&gt;0)),($E$7/$D$66),0)</f>
        <v>19.656434807096595</v>
      </c>
      <c r="G7" s="39">
        <f>IF(L$6=100,"*",IF(M7=FALSE,"--",IF(K7=20,"**",($F7/$D7))))</f>
        <v>6.1453094535994941</v>
      </c>
      <c r="H7" s="40"/>
      <c r="I7" s="41"/>
      <c r="J7" s="40">
        <f>IF((ABS($U7)&gt;Defaults!D$7),1,2)</f>
        <v>1</v>
      </c>
      <c r="K7" s="39">
        <f>IF((AND(N7&gt;Defaults!B$12,(N7+O7)&gt;Defaults!B$13, P7 &gt; Defaults!B$12, (P7+Q7) &gt; Defaults!B$13)),1,20)</f>
        <v>1</v>
      </c>
      <c r="L7" s="1">
        <f>(J7*K7+L$6)-1</f>
        <v>1</v>
      </c>
      <c r="M7" s="1" t="b">
        <f t="shared" ref="M7:M15" si="0">(ISNUMBER(J7))</f>
        <v>1</v>
      </c>
      <c r="N7" s="42">
        <f t="shared" ref="N7:N15" si="1">E7</f>
        <v>349</v>
      </c>
      <c r="O7" s="42">
        <f>E6-E7</f>
        <v>17406</v>
      </c>
      <c r="P7" s="42">
        <f t="shared" ref="P7:P15" si="2">C7</f>
        <v>261</v>
      </c>
      <c r="Q7" s="42">
        <f>C6-C7</f>
        <v>81337</v>
      </c>
      <c r="R7" s="42">
        <f t="shared" ref="R7:R15" si="3">SUM(N7:Q7)</f>
        <v>99353</v>
      </c>
      <c r="S7" s="30">
        <f t="shared" ref="S7:S15" si="4">R7*((((N7*Q7)-(O7*P7))^2))</f>
        <v>5.648411810809829E+19</v>
      </c>
      <c r="T7" s="30">
        <f t="shared" ref="T7:T15" si="5">(N7+O7)*(P7+Q7)*(N7+P7)*(O7+Q7)</f>
        <v>8.7264246607842704E+16</v>
      </c>
      <c r="U7" s="31">
        <f t="shared" ref="U7:U15" si="6">IF((S7&gt;0),S7/T7,"- -")</f>
        <v>647.27675197761789</v>
      </c>
    </row>
    <row r="8" spans="2:21" ht="18" customHeight="1">
      <c r="B8" s="32" t="str">
        <f>'Data Entry'!A8</f>
        <v>3. Refer to Juvenile Court</v>
      </c>
      <c r="C8" s="33">
        <f>'Data Entry'!C8</f>
        <v>617</v>
      </c>
      <c r="D8" s="34">
        <f>IF((AND(C67&gt;0,C8&gt;0)),(C8/C67),0)</f>
        <v>236.39846743295021</v>
      </c>
      <c r="E8" s="33">
        <f>'Data Entry'!D8</f>
        <v>519</v>
      </c>
      <c r="F8" s="34">
        <f>IF((AND($E$8&gt;0,$D$67&gt;0)),($E8/$D67),0)</f>
        <v>148.71060171919771</v>
      </c>
      <c r="G8" s="39">
        <f t="shared" ref="G8:G15" si="7">IF(L$6=100,"*",IF(M8=FALSE,"--",IF(K8=20,"**",($F8/$D8))))</f>
        <v>0.62906753725624953</v>
      </c>
      <c r="H8" s="40"/>
      <c r="I8" s="41"/>
      <c r="J8" s="40">
        <f>IF((ABS($U8)&gt;Defaults!D$7),1,2)</f>
        <v>1</v>
      </c>
      <c r="K8" s="39">
        <f>IF((AND(N8&gt;Defaults!B$12,(N8+O8)&gt;Defaults!B$13, P8 &gt; Defaults!B$12, (P8+Q8) &gt; Defaults!B$13)),1,20)</f>
        <v>1</v>
      </c>
      <c r="L8" s="1">
        <f t="shared" ref="L8:L15" si="8">(J8*K8+L$6)-1</f>
        <v>1</v>
      </c>
      <c r="M8" s="1" t="b">
        <f t="shared" si="0"/>
        <v>1</v>
      </c>
      <c r="N8" s="42">
        <f t="shared" si="1"/>
        <v>519</v>
      </c>
      <c r="O8" s="42">
        <f>((D67*L67)-E8)+0.05</f>
        <v>-169.95</v>
      </c>
      <c r="P8" s="42">
        <f t="shared" si="2"/>
        <v>617</v>
      </c>
      <c r="Q8" s="42">
        <f>(C$67*L67)-C8</f>
        <v>-356</v>
      </c>
      <c r="R8" s="42">
        <f t="shared" si="3"/>
        <v>610.04999999999995</v>
      </c>
      <c r="S8" s="30">
        <f t="shared" si="4"/>
        <v>3895038121901.4014</v>
      </c>
      <c r="T8" s="30">
        <f t="shared" si="5"/>
        <v>-54431579952.360001</v>
      </c>
      <c r="U8" s="31">
        <f t="shared" si="6"/>
        <v>-71.558424820856658</v>
      </c>
    </row>
    <row r="9" spans="2:21" ht="18" customHeight="1">
      <c r="B9" s="32" t="str">
        <f>'Data Entry'!A9</f>
        <v xml:space="preserve">4. Cases Diverted </v>
      </c>
      <c r="C9" s="33">
        <f>'Data Entry'!C9</f>
        <v>52</v>
      </c>
      <c r="D9" s="34">
        <f>IF((AND(C68&gt;0,C9&gt;0)),((C9/C68)),0)</f>
        <v>8.4278768233387353</v>
      </c>
      <c r="E9" s="33">
        <f>'Data Entry'!D9</f>
        <v>28</v>
      </c>
      <c r="F9" s="34">
        <f>IF((AND($E$9&gt;0,$D$68&gt;0)),(($E$9/$D$68)),0)</f>
        <v>5.3949903660886314</v>
      </c>
      <c r="G9" s="39">
        <f t="shared" si="7"/>
        <v>0.64013635689936266</v>
      </c>
      <c r="H9" s="40"/>
      <c r="I9" s="41"/>
      <c r="J9" s="40">
        <f>IF((ABS($U9)&gt;Defaults!D$7),1,2)</f>
        <v>1</v>
      </c>
      <c r="K9" s="39">
        <f>IF((AND(N9&gt;Defaults!B$12,(N9+O9)&gt;Defaults!B$13, P9 &gt; Defaults!B$12, (P9+Q9) &gt; Defaults!B$13)),1,20)</f>
        <v>1</v>
      </c>
      <c r="L9" s="1">
        <f t="shared" si="8"/>
        <v>1</v>
      </c>
      <c r="M9" s="1" t="b">
        <f t="shared" si="0"/>
        <v>1</v>
      </c>
      <c r="N9" s="42">
        <f t="shared" si="1"/>
        <v>28</v>
      </c>
      <c r="O9" s="42">
        <f>(D$68*L68)-E9</f>
        <v>491</v>
      </c>
      <c r="P9" s="42">
        <f t="shared" si="2"/>
        <v>52</v>
      </c>
      <c r="Q9" s="42">
        <f>(C$68*L68)-C9</f>
        <v>565</v>
      </c>
      <c r="R9" s="42">
        <f t="shared" si="3"/>
        <v>1136</v>
      </c>
      <c r="S9" s="30">
        <f t="shared" si="4"/>
        <v>107150864384</v>
      </c>
      <c r="T9" s="30">
        <f t="shared" si="5"/>
        <v>27052439040</v>
      </c>
      <c r="U9" s="31">
        <f t="shared" si="6"/>
        <v>3.960857807518416</v>
      </c>
    </row>
    <row r="10" spans="2:21" ht="18" customHeight="1">
      <c r="B10" s="32" t="str">
        <f>'Data Entry'!A10</f>
        <v>5. Cases Involving Secure Detention</v>
      </c>
      <c r="C10" s="33">
        <f>'Data Entry'!C10</f>
        <v>93</v>
      </c>
      <c r="D10" s="34">
        <f>IF(((AND(C68&gt;0,C10&gt;0))),(C10/(C68)),0)</f>
        <v>15.07293354943274</v>
      </c>
      <c r="E10" s="33">
        <f>'Data Entry'!D10</f>
        <v>116</v>
      </c>
      <c r="F10" s="34">
        <f>IF(((AND($E$10&gt;0,$D$68&gt;0))),($E$10/($D$68)),0)</f>
        <v>22.350674373795758</v>
      </c>
      <c r="G10" s="39">
        <f t="shared" si="7"/>
        <v>1.4828350632937615</v>
      </c>
      <c r="H10" s="40"/>
      <c r="I10" s="41"/>
      <c r="J10" s="40">
        <f>IF((ABS($U10)&gt;Defaults!D$7),1,2)</f>
        <v>1</v>
      </c>
      <c r="K10" s="39">
        <f>IF((AND(N10&gt;Defaults!B$12,(N10+O10)&gt;Defaults!B$13, P10 &gt; Defaults!B$12, (P10+Q10) &gt; Defaults!B$13)),1,20)</f>
        <v>1</v>
      </c>
      <c r="L10" s="1">
        <f t="shared" si="8"/>
        <v>1</v>
      </c>
      <c r="M10" s="1" t="b">
        <f t="shared" si="0"/>
        <v>1</v>
      </c>
      <c r="N10" s="42">
        <f t="shared" si="1"/>
        <v>116</v>
      </c>
      <c r="O10" s="42">
        <f>(D$68*L68)-E10</f>
        <v>403</v>
      </c>
      <c r="P10" s="42">
        <f t="shared" si="2"/>
        <v>93</v>
      </c>
      <c r="Q10" s="42">
        <f>(C$68*L68)-C10</f>
        <v>524</v>
      </c>
      <c r="R10" s="42">
        <f t="shared" si="3"/>
        <v>1136</v>
      </c>
      <c r="S10" s="30">
        <f t="shared" si="4"/>
        <v>616987756400</v>
      </c>
      <c r="T10" s="30">
        <f t="shared" si="5"/>
        <v>62040964689</v>
      </c>
      <c r="U10" s="31">
        <f t="shared" si="6"/>
        <v>9.944844660182941</v>
      </c>
    </row>
    <row r="11" spans="2:21" ht="18" customHeight="1">
      <c r="B11" s="32" t="str">
        <f>'Data Entry'!A11</f>
        <v>6. Cases Petitioned (Charge Filed)</v>
      </c>
      <c r="C11" s="33">
        <f>'Data Entry'!C11</f>
        <v>177</v>
      </c>
      <c r="D11" s="34">
        <f>IF(((AND(C68&gt;0,C11&gt;0))),(C11/(C68)),0)</f>
        <v>28.687196110210696</v>
      </c>
      <c r="E11" s="33">
        <f>'Data Entry'!D11</f>
        <v>149</v>
      </c>
      <c r="F11" s="34">
        <f>IF(((AND($E$11&gt;0,$D$68&gt;0))),($E$11/($D$68)),0)</f>
        <v>28.709055876685934</v>
      </c>
      <c r="G11" s="39">
        <f t="shared" si="7"/>
        <v>1.0007620042889955</v>
      </c>
      <c r="H11" s="40"/>
      <c r="I11" s="41"/>
      <c r="J11" s="40">
        <f>IF((ABS($U11)&gt;Defaults!D$7),1,2)</f>
        <v>2</v>
      </c>
      <c r="K11" s="39">
        <f>IF((AND(N11&gt;Defaults!B$12,(N11+O11)&gt;Defaults!B$13, P11 &gt; Defaults!B$12, (P11+Q11) &gt; Defaults!B$13)),1,20)</f>
        <v>1</v>
      </c>
      <c r="L11" s="1">
        <f t="shared" si="8"/>
        <v>2</v>
      </c>
      <c r="M11" s="1" t="b">
        <f t="shared" si="0"/>
        <v>1</v>
      </c>
      <c r="N11" s="42">
        <f t="shared" si="1"/>
        <v>149</v>
      </c>
      <c r="O11" s="42">
        <f>(D$68*L68)-E11</f>
        <v>370</v>
      </c>
      <c r="P11" s="42">
        <f t="shared" si="2"/>
        <v>177</v>
      </c>
      <c r="Q11" s="42">
        <f>(C$68*L68)-C11</f>
        <v>440</v>
      </c>
      <c r="R11" s="42">
        <f t="shared" si="3"/>
        <v>1136</v>
      </c>
      <c r="S11" s="30">
        <f t="shared" si="4"/>
        <v>5566400</v>
      </c>
      <c r="T11" s="30">
        <f t="shared" si="5"/>
        <v>84558085380</v>
      </c>
      <c r="U11" s="31">
        <f t="shared" si="6"/>
        <v>6.5829305086377774E-5</v>
      </c>
    </row>
    <row r="12" spans="2:21" ht="18" customHeight="1">
      <c r="B12" s="32" t="str">
        <f>'Data Entry'!A12</f>
        <v>7. Cases Resulting in Delinquent Findings</v>
      </c>
      <c r="C12" s="33">
        <f>'Data Entry'!C12</f>
        <v>137</v>
      </c>
      <c r="D12" s="34">
        <f>IF(((AND(C69&gt;0,C12&gt;0))),(C12/(C69)),0)</f>
        <v>77.401129943502823</v>
      </c>
      <c r="E12" s="33">
        <f>'Data Entry'!D12</f>
        <v>78</v>
      </c>
      <c r="F12" s="34">
        <f>IF(((AND($D$69&gt;0,$E$12&gt;0))),(E12/(D69)),0)</f>
        <v>52.348993288590606</v>
      </c>
      <c r="G12" s="39">
        <f t="shared" si="7"/>
        <v>0.6763337089109881</v>
      </c>
      <c r="H12" s="40"/>
      <c r="I12" s="41"/>
      <c r="J12" s="40">
        <f>IF((ABS($U12)&gt;Defaults!D$7),1,2)</f>
        <v>1</v>
      </c>
      <c r="K12" s="39">
        <f>IF((AND(N12&gt;Defaults!B$12,(N12+O12)&gt;Defaults!B$13, P12 &gt; Defaults!B$12, (P12+Q12) &gt; Defaults!B$13)),1,20)</f>
        <v>1</v>
      </c>
      <c r="L12" s="1">
        <f t="shared" si="8"/>
        <v>1</v>
      </c>
      <c r="M12" s="1" t="b">
        <f t="shared" si="0"/>
        <v>1</v>
      </c>
      <c r="N12" s="42">
        <f t="shared" si="1"/>
        <v>78</v>
      </c>
      <c r="O12" s="42">
        <f>(D69*L69)-E12</f>
        <v>71</v>
      </c>
      <c r="P12" s="42">
        <f t="shared" si="2"/>
        <v>137</v>
      </c>
      <c r="Q12" s="42">
        <f>(C69*L69)-C12</f>
        <v>40</v>
      </c>
      <c r="R12" s="42">
        <f t="shared" si="3"/>
        <v>326</v>
      </c>
      <c r="S12" s="30">
        <f t="shared" si="4"/>
        <v>14230698374</v>
      </c>
      <c r="T12" s="30">
        <f t="shared" si="5"/>
        <v>629391645</v>
      </c>
      <c r="U12" s="31">
        <f t="shared" si="6"/>
        <v>22.610243537630691</v>
      </c>
    </row>
    <row r="13" spans="2:21" ht="18" customHeight="1">
      <c r="B13" s="32" t="str">
        <f>'Data Entry'!A13</f>
        <v>8. Cases Resulting in Probation Placement</v>
      </c>
      <c r="C13" s="33">
        <f>'Data Entry'!C13</f>
        <v>13</v>
      </c>
      <c r="D13" s="34">
        <f>IF(((AND(C70&gt;0,C13&gt;0))),(C13/(C70)),0)</f>
        <v>9.4890510948905096</v>
      </c>
      <c r="E13" s="33">
        <f>'Data Entry'!D13</f>
        <v>8</v>
      </c>
      <c r="F13" s="34">
        <f>IF(((AND($D$70&gt;0,$E$13&gt;0))),($E$13/($D$70)),0)</f>
        <v>10.256410256410255</v>
      </c>
      <c r="G13" s="39">
        <f t="shared" si="7"/>
        <v>1.0808678500986193</v>
      </c>
      <c r="H13" s="40"/>
      <c r="I13" s="41"/>
      <c r="J13" s="40">
        <f>IF((ABS($U13)&gt;Defaults!D$7),1,2)</f>
        <v>2</v>
      </c>
      <c r="K13" s="39">
        <f>IF((AND(N13&gt;Defaults!B$12,(N13+O13)&gt;Defaults!B$13, P13 &gt; Defaults!B$12, (P13+Q13) &gt; Defaults!B$13)),1,20)</f>
        <v>1</v>
      </c>
      <c r="L13" s="1">
        <f t="shared" si="8"/>
        <v>2</v>
      </c>
      <c r="M13" s="1" t="b">
        <f t="shared" si="0"/>
        <v>1</v>
      </c>
      <c r="N13" s="42">
        <f t="shared" si="1"/>
        <v>8</v>
      </c>
      <c r="O13" s="42">
        <f>(D70*L70)-E13</f>
        <v>70</v>
      </c>
      <c r="P13" s="42">
        <f t="shared" si="2"/>
        <v>13</v>
      </c>
      <c r="Q13" s="42">
        <f>(C70*L70)-C13</f>
        <v>124</v>
      </c>
      <c r="R13" s="42">
        <f t="shared" si="3"/>
        <v>215</v>
      </c>
      <c r="S13" s="30">
        <f t="shared" si="4"/>
        <v>1445660</v>
      </c>
      <c r="T13" s="30">
        <f t="shared" si="5"/>
        <v>43534764</v>
      </c>
      <c r="U13" s="31">
        <f t="shared" si="6"/>
        <v>3.3207025080002728E-2</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Entry'!D14</f>
        <v>91</v>
      </c>
      <c r="F14" s="34">
        <f>IF(((AND($D$70&gt;0,$E$14&gt;0))), (($E$14/($D$70))),0)</f>
        <v>116.66666666666666</v>
      </c>
      <c r="G14" s="39">
        <f t="shared" si="7"/>
        <v>1.6824561403508773</v>
      </c>
      <c r="H14" s="40"/>
      <c r="I14" s="41"/>
      <c r="J14" s="40">
        <f>IF((ABS($U14)&gt;Defaults!D$7),1,2)</f>
        <v>1</v>
      </c>
      <c r="K14" s="39">
        <f>IF((AND(N14&gt;Defaults!B$12,(N14+O14)&gt;Defaults!B$13, P14 &gt; Defaults!B$12, (P14+Q14) &gt; Defaults!B$13)),1,20)</f>
        <v>1</v>
      </c>
      <c r="L14" s="1">
        <f t="shared" si="8"/>
        <v>1</v>
      </c>
      <c r="M14" s="1" t="b">
        <f t="shared" si="0"/>
        <v>1</v>
      </c>
      <c r="N14" s="42">
        <f t="shared" si="1"/>
        <v>91</v>
      </c>
      <c r="O14" s="42">
        <f>(D70*L70)-E14</f>
        <v>-13</v>
      </c>
      <c r="P14" s="42">
        <f t="shared" si="2"/>
        <v>95</v>
      </c>
      <c r="Q14" s="42">
        <f>(C70*L70)-C14</f>
        <v>42</v>
      </c>
      <c r="R14" s="42">
        <f t="shared" si="3"/>
        <v>215</v>
      </c>
      <c r="S14" s="30">
        <f t="shared" si="4"/>
        <v>5498248535</v>
      </c>
      <c r="T14" s="30">
        <f t="shared" si="5"/>
        <v>57640284</v>
      </c>
      <c r="U14" s="31">
        <f t="shared" si="6"/>
        <v>95.388991057018387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149</v>
      </c>
      <c r="P15" s="42">
        <f t="shared" si="2"/>
        <v>0</v>
      </c>
      <c r="Q15" s="42">
        <f>(C69*L69)-C15</f>
        <v>177</v>
      </c>
      <c r="R15" s="42">
        <f t="shared" si="3"/>
        <v>326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17.754999999999999</v>
      </c>
      <c r="E42" s="56">
        <f>MAX(C42:D42)</f>
        <v>81.597999999999999</v>
      </c>
      <c r="G42" s="1" t="str">
        <f>B42</f>
        <v>per 1000 youth</v>
      </c>
      <c r="L42" s="57">
        <v>1000</v>
      </c>
      <c r="M42" s="57"/>
      <c r="R42" s="49"/>
    </row>
    <row r="43" spans="2:18" ht="15" hidden="1" customHeight="1">
      <c r="B43" s="49" t="s">
        <v>87</v>
      </c>
      <c r="C43" s="56">
        <f>C7/100</f>
        <v>2.61</v>
      </c>
      <c r="D43" s="56">
        <f>E7/100</f>
        <v>3.49</v>
      </c>
      <c r="E43" s="56">
        <f>MAX(C43:D43,0)</f>
        <v>3.49</v>
      </c>
      <c r="G43" s="1" t="str">
        <f>B43</f>
        <v>per 100 arrests</v>
      </c>
      <c r="L43" s="57">
        <v>100</v>
      </c>
      <c r="M43" s="57"/>
      <c r="R43" s="49"/>
    </row>
    <row r="44" spans="2:18" ht="15" hidden="1" customHeight="1">
      <c r="B44" s="49" t="s">
        <v>88</v>
      </c>
      <c r="C44" s="56">
        <f>C8/100</f>
        <v>6.17</v>
      </c>
      <c r="D44" s="56">
        <f>E8/100</f>
        <v>5.19</v>
      </c>
      <c r="E44" s="56">
        <f>MAX(C44:D44,0)</f>
        <v>6.17</v>
      </c>
      <c r="G44" s="1" t="str">
        <f>B44</f>
        <v>per 100 referrals</v>
      </c>
      <c r="L44" s="57">
        <v>100</v>
      </c>
      <c r="M44" s="57"/>
      <c r="R44" s="49"/>
    </row>
    <row r="45" spans="2:18" ht="15" hidden="1" customHeight="1">
      <c r="B45" s="49" t="s">
        <v>89</v>
      </c>
      <c r="C45" s="49">
        <f>C11/100</f>
        <v>1.77</v>
      </c>
      <c r="D45" s="49">
        <f>E11/100</f>
        <v>1.49</v>
      </c>
      <c r="E45" s="56">
        <f>MAX(C45:D45,0)</f>
        <v>1.77</v>
      </c>
      <c r="G45" s="1" t="str">
        <f>B45</f>
        <v>per 100 youth petitioned</v>
      </c>
      <c r="L45" s="57">
        <v>100</v>
      </c>
      <c r="M45" s="57"/>
      <c r="R45" s="49"/>
    </row>
    <row r="46" spans="2:18" ht="15" hidden="1" customHeight="1">
      <c r="B46" s="49" t="s">
        <v>90</v>
      </c>
      <c r="C46" s="49">
        <f>C12/100</f>
        <v>1.37</v>
      </c>
      <c r="D46" s="49">
        <f>E12/100</f>
        <v>0.78</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17.754999999999999</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2.61</v>
      </c>
      <c r="D49" s="49">
        <f t="shared" si="9"/>
        <v>3.49</v>
      </c>
      <c r="E49" s="49">
        <f>MAX(C49:D49)</f>
        <v>3.49</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5.19</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1.49</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0.78</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17.754999999999999</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3.49</v>
      </c>
      <c r="E55" s="49">
        <f>MAX(C55:D55)</f>
        <v>3.49</v>
      </c>
      <c r="G55" s="1" t="str">
        <f>G49</f>
        <v>per 100 arrests</v>
      </c>
      <c r="L55" s="58">
        <f>IF(($E49&gt;0),L49,L48)</f>
        <v>100</v>
      </c>
      <c r="M55" s="58"/>
    </row>
    <row r="56" spans="2:18" ht="15" hidden="1" customHeight="1">
      <c r="B56" s="49" t="str">
        <f t="shared" si="10"/>
        <v>per 100 referrals</v>
      </c>
      <c r="C56" s="49">
        <f t="shared" si="10"/>
        <v>6.17</v>
      </c>
      <c r="D56" s="49">
        <f t="shared" si="10"/>
        <v>5.19</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1.49</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0.78</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17.754999999999999</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3.49</v>
      </c>
      <c r="E61" s="49">
        <f>MAX(C61:D61)</f>
        <v>3.49</v>
      </c>
      <c r="G61" s="1" t="str">
        <f>G55</f>
        <v>per 100 arrests</v>
      </c>
      <c r="L61" s="58">
        <f>IF(($E55&gt;0),L55,L54)</f>
        <v>100</v>
      </c>
      <c r="M61" s="58"/>
    </row>
    <row r="62" spans="2:18" ht="15" hidden="1" customHeight="1">
      <c r="B62" s="49" t="str">
        <f t="shared" si="11"/>
        <v>per 100 referrals</v>
      </c>
      <c r="C62" s="49">
        <f t="shared" si="11"/>
        <v>6.17</v>
      </c>
      <c r="D62" s="49">
        <f t="shared" si="11"/>
        <v>5.19</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1.49</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0.78</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17.754999999999999</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3.49</v>
      </c>
      <c r="E67" s="49">
        <f>MAX(C67:D67)</f>
        <v>3.49</v>
      </c>
      <c r="G67" s="1" t="str">
        <f>G61</f>
        <v>per 100 arrests</v>
      </c>
      <c r="L67" s="58">
        <f>IF(($E61&gt;0),L61,L60)</f>
        <v>100</v>
      </c>
      <c r="M67" s="58">
        <f>IF((B67=G67),1,2)</f>
        <v>1</v>
      </c>
    </row>
    <row r="68" spans="2:13" ht="15" hidden="1" customHeight="1">
      <c r="B68" s="49" t="str">
        <f t="shared" si="12"/>
        <v>per 100 referrals</v>
      </c>
      <c r="C68" s="49">
        <f t="shared" si="12"/>
        <v>6.17</v>
      </c>
      <c r="D68" s="49">
        <f t="shared" si="12"/>
        <v>5.19</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1.49</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0.78</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Entry'!F6</f>
        <v>11536</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Entry'!F7</f>
        <v>4</v>
      </c>
      <c r="F7" s="34">
        <f>IF((AND($E$7&gt;0,$D$66&gt;0)),($E$7/$D$66),0)</f>
        <v>0.34674063800277394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11532</v>
      </c>
      <c r="P7" s="42">
        <f t="shared" ref="P7:P15" si="4">C7</f>
        <v>261</v>
      </c>
      <c r="Q7" s="42">
        <f>C6-C7</f>
        <v>81337</v>
      </c>
      <c r="R7" s="42">
        <f t="shared" ref="R7:R15" si="5">SUM(N7:Q7)</f>
        <v>93134</v>
      </c>
      <c r="S7" s="30">
        <f t="shared" ref="S7:S15" si="6">R7*((((N7*Q7)-(O7*P7))^2))</f>
        <v>6.7117591979077414E+17</v>
      </c>
      <c r="T7" s="30">
        <f t="shared" ref="T7:T15" si="7">(N7+O7)*(P7+Q7)*(N7+P7)*(O7+Q7)</f>
        <v>2.316601880872048E+16</v>
      </c>
      <c r="U7" s="31">
        <f t="shared" ref="U7:U15" si="8">IF((S7&gt;0),S7/T7,"- -")</f>
        <v>28.972432653733346</v>
      </c>
    </row>
    <row r="8" spans="2:21" ht="18" customHeight="1">
      <c r="B8" s="32" t="str">
        <f>'Data Entry'!A8</f>
        <v>3. Refer to Juvenile Court</v>
      </c>
      <c r="C8" s="33">
        <f>'Data Entry'!C8</f>
        <v>617</v>
      </c>
      <c r="D8" s="34">
        <f>IF((AND(C67&gt;0,C8&gt;0)),(C8/C67),0)</f>
        <v>236.39846743295021</v>
      </c>
      <c r="E8" s="33">
        <f>'Data Entry'!F8</f>
        <v>6</v>
      </c>
      <c r="F8" s="34">
        <f>IF((AND($E$8&gt;0,$D$67&gt;0)),($E8/$D67),0)</f>
        <v>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-1.95</v>
      </c>
      <c r="P8" s="42">
        <f t="shared" si="4"/>
        <v>617</v>
      </c>
      <c r="Q8" s="42">
        <f>(C$67*L67)-C8</f>
        <v>-356</v>
      </c>
      <c r="R8" s="42">
        <f t="shared" si="5"/>
        <v>265.04999999999995</v>
      </c>
      <c r="S8" s="30">
        <f t="shared" si="6"/>
        <v>230648927.91862503</v>
      </c>
      <c r="T8" s="30">
        <f t="shared" si="7"/>
        <v>-235725162.5925</v>
      </c>
      <c r="U8" s="31">
        <f t="shared" si="8"/>
        <v>-0.97846545265661644</v>
      </c>
    </row>
    <row r="9" spans="2:21" ht="18" customHeight="1">
      <c r="B9" s="32" t="str">
        <f>'Data Entry'!A9</f>
        <v xml:space="preserve">4. Cases Diverted </v>
      </c>
      <c r="C9" s="33">
        <f>'Data Entry'!C9</f>
        <v>52</v>
      </c>
      <c r="D9" s="34">
        <f>IF((AND(C68&gt;0,C9&gt;0)),((C9/C68)),0)</f>
        <v>8.4278768233387353</v>
      </c>
      <c r="E9" s="33">
        <f>'Data Entry'!F9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5</v>
      </c>
      <c r="P9" s="42">
        <f t="shared" si="4"/>
        <v>52</v>
      </c>
      <c r="Q9" s="42">
        <f>(C$68*L68)-C9</f>
        <v>565</v>
      </c>
      <c r="R9" s="42">
        <f t="shared" si="5"/>
        <v>623</v>
      </c>
      <c r="S9" s="30">
        <f t="shared" si="6"/>
        <v>57954575</v>
      </c>
      <c r="T9" s="30">
        <f t="shared" si="7"/>
        <v>111837420</v>
      </c>
      <c r="U9" s="31">
        <f t="shared" si="8"/>
        <v>0.51820379082421608</v>
      </c>
    </row>
    <row r="10" spans="2:21" ht="18" customHeight="1">
      <c r="B10" s="32" t="str">
        <f>'Data Entry'!A10</f>
        <v>5. Cases Involving Secure Detention</v>
      </c>
      <c r="C10" s="33">
        <f>'Data Entry'!C10</f>
        <v>93</v>
      </c>
      <c r="D10" s="34">
        <f>IF(((AND(C68&gt;0,C10&gt;0))),(C10/(C68)),0)</f>
        <v>15.07293354943274</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93</v>
      </c>
      <c r="Q10" s="42">
        <f>(C$68*L68)-C10</f>
        <v>524</v>
      </c>
      <c r="R10" s="42">
        <f t="shared" si="5"/>
        <v>623</v>
      </c>
      <c r="S10" s="30">
        <f t="shared" si="6"/>
        <v>193979772</v>
      </c>
      <c r="T10" s="30">
        <f t="shared" si="7"/>
        <v>182471580</v>
      </c>
      <c r="U10" s="31">
        <f t="shared" si="8"/>
        <v>1.0630684076939543</v>
      </c>
    </row>
    <row r="11" spans="2:21" ht="18" customHeight="1">
      <c r="B11" s="32" t="str">
        <f>'Data Entry'!A11</f>
        <v>6. Cases Petitioned (Charge Filed)</v>
      </c>
      <c r="C11" s="33">
        <f>'Data Entry'!C11</f>
        <v>177</v>
      </c>
      <c r="D11" s="34">
        <f>IF(((AND(C68&gt;0,C11&gt;0))),(C11/(C68)),0)</f>
        <v>28.687196110210696</v>
      </c>
      <c r="E11" s="33">
        <f>'Data Entry'!F11</f>
        <v>1</v>
      </c>
      <c r="F11" s="34">
        <f>IF(((AND($E$11&gt;0,$D$68&gt;0))),($E$11/($D$68)),0)</f>
        <v>16.666666666666668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5</v>
      </c>
      <c r="P11" s="42">
        <f t="shared" si="4"/>
        <v>177</v>
      </c>
      <c r="Q11" s="42">
        <f>(C$68*L68)-C11</f>
        <v>440</v>
      </c>
      <c r="R11" s="42">
        <f t="shared" si="5"/>
        <v>623</v>
      </c>
      <c r="S11" s="30">
        <f t="shared" si="6"/>
        <v>123369575</v>
      </c>
      <c r="T11" s="30">
        <f t="shared" si="7"/>
        <v>293235420</v>
      </c>
      <c r="U11" s="31">
        <f t="shared" si="8"/>
        <v>0.42071853052404107</v>
      </c>
    </row>
    <row r="12" spans="2:21" ht="18" customHeight="1">
      <c r="B12" s="32" t="str">
        <f>'Data Entry'!A12</f>
        <v>7. Cases Resulting in Delinquent Findings</v>
      </c>
      <c r="C12" s="33">
        <f>'Data Entry'!C12</f>
        <v>137</v>
      </c>
      <c r="D12" s="34">
        <f>IF(((AND(C69&gt;0,C12&gt;0))),(C12/(C69)),0)</f>
        <v>77.401129943502823</v>
      </c>
      <c r="E12" s="33">
        <f>'Data Entry'!F12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137</v>
      </c>
      <c r="Q12" s="42">
        <f>(C69*L69)-C12</f>
        <v>40</v>
      </c>
      <c r="R12" s="42">
        <f t="shared" si="5"/>
        <v>178</v>
      </c>
      <c r="S12" s="30">
        <f t="shared" si="6"/>
        <v>284800</v>
      </c>
      <c r="T12" s="30">
        <f t="shared" si="7"/>
        <v>977040</v>
      </c>
      <c r="U12" s="31">
        <f t="shared" si="8"/>
        <v>0.29149267174322441</v>
      </c>
    </row>
    <row r="13" spans="2:21" ht="18" customHeight="1">
      <c r="B13" s="32" t="str">
        <f>'Data Entry'!A13</f>
        <v>8. Cases Resulting in Probation Placement</v>
      </c>
      <c r="C13" s="33">
        <f>'Data Entry'!C13</f>
        <v>13</v>
      </c>
      <c r="D13" s="34">
        <f>IF(((AND(C70&gt;0,C13&gt;0))),(C13/(C70)),0)</f>
        <v>9.4890510948905096</v>
      </c>
      <c r="E13" s="33">
        <f>'Data Entry'!F13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13</v>
      </c>
      <c r="Q13" s="42">
        <f>(C70*L70)-C13</f>
        <v>124</v>
      </c>
      <c r="R13" s="42">
        <f t="shared" si="5"/>
        <v>138</v>
      </c>
      <c r="S13" s="30">
        <f t="shared" si="6"/>
        <v>23322</v>
      </c>
      <c r="T13" s="30">
        <f t="shared" si="7"/>
        <v>222625</v>
      </c>
      <c r="U13" s="31">
        <f t="shared" si="8"/>
        <v>0.10475912408759123</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Entry'!F14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95</v>
      </c>
      <c r="Q14" s="42">
        <f>(C70*L70)-C14</f>
        <v>42</v>
      </c>
      <c r="R14" s="42">
        <f t="shared" si="5"/>
        <v>138</v>
      </c>
      <c r="S14" s="30">
        <f t="shared" si="6"/>
        <v>243432</v>
      </c>
      <c r="T14" s="30">
        <f t="shared" si="7"/>
        <v>552384</v>
      </c>
      <c r="U14" s="31">
        <f t="shared" si="8"/>
        <v>0.44069343065693428</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177</v>
      </c>
      <c r="R15" s="42">
        <f t="shared" si="5"/>
        <v>178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11.536</v>
      </c>
      <c r="E42" s="56">
        <f>MAX(C42:D42)</f>
        <v>81.597999999999999</v>
      </c>
      <c r="G42" s="1" t="str">
        <f>B42</f>
        <v>per 1000 youth</v>
      </c>
      <c r="L42" s="57">
        <v>1000</v>
      </c>
      <c r="M42" s="57"/>
      <c r="R42" s="49"/>
    </row>
    <row r="43" spans="2:18" ht="15" hidden="1" customHeight="1">
      <c r="B43" s="49" t="s">
        <v>87</v>
      </c>
      <c r="C43" s="56">
        <f>C7/100</f>
        <v>2.61</v>
      </c>
      <c r="D43" s="56">
        <f>E7/100</f>
        <v>0.04</v>
      </c>
      <c r="E43" s="56">
        <f>MAX(C43:D43,0)</f>
        <v>2.61</v>
      </c>
      <c r="G43" s="1" t="str">
        <f>B43</f>
        <v>per 100 arrests</v>
      </c>
      <c r="L43" s="57">
        <v>100</v>
      </c>
      <c r="M43" s="57"/>
      <c r="R43" s="49"/>
    </row>
    <row r="44" spans="2:18" ht="15" hidden="1" customHeight="1">
      <c r="B44" s="49" t="s">
        <v>88</v>
      </c>
      <c r="C44" s="56">
        <f>C8/100</f>
        <v>6.17</v>
      </c>
      <c r="D44" s="56">
        <f>E8/100</f>
        <v>0.06</v>
      </c>
      <c r="E44" s="56">
        <f>MAX(C44:D44,0)</f>
        <v>6.17</v>
      </c>
      <c r="G44" s="1" t="str">
        <f>B44</f>
        <v>per 100 referrals</v>
      </c>
      <c r="L44" s="57">
        <v>100</v>
      </c>
      <c r="M44" s="57"/>
      <c r="R44" s="49"/>
    </row>
    <row r="45" spans="2:18" ht="15" hidden="1" customHeight="1">
      <c r="B45" s="49" t="s">
        <v>89</v>
      </c>
      <c r="C45" s="49">
        <f>C11/100</f>
        <v>1.77</v>
      </c>
      <c r="D45" s="49">
        <f>E11/100</f>
        <v>0.01</v>
      </c>
      <c r="E45" s="56">
        <f>MAX(C45:D45,0)</f>
        <v>1.77</v>
      </c>
      <c r="G45" s="1" t="str">
        <f>B45</f>
        <v>per 100 youth petitioned</v>
      </c>
      <c r="L45" s="57">
        <v>100</v>
      </c>
      <c r="M45" s="57"/>
      <c r="R45" s="49"/>
    </row>
    <row r="46" spans="2:18" ht="15" hidden="1" customHeight="1">
      <c r="B46" s="49" t="s">
        <v>90</v>
      </c>
      <c r="C46" s="49">
        <f>C12/100</f>
        <v>1.37</v>
      </c>
      <c r="D46" s="49">
        <f>E12/100</f>
        <v>0.01</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11.536</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0.04</v>
      </c>
      <c r="E49" s="49">
        <f>MAX(C49:D49)</f>
        <v>2.61</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0.06</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0.01</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0.01</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11.536</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0.04</v>
      </c>
      <c r="E55" s="49">
        <f>MAX(C55:D55)</f>
        <v>2.61</v>
      </c>
      <c r="G55" s="1" t="str">
        <f>G49</f>
        <v>per 100 arrests</v>
      </c>
      <c r="L55" s="58">
        <f>IF(($E49&gt;0),L49,L48)</f>
        <v>100</v>
      </c>
      <c r="M55" s="58"/>
    </row>
    <row r="56" spans="2:18" ht="15" hidden="1" customHeight="1">
      <c r="B56" s="49" t="str">
        <f t="shared" si="10"/>
        <v>per 100 referrals</v>
      </c>
      <c r="C56" s="49">
        <f t="shared" si="10"/>
        <v>6.17</v>
      </c>
      <c r="D56" s="49">
        <f t="shared" si="10"/>
        <v>0.06</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0.01</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0.01</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11.536</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0.04</v>
      </c>
      <c r="E61" s="49">
        <f>MAX(C61:D61)</f>
        <v>2.61</v>
      </c>
      <c r="G61" s="1" t="str">
        <f>G55</f>
        <v>per 100 arrests</v>
      </c>
      <c r="L61" s="58">
        <f>IF(($E55&gt;0),L55,L54)</f>
        <v>100</v>
      </c>
      <c r="M61" s="58"/>
    </row>
    <row r="62" spans="2:18" ht="15" hidden="1" customHeight="1">
      <c r="B62" s="49" t="str">
        <f t="shared" si="11"/>
        <v>per 100 referrals</v>
      </c>
      <c r="C62" s="49">
        <f t="shared" si="11"/>
        <v>6.17</v>
      </c>
      <c r="D62" s="49">
        <f t="shared" si="11"/>
        <v>0.06</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0.01</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0.01</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11.536</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0.04</v>
      </c>
      <c r="E67" s="49">
        <f>MAX(C67:D67)</f>
        <v>2.61</v>
      </c>
      <c r="G67" s="1" t="str">
        <f>G61</f>
        <v>per 100 arrests</v>
      </c>
      <c r="L67" s="58">
        <f>IF(($E61&gt;0),L61,L60)</f>
        <v>100</v>
      </c>
      <c r="M67" s="58">
        <f>IF((B67=G67),1,2)</f>
        <v>1</v>
      </c>
    </row>
    <row r="68" spans="2:13" ht="15" hidden="1" customHeight="1">
      <c r="B68" s="49" t="str">
        <f t="shared" si="12"/>
        <v>per 100 referrals</v>
      </c>
      <c r="C68" s="49">
        <f t="shared" si="12"/>
        <v>6.17</v>
      </c>
      <c r="D68" s="49">
        <f t="shared" si="12"/>
        <v>0.06</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0.01</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0.01</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Entry'!E6</f>
        <v>8759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Entry'!E7</f>
        <v>29</v>
      </c>
      <c r="F7" s="34">
        <f>IF((AND($E$7&gt;0,$D$66&gt;0)),($E$7/$D$66),0)</f>
        <v>3.3108802374700308</v>
      </c>
      <c r="G7" s="39">
        <f t="shared" ref="G7:G15" si="0">IF(L$6=100,"*",IF(M7=FALSE,"--",IF(K7=20,"**",($F7/$D7))))</f>
        <v>1.03510040466314</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29</v>
      </c>
      <c r="O7" s="42">
        <f>E6-E7</f>
        <v>8730</v>
      </c>
      <c r="P7" s="42">
        <f t="shared" ref="P7:P15" si="4">C7</f>
        <v>261</v>
      </c>
      <c r="Q7" s="42">
        <f>C6-C7</f>
        <v>81337</v>
      </c>
      <c r="R7" s="42">
        <f t="shared" ref="R7:R15" si="5">SUM(N7:Q7)</f>
        <v>90357</v>
      </c>
      <c r="S7" s="30">
        <f t="shared" ref="S7:S15" si="6">R7*((((N7*Q7)-(O7*P7))^2))</f>
        <v>581803215650493</v>
      </c>
      <c r="T7" s="30">
        <f t="shared" ref="T7:T15" si="7">(N7+O7)*(P7+Q7)*(N7+P7)*(O7+Q7)</f>
        <v>1.866799756921726E+16</v>
      </c>
      <c r="U7" s="31">
        <f t="shared" ref="U7:U15" si="8">IF((S7&gt;0),S7/T7,"- -")</f>
        <v>3.116580733917932E-2</v>
      </c>
    </row>
    <row r="8" spans="2:21" ht="18" customHeight="1">
      <c r="B8" s="32" t="str">
        <f>'Data Entry'!A8</f>
        <v>3. Refer to Juvenile Court</v>
      </c>
      <c r="C8" s="33">
        <f>'Data Entry'!C8</f>
        <v>617</v>
      </c>
      <c r="D8" s="34">
        <f>IF((AND(C67&gt;0,C8&gt;0)),(C8/C67),0)</f>
        <v>236.39846743295021</v>
      </c>
      <c r="E8" s="33">
        <f>'Data Entry'!E8</f>
        <v>13</v>
      </c>
      <c r="F8" s="34">
        <f>IF((AND($E$8&gt;0,$D$67&gt;0)),($E8/$D67),0)</f>
        <v>44.827586206896555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13</v>
      </c>
      <c r="O8" s="42">
        <f>((D67*L67)-E8)+0.05</f>
        <v>16.049999999999997</v>
      </c>
      <c r="P8" s="42">
        <f t="shared" si="4"/>
        <v>617</v>
      </c>
      <c r="Q8" s="42">
        <f>(C$67*L67)-C8</f>
        <v>-356</v>
      </c>
      <c r="R8" s="42">
        <f t="shared" si="5"/>
        <v>290.04999999999995</v>
      </c>
      <c r="S8" s="30">
        <f t="shared" si="6"/>
        <v>61242781779.611107</v>
      </c>
      <c r="T8" s="30">
        <f t="shared" si="7"/>
        <v>-1623836275.425</v>
      </c>
      <c r="U8" s="31">
        <f t="shared" si="8"/>
        <v>-37.714874773063123</v>
      </c>
    </row>
    <row r="9" spans="2:21" ht="18" customHeight="1">
      <c r="B9" s="32" t="str">
        <f>'Data Entry'!A9</f>
        <v xml:space="preserve">4. Cases Diverted </v>
      </c>
      <c r="C9" s="33">
        <f>'Data Entry'!C9</f>
        <v>52</v>
      </c>
      <c r="D9" s="34">
        <f>IF((AND(C68&gt;0,C9&gt;0)),((C9/C68)),0)</f>
        <v>8.4278768233387353</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13</v>
      </c>
      <c r="P9" s="42">
        <f t="shared" si="4"/>
        <v>52</v>
      </c>
      <c r="Q9" s="42">
        <f>(C$68*L68)-C9</f>
        <v>565</v>
      </c>
      <c r="R9" s="42">
        <f t="shared" si="5"/>
        <v>630</v>
      </c>
      <c r="S9" s="30">
        <f t="shared" si="6"/>
        <v>287894880</v>
      </c>
      <c r="T9" s="30">
        <f t="shared" si="7"/>
        <v>241079176</v>
      </c>
      <c r="U9" s="31">
        <f t="shared" si="8"/>
        <v>1.1941922350024956</v>
      </c>
    </row>
    <row r="10" spans="2:21" ht="18" customHeight="1">
      <c r="B10" s="32" t="str">
        <f>'Data Entry'!A10</f>
        <v>5. Cases Involving Secure Detention</v>
      </c>
      <c r="C10" s="33">
        <f>'Data Entry'!C10</f>
        <v>93</v>
      </c>
      <c r="D10" s="34">
        <f>IF(((AND(C68&gt;0,C10&gt;0))),(C10/(C68)),0)</f>
        <v>15.07293354943274</v>
      </c>
      <c r="E10" s="33">
        <f>'Data Entry'!E10</f>
        <v>2</v>
      </c>
      <c r="F10" s="34">
        <f>IF(((AND($E$10&gt;0,$D$68&gt;0))),($E$10/($D$68)),0)</f>
        <v>15.384615384615383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11</v>
      </c>
      <c r="P10" s="42">
        <f t="shared" si="4"/>
        <v>93</v>
      </c>
      <c r="Q10" s="42">
        <f>(C$68*L68)-C10</f>
        <v>524</v>
      </c>
      <c r="R10" s="42">
        <f t="shared" si="5"/>
        <v>630</v>
      </c>
      <c r="S10" s="30">
        <f t="shared" si="6"/>
        <v>393750</v>
      </c>
      <c r="T10" s="30">
        <f t="shared" si="7"/>
        <v>407667325</v>
      </c>
      <c r="U10" s="31">
        <f t="shared" si="8"/>
        <v>9.6586107311887211E-4</v>
      </c>
    </row>
    <row r="11" spans="2:21" ht="18" customHeight="1">
      <c r="B11" s="32" t="str">
        <f>'Data Entry'!A11</f>
        <v>6. Cases Petitioned (Charge Filed)</v>
      </c>
      <c r="C11" s="33">
        <f>'Data Entry'!C11</f>
        <v>177</v>
      </c>
      <c r="D11" s="34">
        <f>IF(((AND(C68&gt;0,C11&gt;0))),(C11/(C68)),0)</f>
        <v>28.687196110210696</v>
      </c>
      <c r="E11" s="33">
        <f>'Data Entry'!E11</f>
        <v>6</v>
      </c>
      <c r="F11" s="34">
        <f>IF(((AND($E$11&gt;0,$D$68&gt;0))),($E$11/($D$68)),0)</f>
        <v>46.153846153846153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7</v>
      </c>
      <c r="P11" s="42">
        <f t="shared" si="4"/>
        <v>177</v>
      </c>
      <c r="Q11" s="42">
        <f>(C$68*L68)-C11</f>
        <v>440</v>
      </c>
      <c r="R11" s="42">
        <f t="shared" si="5"/>
        <v>630</v>
      </c>
      <c r="S11" s="30">
        <f t="shared" si="6"/>
        <v>1236564630</v>
      </c>
      <c r="T11" s="30">
        <f t="shared" si="7"/>
        <v>656125821</v>
      </c>
      <c r="U11" s="31">
        <f t="shared" si="8"/>
        <v>1.8846455823295514</v>
      </c>
    </row>
    <row r="12" spans="2:21" ht="18" customHeight="1">
      <c r="B12" s="32" t="str">
        <f>'Data Entry'!A12</f>
        <v>7. Cases Resulting in Delinquent Findings</v>
      </c>
      <c r="C12" s="33">
        <f>'Data Entry'!C12</f>
        <v>137</v>
      </c>
      <c r="D12" s="34">
        <f>IF(((AND(C69&gt;0,C12&gt;0))),(C12/(C69)),0)</f>
        <v>77.401129943502823</v>
      </c>
      <c r="E12" s="33">
        <f>'Data Entry'!E12</f>
        <v>4</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2</v>
      </c>
      <c r="P12" s="42">
        <f t="shared" si="4"/>
        <v>137</v>
      </c>
      <c r="Q12" s="42">
        <f>(C69*L69)-C12</f>
        <v>40</v>
      </c>
      <c r="R12" s="42">
        <f t="shared" si="5"/>
        <v>183</v>
      </c>
      <c r="S12" s="30">
        <f t="shared" si="6"/>
        <v>2378268</v>
      </c>
      <c r="T12" s="30">
        <f t="shared" si="7"/>
        <v>6289164</v>
      </c>
      <c r="U12" s="31">
        <f t="shared" si="8"/>
        <v>0.37815328078580873</v>
      </c>
    </row>
    <row r="13" spans="2:21" ht="18" customHeight="1">
      <c r="B13" s="32" t="str">
        <f>'Data Entry'!A13</f>
        <v>8. Cases Resulting in Probation Placement</v>
      </c>
      <c r="C13" s="33">
        <f>'Data Entry'!C13</f>
        <v>13</v>
      </c>
      <c r="D13" s="34">
        <f>IF(((AND(C70&gt;0,C13&gt;0))),(C13/(C70)),0)</f>
        <v>9.4890510948905096</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4</v>
      </c>
      <c r="P13" s="42">
        <f t="shared" si="4"/>
        <v>13</v>
      </c>
      <c r="Q13" s="42">
        <f>(C70*L70)-C13</f>
        <v>124</v>
      </c>
      <c r="R13" s="42">
        <f t="shared" si="5"/>
        <v>141</v>
      </c>
      <c r="S13" s="30">
        <f t="shared" si="6"/>
        <v>381264</v>
      </c>
      <c r="T13" s="30">
        <f t="shared" si="7"/>
        <v>911872</v>
      </c>
      <c r="U13" s="31">
        <f t="shared" si="8"/>
        <v>0.41811131386861317</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Entry'!E14</f>
        <v>2</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2</v>
      </c>
      <c r="P14" s="42">
        <f t="shared" si="4"/>
        <v>95</v>
      </c>
      <c r="Q14" s="42">
        <f>(C70*L70)-C14</f>
        <v>42</v>
      </c>
      <c r="R14" s="42">
        <f t="shared" si="5"/>
        <v>141</v>
      </c>
      <c r="S14" s="30">
        <f t="shared" si="6"/>
        <v>1584276</v>
      </c>
      <c r="T14" s="30">
        <f t="shared" si="7"/>
        <v>2338864</v>
      </c>
      <c r="U14" s="31">
        <f t="shared" si="8"/>
        <v>0.67736986844895641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177</v>
      </c>
      <c r="R15" s="42">
        <f t="shared" si="5"/>
        <v>183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8.7590000000000003</v>
      </c>
      <c r="E42" s="56">
        <f>MAX(C42:D42)</f>
        <v>81.597999999999999</v>
      </c>
      <c r="G42" s="1" t="str">
        <f>B42</f>
        <v>per 1000 youth</v>
      </c>
      <c r="L42" s="57">
        <v>1000</v>
      </c>
      <c r="M42" s="57"/>
      <c r="R42" s="49"/>
    </row>
    <row r="43" spans="2:18" ht="15" hidden="1" customHeight="1">
      <c r="B43" s="49" t="s">
        <v>87</v>
      </c>
      <c r="C43" s="56">
        <f>C7/100</f>
        <v>2.61</v>
      </c>
      <c r="D43" s="56">
        <f>E7/100</f>
        <v>0.28999999999999998</v>
      </c>
      <c r="E43" s="56">
        <f>MAX(C43:D43,0)</f>
        <v>2.61</v>
      </c>
      <c r="G43" s="1" t="str">
        <f>B43</f>
        <v>per 100 arrests</v>
      </c>
      <c r="L43" s="57">
        <v>100</v>
      </c>
      <c r="M43" s="57"/>
      <c r="R43" s="49"/>
    </row>
    <row r="44" spans="2:18" ht="15" hidden="1" customHeight="1">
      <c r="B44" s="49" t="s">
        <v>88</v>
      </c>
      <c r="C44" s="56">
        <f>C8/100</f>
        <v>6.17</v>
      </c>
      <c r="D44" s="56">
        <f>E8/100</f>
        <v>0.13</v>
      </c>
      <c r="E44" s="56">
        <f>MAX(C44:D44,0)</f>
        <v>6.17</v>
      </c>
      <c r="G44" s="1" t="str">
        <f>B44</f>
        <v>per 100 referrals</v>
      </c>
      <c r="L44" s="57">
        <v>100</v>
      </c>
      <c r="M44" s="57"/>
      <c r="R44" s="49"/>
    </row>
    <row r="45" spans="2:18" ht="15" hidden="1" customHeight="1">
      <c r="B45" s="49" t="s">
        <v>89</v>
      </c>
      <c r="C45" s="49">
        <f>C11/100</f>
        <v>1.77</v>
      </c>
      <c r="D45" s="49">
        <f>E11/100</f>
        <v>0.06</v>
      </c>
      <c r="E45" s="56">
        <f>MAX(C45:D45,0)</f>
        <v>1.77</v>
      </c>
      <c r="G45" s="1" t="str">
        <f>B45</f>
        <v>per 100 youth petitioned</v>
      </c>
      <c r="L45" s="57">
        <v>100</v>
      </c>
      <c r="M45" s="57"/>
      <c r="R45" s="49"/>
    </row>
    <row r="46" spans="2:18" ht="15" hidden="1" customHeight="1">
      <c r="B46" s="49" t="s">
        <v>90</v>
      </c>
      <c r="C46" s="49">
        <f>C12/100</f>
        <v>1.37</v>
      </c>
      <c r="D46" s="49">
        <f>E12/100</f>
        <v>0.04</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8.7590000000000003</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0.28999999999999998</v>
      </c>
      <c r="E49" s="49">
        <f>MAX(C49:D49)</f>
        <v>2.61</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0.13</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0.06</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0.04</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8.7590000000000003</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0.28999999999999998</v>
      </c>
      <c r="E55" s="49">
        <f>MAX(C55:D55)</f>
        <v>2.61</v>
      </c>
      <c r="G55" s="1" t="str">
        <f>G49</f>
        <v>per 100 arrests</v>
      </c>
      <c r="L55" s="58">
        <f>IF(($E49&gt;0),L49,L48)</f>
        <v>100</v>
      </c>
      <c r="M55" s="58"/>
    </row>
    <row r="56" spans="2:18" ht="15" hidden="1" customHeight="1">
      <c r="B56" s="49" t="str">
        <f t="shared" si="10"/>
        <v>per 100 referrals</v>
      </c>
      <c r="C56" s="49">
        <f t="shared" si="10"/>
        <v>6.17</v>
      </c>
      <c r="D56" s="49">
        <f t="shared" si="10"/>
        <v>0.13</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0.06</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0.04</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8.7590000000000003</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0.28999999999999998</v>
      </c>
      <c r="E61" s="49">
        <f>MAX(C61:D61)</f>
        <v>2.61</v>
      </c>
      <c r="G61" s="1" t="str">
        <f>G55</f>
        <v>per 100 arrests</v>
      </c>
      <c r="L61" s="58">
        <f>IF(($E55&gt;0),L55,L54)</f>
        <v>100</v>
      </c>
      <c r="M61" s="58"/>
    </row>
    <row r="62" spans="2:18" ht="15" hidden="1" customHeight="1">
      <c r="B62" s="49" t="str">
        <f t="shared" si="11"/>
        <v>per 100 referrals</v>
      </c>
      <c r="C62" s="49">
        <f t="shared" si="11"/>
        <v>6.17</v>
      </c>
      <c r="D62" s="49">
        <f t="shared" si="11"/>
        <v>0.13</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0.06</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0.04</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8.7590000000000003</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0.28999999999999998</v>
      </c>
      <c r="E67" s="49">
        <f>MAX(C67:D67)</f>
        <v>2.61</v>
      </c>
      <c r="G67" s="1" t="str">
        <f>G61</f>
        <v>per 100 arrests</v>
      </c>
      <c r="L67" s="58">
        <f>IF(($E61&gt;0),L61,L60)</f>
        <v>100</v>
      </c>
      <c r="M67" s="58">
        <f>IF((B67=G67),1,2)</f>
        <v>1</v>
      </c>
    </row>
    <row r="68" spans="2:13" ht="15" hidden="1" customHeight="1">
      <c r="B68" s="49" t="str">
        <f t="shared" si="12"/>
        <v>per 100 referrals</v>
      </c>
      <c r="C68" s="49">
        <f t="shared" si="12"/>
        <v>6.17</v>
      </c>
      <c r="D68" s="49">
        <f t="shared" si="12"/>
        <v>0.13</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0.06</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0.04</v>
      </c>
      <c r="E70" s="56">
        <f>MAX(C70:D70)</f>
        <v>1.37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Entry'!G7</f>
        <v>2</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2</v>
      </c>
      <c r="O7" s="42">
        <f>E6-E7</f>
        <v>-2</v>
      </c>
      <c r="P7" s="42">
        <f t="shared" ref="P7:P15" si="4">C7</f>
        <v>261</v>
      </c>
      <c r="Q7" s="42">
        <f>C6-C7</f>
        <v>81337</v>
      </c>
      <c r="R7" s="42">
        <f t="shared" ref="R7:R15" si="5">SUM(N7:Q7)</f>
        <v>81598</v>
      </c>
      <c r="S7" s="30">
        <f t="shared" ref="S7:S15" si="6">R7*((((N7*Q7)-(O7*P7))^2))</f>
        <v>2173194182476768</v>
      </c>
      <c r="T7" s="30">
        <f t="shared" ref="T7:T15" si="7">(N7+O7)*(P7+Q7)*(N7+P7)*(O7+Q7)</f>
        <v>0</v>
      </c>
      <c r="U7" s="31" t="e">
        <f t="shared" ref="U7:U15" si="8">IF((S7&gt;0),S7/T7,"- -")</f>
        <v>#DIV/0!</v>
      </c>
    </row>
    <row r="8" spans="2:21" ht="18" customHeight="1">
      <c r="B8" s="32" t="str">
        <f>'Data Entry'!A8</f>
        <v>3. Refer to Juvenile Court</v>
      </c>
      <c r="C8" s="33">
        <f>'Data Entry'!C8</f>
        <v>617</v>
      </c>
      <c r="D8" s="34">
        <f>IF((AND(C67&gt;0,C8&gt;0)),(C8/C67),0)</f>
        <v>236.39846743295021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2.0499999999999998</v>
      </c>
      <c r="P8" s="42">
        <f t="shared" si="4"/>
        <v>617</v>
      </c>
      <c r="Q8" s="42">
        <f>(C$67*L67)-C8</f>
        <v>-356</v>
      </c>
      <c r="R8" s="42">
        <f t="shared" si="5"/>
        <v>263.04999999999995</v>
      </c>
      <c r="S8" s="30">
        <f t="shared" si="6"/>
        <v>420839364.69362485</v>
      </c>
      <c r="T8" s="30">
        <f t="shared" si="7"/>
        <v>-116848044.60749999</v>
      </c>
      <c r="U8" s="31">
        <f t="shared" si="8"/>
        <v>-3.6015952693710114</v>
      </c>
    </row>
    <row r="9" spans="2:21" ht="18" customHeight="1">
      <c r="B9" s="32" t="str">
        <f>'Data Entry'!A9</f>
        <v xml:space="preserve">4. Cases Diverted </v>
      </c>
      <c r="C9" s="33">
        <f>'Data Entry'!C9</f>
        <v>52</v>
      </c>
      <c r="D9" s="34">
        <f>IF((AND(C68&gt;0,C9&gt;0)),((C9/C68)),0)</f>
        <v>8.4278768233387353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52</v>
      </c>
      <c r="Q9" s="42">
        <f>(C$68*L68)-C9</f>
        <v>565</v>
      </c>
      <c r="R9" s="42">
        <f t="shared" si="5"/>
        <v>617</v>
      </c>
      <c r="S9" s="30">
        <f t="shared" si="6"/>
        <v>0</v>
      </c>
      <c r="T9" s="30">
        <f t="shared" si="7"/>
        <v>0</v>
      </c>
      <c r="U9" s="31" t="str">
        <f t="shared" si="8"/>
        <v>- -</v>
      </c>
    </row>
    <row r="10" spans="2:21" ht="18" customHeight="1">
      <c r="B10" s="32" t="str">
        <f>'Data Entry'!A10</f>
        <v>5. Cases Involving Secure Detention</v>
      </c>
      <c r="C10" s="33">
        <f>'Data Entry'!C10</f>
        <v>93</v>
      </c>
      <c r="D10" s="34">
        <f>IF(((AND(C68&gt;0,C10&gt;0))),(C10/(C68)),0)</f>
        <v>15.07293354943274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93</v>
      </c>
      <c r="Q10" s="42">
        <f>(C$68*L68)-C10</f>
        <v>524</v>
      </c>
      <c r="R10" s="42">
        <f t="shared" si="5"/>
        <v>617</v>
      </c>
      <c r="S10" s="30">
        <f t="shared" si="6"/>
        <v>0</v>
      </c>
      <c r="T10" s="30">
        <f t="shared" si="7"/>
        <v>0</v>
      </c>
      <c r="U10" s="31" t="str">
        <f t="shared" si="8"/>
        <v>- -</v>
      </c>
    </row>
    <row r="11" spans="2:21" ht="18" customHeight="1">
      <c r="B11" s="32" t="str">
        <f>'Data Entry'!A11</f>
        <v>6. Cases Petitioned (Charge Filed)</v>
      </c>
      <c r="C11" s="33">
        <f>'Data Entry'!C11</f>
        <v>177</v>
      </c>
      <c r="D11" s="34">
        <f>IF(((AND(C68&gt;0,C11&gt;0))),(C11/(C68)),0)</f>
        <v>28.687196110210696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177</v>
      </c>
      <c r="Q11" s="42">
        <f>(C$68*L68)-C11</f>
        <v>440</v>
      </c>
      <c r="R11" s="42">
        <f t="shared" si="5"/>
        <v>617</v>
      </c>
      <c r="S11" s="30">
        <f t="shared" si="6"/>
        <v>0</v>
      </c>
      <c r="T11" s="30">
        <f t="shared" si="7"/>
        <v>0</v>
      </c>
      <c r="U11" s="31" t="str">
        <f t="shared" si="8"/>
        <v>- -</v>
      </c>
    </row>
    <row r="12" spans="2:21" ht="18" customHeight="1">
      <c r="B12" s="32" t="str">
        <f>'Data Entry'!A12</f>
        <v>7. Cases Resulting in Delinquent Findings</v>
      </c>
      <c r="C12" s="33">
        <f>'Data Entry'!C12</f>
        <v>137</v>
      </c>
      <c r="D12" s="34">
        <f>IF(((AND(C69&gt;0,C12&gt;0))),(C12/(C69)),0)</f>
        <v>77.401129943502823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137</v>
      </c>
      <c r="Q12" s="42">
        <f>(C69*L69)-C12</f>
        <v>40</v>
      </c>
      <c r="R12" s="42">
        <f t="shared" si="5"/>
        <v>177</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9.4890510948905096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124</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95</v>
      </c>
      <c r="Q14" s="42">
        <f>(C70*L70)-C14</f>
        <v>42</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177</v>
      </c>
      <c r="R15" s="42">
        <f t="shared" si="5"/>
        <v>177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0</v>
      </c>
      <c r="E42" s="56">
        <f>MAX(C42:D42)</f>
        <v>81.597999999999999</v>
      </c>
      <c r="G42" s="1" t="str">
        <f>B42</f>
        <v>per 1000 youth</v>
      </c>
      <c r="L42" s="57">
        <v>1000</v>
      </c>
      <c r="M42" s="57"/>
      <c r="R42" s="49"/>
    </row>
    <row r="43" spans="2:18" ht="15" hidden="1" customHeight="1">
      <c r="B43" s="49" t="s">
        <v>87</v>
      </c>
      <c r="C43" s="56">
        <f>C7/100</f>
        <v>2.61</v>
      </c>
      <c r="D43" s="56">
        <f>E7/100</f>
        <v>0.02</v>
      </c>
      <c r="E43" s="56">
        <f>MAX(C43:D43,0)</f>
        <v>2.61</v>
      </c>
      <c r="G43" s="1" t="str">
        <f>B43</f>
        <v>per 100 arrests</v>
      </c>
      <c r="L43" s="57">
        <v>100</v>
      </c>
      <c r="M43" s="57"/>
      <c r="R43" s="49"/>
    </row>
    <row r="44" spans="2:18" ht="15" hidden="1" customHeight="1">
      <c r="B44" s="49" t="s">
        <v>88</v>
      </c>
      <c r="C44" s="56">
        <f>C8/100</f>
        <v>6.17</v>
      </c>
      <c r="D44" s="56">
        <f>E8/100</f>
        <v>0</v>
      </c>
      <c r="E44" s="56">
        <f>MAX(C44:D44,0)</f>
        <v>6.17</v>
      </c>
      <c r="G44" s="1" t="str">
        <f>B44</f>
        <v>per 100 referrals</v>
      </c>
      <c r="L44" s="57">
        <v>100</v>
      </c>
      <c r="M44" s="57"/>
      <c r="R44" s="49"/>
    </row>
    <row r="45" spans="2:18" ht="15" hidden="1" customHeight="1">
      <c r="B45" s="49" t="s">
        <v>89</v>
      </c>
      <c r="C45" s="49">
        <f>C11/100</f>
        <v>1.77</v>
      </c>
      <c r="D45" s="49">
        <f>E11/100</f>
        <v>0</v>
      </c>
      <c r="E45" s="56">
        <f>MAX(C45:D45,0)</f>
        <v>1.77</v>
      </c>
      <c r="G45" s="1" t="str">
        <f>B45</f>
        <v>per 100 youth petitioned</v>
      </c>
      <c r="L45" s="57">
        <v>100</v>
      </c>
      <c r="M45" s="57"/>
      <c r="R45" s="49"/>
    </row>
    <row r="46" spans="2:18" ht="15" hidden="1" customHeight="1">
      <c r="B46" s="49" t="s">
        <v>90</v>
      </c>
      <c r="C46" s="49">
        <f>C12/100</f>
        <v>1.37</v>
      </c>
      <c r="D46" s="49">
        <f>E12/100</f>
        <v>0</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0</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0.02</v>
      </c>
      <c r="E49" s="49">
        <f>MAX(C49:D49)</f>
        <v>2.61</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0</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0</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0</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0.02</v>
      </c>
      <c r="E55" s="49">
        <f>MAX(C55:D55)</f>
        <v>2.61</v>
      </c>
      <c r="G55" s="1" t="str">
        <f>G49</f>
        <v>per 100 arrests</v>
      </c>
      <c r="L55" s="58">
        <f>IF(($E49&gt;0),L49,L48)</f>
        <v>100</v>
      </c>
      <c r="M55" s="58"/>
    </row>
    <row r="56" spans="2:18" ht="15" hidden="1" customHeight="1">
      <c r="B56" s="49" t="str">
        <f t="shared" si="10"/>
        <v>per 100 referrals</v>
      </c>
      <c r="C56" s="49">
        <f t="shared" si="10"/>
        <v>6.17</v>
      </c>
      <c r="D56" s="49">
        <f t="shared" si="10"/>
        <v>0</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0</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0</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0.02</v>
      </c>
      <c r="E61" s="49">
        <f>MAX(C61:D61)</f>
        <v>2.61</v>
      </c>
      <c r="G61" s="1" t="str">
        <f>G55</f>
        <v>per 100 arrests</v>
      </c>
      <c r="L61" s="58">
        <f>IF(($E55&gt;0),L55,L54)</f>
        <v>100</v>
      </c>
      <c r="M61" s="58"/>
    </row>
    <row r="62" spans="2:18" ht="15" hidden="1" customHeight="1">
      <c r="B62" s="49" t="str">
        <f t="shared" si="11"/>
        <v>per 100 referrals</v>
      </c>
      <c r="C62" s="49">
        <f t="shared" si="11"/>
        <v>6.17</v>
      </c>
      <c r="D62" s="49">
        <f t="shared" si="11"/>
        <v>0</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0</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0</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0.02</v>
      </c>
      <c r="E67" s="49">
        <f>MAX(C67:D67)</f>
        <v>2.61</v>
      </c>
      <c r="G67" s="1" t="str">
        <f>G61</f>
        <v>per 100 arrests</v>
      </c>
      <c r="L67" s="58">
        <f>IF(($E61&gt;0),L61,L60)</f>
        <v>100</v>
      </c>
      <c r="M67" s="58">
        <f>IF((B67=G67),1,2)</f>
        <v>1</v>
      </c>
    </row>
    <row r="68" spans="2:13" ht="15" hidden="1" customHeight="1">
      <c r="B68" s="49" t="str">
        <f t="shared" si="12"/>
        <v>per 100 referrals</v>
      </c>
      <c r="C68" s="49">
        <f t="shared" si="12"/>
        <v>6.17</v>
      </c>
      <c r="D68" s="49">
        <f t="shared" si="12"/>
        <v>0</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0</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Oakland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81598</v>
      </c>
      <c r="D6" s="34"/>
      <c r="E6" s="33">
        <f>'Data Entry'!H6</f>
        <v>474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261</v>
      </c>
      <c r="D7" s="34">
        <f>IF((AND(C66&gt;0,C7&gt;0)),(C7/C66),0)</f>
        <v>3.198607809014927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474</v>
      </c>
      <c r="P7" s="42">
        <f t="shared" ref="P7:P15" si="4">C7</f>
        <v>261</v>
      </c>
      <c r="Q7" s="42">
        <f>C6-C7</f>
        <v>81337</v>
      </c>
      <c r="R7" s="42">
        <f t="shared" ref="R7:R15" si="5">SUM(N7:Q7)</f>
        <v>82072</v>
      </c>
      <c r="S7" s="30">
        <f t="shared" ref="S7:S15" si="6">R7*((((N7*Q7)-(O7*P7))^2))</f>
        <v>1256124582345312</v>
      </c>
      <c r="T7" s="30">
        <f t="shared" ref="T7:T15" si="7">(N7+O7)*(P7+Q7)*(N7+P7)*(O7+Q7)</f>
        <v>825866907674292</v>
      </c>
      <c r="U7" s="31">
        <f t="shared" ref="U7:U15" si="8">IF((S7&gt;0),S7/T7,"- -")</f>
        <v>1.520977012970117</v>
      </c>
    </row>
    <row r="8" spans="2:21" ht="18" customHeight="1">
      <c r="B8" s="32" t="str">
        <f>'Data Entry'!A8</f>
        <v>3. Refer to Juvenile Court</v>
      </c>
      <c r="C8" s="33">
        <f>'Data Entry'!C8</f>
        <v>617</v>
      </c>
      <c r="D8" s="34">
        <f>IF((AND(C67&gt;0,C8&gt;0)),(C8/C67),0)</f>
        <v>236.39846743295021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617</v>
      </c>
      <c r="Q8" s="42">
        <f>(C$67*L67)-C8</f>
        <v>-356</v>
      </c>
      <c r="R8" s="42">
        <f t="shared" si="5"/>
        <v>261.04999999999995</v>
      </c>
      <c r="S8" s="30">
        <f t="shared" si="6"/>
        <v>248447.15862499998</v>
      </c>
      <c r="T8" s="30">
        <f t="shared" si="7"/>
        <v>-2866056.0074999998</v>
      </c>
      <c r="U8" s="31">
        <f t="shared" si="8"/>
        <v>-8.6686079397909316E-2</v>
      </c>
    </row>
    <row r="9" spans="2:21" ht="18" customHeight="1">
      <c r="B9" s="32" t="str">
        <f>'Data Entry'!A9</f>
        <v xml:space="preserve">4. Cases Diverted </v>
      </c>
      <c r="C9" s="33">
        <f>'Data Entry'!C9</f>
        <v>52</v>
      </c>
      <c r="D9" s="34">
        <f>IF((AND(C68&gt;0,C9&gt;0)),((C9/C68)),0)</f>
        <v>8.4278768233387353</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52</v>
      </c>
      <c r="Q9" s="42">
        <f>(C$68*L68)-C9</f>
        <v>565</v>
      </c>
      <c r="R9" s="42">
        <f t="shared" si="5"/>
        <v>617</v>
      </c>
      <c r="S9" s="30">
        <f t="shared" si="6"/>
        <v>0</v>
      </c>
      <c r="T9" s="30">
        <f t="shared" si="7"/>
        <v>0</v>
      </c>
      <c r="U9" s="31" t="str">
        <f t="shared" si="8"/>
        <v>- -</v>
      </c>
    </row>
    <row r="10" spans="2:21" ht="18" customHeight="1">
      <c r="B10" s="32" t="str">
        <f>'Data Entry'!A10</f>
        <v>5. Cases Involving Secure Detention</v>
      </c>
      <c r="C10" s="33">
        <f>'Data Entry'!C10</f>
        <v>93</v>
      </c>
      <c r="D10" s="34">
        <f>IF(((AND(C68&gt;0,C10&gt;0))),(C10/(C68)),0)</f>
        <v>15.07293354943274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93</v>
      </c>
      <c r="Q10" s="42">
        <f>(C$68*L68)-C10</f>
        <v>524</v>
      </c>
      <c r="R10" s="42">
        <f t="shared" si="5"/>
        <v>617</v>
      </c>
      <c r="S10" s="30">
        <f t="shared" si="6"/>
        <v>0</v>
      </c>
      <c r="T10" s="30">
        <f t="shared" si="7"/>
        <v>0</v>
      </c>
      <c r="U10" s="31" t="str">
        <f t="shared" si="8"/>
        <v>- -</v>
      </c>
    </row>
    <row r="11" spans="2:21" ht="18" customHeight="1">
      <c r="B11" s="32" t="str">
        <f>'Data Entry'!A11</f>
        <v>6. Cases Petitioned (Charge Filed)</v>
      </c>
      <c r="C11" s="33">
        <f>'Data Entry'!C11</f>
        <v>177</v>
      </c>
      <c r="D11" s="34">
        <f>IF(((AND(C68&gt;0,C11&gt;0))),(C11/(C68)),0)</f>
        <v>28.687196110210696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177</v>
      </c>
      <c r="Q11" s="42">
        <f>(C$68*L68)-C11</f>
        <v>440</v>
      </c>
      <c r="R11" s="42">
        <f t="shared" si="5"/>
        <v>617</v>
      </c>
      <c r="S11" s="30">
        <f t="shared" si="6"/>
        <v>0</v>
      </c>
      <c r="T11" s="30">
        <f t="shared" si="7"/>
        <v>0</v>
      </c>
      <c r="U11" s="31" t="str">
        <f t="shared" si="8"/>
        <v>- -</v>
      </c>
    </row>
    <row r="12" spans="2:21" ht="18" customHeight="1">
      <c r="B12" s="32" t="str">
        <f>'Data Entry'!A12</f>
        <v>7. Cases Resulting in Delinquent Findings</v>
      </c>
      <c r="C12" s="33">
        <f>'Data Entry'!C12</f>
        <v>137</v>
      </c>
      <c r="D12" s="34">
        <f>IF(((AND(C69&gt;0,C12&gt;0))),(C12/(C69)),0)</f>
        <v>77.401129943502823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137</v>
      </c>
      <c r="Q12" s="42">
        <f>(C69*L69)-C12</f>
        <v>40</v>
      </c>
      <c r="R12" s="42">
        <f t="shared" si="5"/>
        <v>177</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9.4890510948905096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124</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95</v>
      </c>
      <c r="D14" s="34">
        <f>IF(((AND(C70&gt;0,C14&gt;0))), ((C14/(C70))),0)</f>
        <v>69.343065693430646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95</v>
      </c>
      <c r="Q14" s="42">
        <f>(C70*L70)-C14</f>
        <v>42</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177</v>
      </c>
      <c r="R15" s="42">
        <f t="shared" si="5"/>
        <v>177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81.597999999999999</v>
      </c>
      <c r="D42" s="56">
        <f>E6/1000</f>
        <v>0.47399999999999998</v>
      </c>
      <c r="E42" s="56">
        <f>MAX(C42:D42)</f>
        <v>81.597999999999999</v>
      </c>
      <c r="G42" s="1" t="str">
        <f>B42</f>
        <v>per 1000 youth</v>
      </c>
      <c r="L42" s="57">
        <v>1000</v>
      </c>
      <c r="M42" s="57"/>
      <c r="R42" s="49"/>
    </row>
    <row r="43" spans="2:18" ht="15" hidden="1" customHeight="1">
      <c r="B43" s="49" t="s">
        <v>87</v>
      </c>
      <c r="C43" s="56">
        <f>C7/100</f>
        <v>2.61</v>
      </c>
      <c r="D43" s="56">
        <f>E7/100</f>
        <v>0</v>
      </c>
      <c r="E43" s="56">
        <f>MAX(C43:D43,0)</f>
        <v>2.61</v>
      </c>
      <c r="G43" s="1" t="str">
        <f>B43</f>
        <v>per 100 arrests</v>
      </c>
      <c r="L43" s="57">
        <v>100</v>
      </c>
      <c r="M43" s="57"/>
      <c r="R43" s="49"/>
    </row>
    <row r="44" spans="2:18" ht="15" hidden="1" customHeight="1">
      <c r="B44" s="49" t="s">
        <v>88</v>
      </c>
      <c r="C44" s="56">
        <f>C8/100</f>
        <v>6.17</v>
      </c>
      <c r="D44" s="56">
        <f>E8/100</f>
        <v>0</v>
      </c>
      <c r="E44" s="56">
        <f>MAX(C44:D44,0)</f>
        <v>6.17</v>
      </c>
      <c r="G44" s="1" t="str">
        <f>B44</f>
        <v>per 100 referrals</v>
      </c>
      <c r="L44" s="57">
        <v>100</v>
      </c>
      <c r="M44" s="57"/>
      <c r="R44" s="49"/>
    </row>
    <row r="45" spans="2:18" ht="15" hidden="1" customHeight="1">
      <c r="B45" s="49" t="s">
        <v>89</v>
      </c>
      <c r="C45" s="49">
        <f>C11/100</f>
        <v>1.77</v>
      </c>
      <c r="D45" s="49">
        <f>E11/100</f>
        <v>0</v>
      </c>
      <c r="E45" s="56">
        <f>MAX(C45:D45,0)</f>
        <v>1.77</v>
      </c>
      <c r="G45" s="1" t="str">
        <f>B45</f>
        <v>per 100 youth petitioned</v>
      </c>
      <c r="L45" s="57">
        <v>100</v>
      </c>
      <c r="M45" s="57"/>
      <c r="R45" s="49"/>
    </row>
    <row r="46" spans="2:18" ht="15" hidden="1" customHeight="1">
      <c r="B46" s="49" t="s">
        <v>90</v>
      </c>
      <c r="C46" s="49">
        <f>C12/100</f>
        <v>1.37</v>
      </c>
      <c r="D46" s="49">
        <f>E12/100</f>
        <v>0</v>
      </c>
      <c r="E46" s="56">
        <f>MAX(C46:D46)</f>
        <v>1.37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81.597999999999999</v>
      </c>
      <c r="D48" s="56">
        <f>D42</f>
        <v>0.47399999999999998</v>
      </c>
      <c r="E48" s="56">
        <f>MAX(C48:D48)</f>
        <v>81.597999999999999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2.61</v>
      </c>
      <c r="D49" s="49">
        <f t="shared" si="9"/>
        <v>0</v>
      </c>
      <c r="E49" s="49">
        <f>MAX(C49:D49)</f>
        <v>2.61</v>
      </c>
      <c r="G49" s="1" t="str">
        <f>G43</f>
        <v>per 100 arrests</v>
      </c>
      <c r="L49" s="58">
        <f>IF(($E43&gt;0),L43,L42)</f>
        <v>100</v>
      </c>
      <c r="M49" s="58"/>
      <c r="N49" s="21"/>
      <c r="O49" s="21"/>
      <c r="P49" s="21"/>
      <c r="Q49" s="21"/>
      <c r="R49" s="21"/>
    </row>
    <row r="50" spans="2:18" ht="15" hidden="1" customHeight="1">
      <c r="B50" s="49" t="str">
        <f t="shared" si="9"/>
        <v>per 100 referrals</v>
      </c>
      <c r="C50" s="49">
        <f t="shared" si="9"/>
        <v>6.17</v>
      </c>
      <c r="D50" s="49">
        <f t="shared" si="9"/>
        <v>0</v>
      </c>
      <c r="E50" s="49">
        <f>MAX(C50:D50)</f>
        <v>6.17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1.77</v>
      </c>
      <c r="D51" s="49">
        <f>IF(($E45&gt;0),D45,D44)</f>
        <v>0</v>
      </c>
      <c r="E51" s="49">
        <f>MAX(C51:D51)</f>
        <v>1.77</v>
      </c>
      <c r="G51" s="1" t="str">
        <f>G45</f>
        <v>per 100 youth petitioned</v>
      </c>
      <c r="L51" s="58">
        <f>IF(($E45&gt;0),L45,L44)</f>
        <v>100</v>
      </c>
      <c r="M51" s="58"/>
    </row>
    <row r="52" spans="2:18" ht="15" hidden="1" customHeight="1">
      <c r="B52" s="49" t="str">
        <f>IF(($E46&gt;0),B46,B45)</f>
        <v>per 100 youth found delinquent</v>
      </c>
      <c r="C52" s="49">
        <f>IF(($E46&gt;0),C46,C45)</f>
        <v>1.37</v>
      </c>
      <c r="D52" s="49">
        <f>IF(($E46&gt;0),D46,D45)</f>
        <v>0</v>
      </c>
      <c r="E52" s="56">
        <f>MAX(C52:D52)</f>
        <v>1.37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81.597999999999999</v>
      </c>
      <c r="D54" s="56">
        <f>D48</f>
        <v>0.47399999999999998</v>
      </c>
      <c r="E54" s="56">
        <f>MAX(C54:D54)</f>
        <v>81.597999999999999</v>
      </c>
      <c r="G54" s="1" t="str">
        <f>G48</f>
        <v>per 1000 youth</v>
      </c>
      <c r="L54" s="58">
        <f>L48</f>
        <v>1000</v>
      </c>
      <c r="M54" s="58"/>
    </row>
    <row r="55" spans="2:18" ht="15" hidden="1" customHeight="1">
      <c r="B55" s="49" t="str">
        <f t="shared" ref="B55:D56" si="10">IF(($E49&gt;0),B49,B48)</f>
        <v>per 100 arrests</v>
      </c>
      <c r="C55" s="49">
        <f t="shared" si="10"/>
        <v>2.61</v>
      </c>
      <c r="D55" s="49">
        <f t="shared" si="10"/>
        <v>0</v>
      </c>
      <c r="E55" s="49">
        <f>MAX(C55:D55)</f>
        <v>2.61</v>
      </c>
      <c r="G55" s="1" t="str">
        <f>G49</f>
        <v>per 100 arrests</v>
      </c>
      <c r="L55" s="58">
        <f>IF(($E49&gt;0),L49,L48)</f>
        <v>100</v>
      </c>
      <c r="M55" s="58"/>
    </row>
    <row r="56" spans="2:18" ht="15" hidden="1" customHeight="1">
      <c r="B56" s="49" t="str">
        <f t="shared" si="10"/>
        <v>per 100 referrals</v>
      </c>
      <c r="C56" s="49">
        <f t="shared" si="10"/>
        <v>6.17</v>
      </c>
      <c r="D56" s="49">
        <f t="shared" si="10"/>
        <v>0</v>
      </c>
      <c r="E56" s="49">
        <f>MAX(C56:D56)</f>
        <v>6.17</v>
      </c>
      <c r="G56" s="1" t="str">
        <f>G50</f>
        <v>per 100 referrals</v>
      </c>
      <c r="L56" s="58">
        <f>IF(($E50&gt;0),L50,L49)</f>
        <v>100</v>
      </c>
      <c r="M56" s="58"/>
    </row>
    <row r="57" spans="2:18" ht="15" hidden="1" customHeight="1">
      <c r="B57" s="49" t="str">
        <f>IF(($E51&gt;0),B51,B49)</f>
        <v>per 100 youth petitioned</v>
      </c>
      <c r="C57" s="49">
        <f>IF(($E51&gt;0),C51,C50)</f>
        <v>1.77</v>
      </c>
      <c r="D57" s="49">
        <f>IF(($E51&gt;0),D51,D50)</f>
        <v>0</v>
      </c>
      <c r="E57" s="49">
        <f>MAX(C57:D57)</f>
        <v>1.77</v>
      </c>
      <c r="G57" s="1" t="str">
        <f>G51</f>
        <v>per 100 youth petitioned</v>
      </c>
      <c r="L57" s="58">
        <f>IF(($E51&gt;0),L51,L50)</f>
        <v>100</v>
      </c>
      <c r="M57" s="58"/>
    </row>
    <row r="58" spans="2:18" ht="15" hidden="1" customHeight="1">
      <c r="B58" s="49" t="str">
        <f>IF(($E52&gt;0),B52,B51)</f>
        <v>per 100 youth found delinquent</v>
      </c>
      <c r="C58" s="49">
        <f>IF(($E52&gt;0),C52,C51)</f>
        <v>1.37</v>
      </c>
      <c r="D58" s="49">
        <f>IF(($E52&gt;0),D52,D51)</f>
        <v>0</v>
      </c>
      <c r="E58" s="56">
        <f>MAX(C58:D58)</f>
        <v>1.37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81.597999999999999</v>
      </c>
      <c r="D60" s="56">
        <f>D54</f>
        <v>0.47399999999999998</v>
      </c>
      <c r="E60" s="56">
        <f>MAX(C60:D60)</f>
        <v>81.597999999999999</v>
      </c>
      <c r="G60" s="1" t="str">
        <f>G54</f>
        <v>per 1000 youth</v>
      </c>
      <c r="L60" s="58">
        <f>L54</f>
        <v>1000</v>
      </c>
      <c r="M60" s="58"/>
    </row>
    <row r="61" spans="2:18" ht="15" hidden="1" customHeight="1">
      <c r="B61" s="49" t="str">
        <f t="shared" ref="B61:D62" si="11">IF(($E55&gt;0),B55,B54)</f>
        <v>per 100 arrests</v>
      </c>
      <c r="C61" s="49">
        <f t="shared" si="11"/>
        <v>2.61</v>
      </c>
      <c r="D61" s="49">
        <f t="shared" si="11"/>
        <v>0</v>
      </c>
      <c r="E61" s="49">
        <f>MAX(C61:D61)</f>
        <v>2.61</v>
      </c>
      <c r="G61" s="1" t="str">
        <f>G55</f>
        <v>per 100 arrests</v>
      </c>
      <c r="L61" s="58">
        <f>IF(($E55&gt;0),L55,L54)</f>
        <v>100</v>
      </c>
      <c r="M61" s="58"/>
    </row>
    <row r="62" spans="2:18" ht="15" hidden="1" customHeight="1">
      <c r="B62" s="49" t="str">
        <f t="shared" si="11"/>
        <v>per 100 referrals</v>
      </c>
      <c r="C62" s="49">
        <f t="shared" si="11"/>
        <v>6.17</v>
      </c>
      <c r="D62" s="49">
        <f t="shared" si="11"/>
        <v>0</v>
      </c>
      <c r="E62" s="49">
        <f>MAX(C62:D62)</f>
        <v>6.17</v>
      </c>
      <c r="G62" s="1" t="str">
        <f>G56</f>
        <v>per 100 referrals</v>
      </c>
      <c r="L62" s="58">
        <f>IF(($E56&gt;0),L56,L55)</f>
        <v>100</v>
      </c>
      <c r="M62" s="58"/>
    </row>
    <row r="63" spans="2:18" ht="15" hidden="1" customHeight="1">
      <c r="B63" s="49" t="str">
        <f>IF(($E57&gt;0),B57,B55)</f>
        <v>per 100 youth petitioned</v>
      </c>
      <c r="C63" s="49">
        <f>IF(($E57&gt;0),C57,C56)</f>
        <v>1.77</v>
      </c>
      <c r="D63" s="49">
        <f>IF(($E57&gt;0),D57,D56)</f>
        <v>0</v>
      </c>
      <c r="E63" s="49">
        <f>MAX(C63:D63)</f>
        <v>1.77</v>
      </c>
      <c r="G63" s="1" t="str">
        <f>G57</f>
        <v>per 100 youth petitioned</v>
      </c>
      <c r="L63" s="58">
        <f>IF(($E57&gt;0),L57,L56)</f>
        <v>100</v>
      </c>
      <c r="M63" s="58"/>
    </row>
    <row r="64" spans="2:18" ht="15" hidden="1" customHeight="1">
      <c r="B64" s="49" t="str">
        <f>IF(($E58&gt;0),B58,B57)</f>
        <v>per 100 youth found delinquent</v>
      </c>
      <c r="C64" s="49">
        <f>IF(($E58&gt;0),C58,C57)</f>
        <v>1.37</v>
      </c>
      <c r="D64" s="49">
        <f>IF(($E58&gt;0),D58,D57)</f>
        <v>0</v>
      </c>
      <c r="E64" s="56">
        <f>MAX(C64:D64)</f>
        <v>1.37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81.597999999999999</v>
      </c>
      <c r="D66" s="56">
        <f>D60</f>
        <v>0.47399999999999998</v>
      </c>
      <c r="E66" s="56">
        <f>MAX(C66:D66)</f>
        <v>81.597999999999999</v>
      </c>
      <c r="G66" s="1" t="str">
        <f>G60</f>
        <v>per 1000 youth</v>
      </c>
      <c r="L66" s="58">
        <f>L60</f>
        <v>1000</v>
      </c>
      <c r="M66" s="58">
        <f>IF((B66=G66),1,2)</f>
        <v>1</v>
      </c>
    </row>
    <row r="67" spans="2:13" ht="15" hidden="1" customHeight="1">
      <c r="B67" s="49" t="str">
        <f t="shared" ref="B67:D68" si="12">IF(($E61&gt;0),B61,B60)</f>
        <v>per 100 arrests</v>
      </c>
      <c r="C67" s="49">
        <f t="shared" si="12"/>
        <v>2.61</v>
      </c>
      <c r="D67" s="49">
        <f t="shared" si="12"/>
        <v>0</v>
      </c>
      <c r="E67" s="49">
        <f>MAX(C67:D67)</f>
        <v>2.61</v>
      </c>
      <c r="G67" s="1" t="str">
        <f>G61</f>
        <v>per 100 arrests</v>
      </c>
      <c r="L67" s="58">
        <f>IF(($E61&gt;0),L61,L60)</f>
        <v>100</v>
      </c>
      <c r="M67" s="58">
        <f>IF((B67=G67),1,2)</f>
        <v>1</v>
      </c>
    </row>
    <row r="68" spans="2:13" ht="15" hidden="1" customHeight="1">
      <c r="B68" s="49" t="str">
        <f t="shared" si="12"/>
        <v>per 100 referrals</v>
      </c>
      <c r="C68" s="49">
        <f t="shared" si="12"/>
        <v>6.17</v>
      </c>
      <c r="D68" s="49">
        <f t="shared" si="12"/>
        <v>0</v>
      </c>
      <c r="E68" s="49">
        <f>MAX(C68:D68)</f>
        <v>6.17</v>
      </c>
      <c r="G68" s="1" t="str">
        <f>G62</f>
        <v>per 100 referrals</v>
      </c>
      <c r="L68" s="58">
        <f>IF(($E62&gt;0),L62,L61)</f>
        <v>100</v>
      </c>
      <c r="M68" s="58">
        <f>IF((B68=G68),1,2)</f>
        <v>1</v>
      </c>
    </row>
    <row r="69" spans="2:13" ht="15" hidden="1" customHeight="1">
      <c r="B69" s="49" t="str">
        <f>IF(($E63&gt;0),B63,B61)</f>
        <v>per 100 youth petitioned</v>
      </c>
      <c r="C69" s="49">
        <f>IF(($E63&gt;0),C63,C62)</f>
        <v>1.77</v>
      </c>
      <c r="D69" s="49">
        <f>IF(($E63&gt;0),D63,D62)</f>
        <v>0</v>
      </c>
      <c r="E69" s="49">
        <f>MAX(C69:D69)</f>
        <v>1.77</v>
      </c>
      <c r="G69" s="1" t="str">
        <f>G63</f>
        <v>per 100 youth petitioned</v>
      </c>
      <c r="L69" s="58">
        <f>IF(($E63&gt;0),L63,L62)</f>
        <v>100</v>
      </c>
      <c r="M69" s="58">
        <f>IF((B69=G69),1,2)</f>
        <v>1</v>
      </c>
    </row>
    <row r="70" spans="2:13" ht="15" hidden="1" customHeight="1">
      <c r="B70" s="49" t="str">
        <f>IF(($E64&gt;0),B64,B63)</f>
        <v>per 100 youth found delinquent</v>
      </c>
      <c r="C70" s="49">
        <f>IF(($E64&gt;0),C64,C63)</f>
        <v>1.37</v>
      </c>
      <c r="D70" s="49">
        <f>IF(($E64&gt;0),D64,D63)</f>
        <v>0</v>
      </c>
      <c r="E70" s="56">
        <f>MAX(C70:D70)</f>
        <v>1.37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U47JMPN4QEAR-1806752177-30492</_dlc_DocId>
    <_dlc_DocIdUrl xmlns="ac3811b5-0f3e-49e2-ba69-f2ffa0c782af">
      <Url>https://michiganphi.sharepoint.com/sites/CMDMC/_layouts/15/DocIdRedir.aspx?ID=U47JMPN4QEAR-1806752177-30492</Url>
      <Description>U47JMPN4QEAR-1806752177-30492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794C5C-8D42-45E4-AC50-9708D98A6BBD}">
  <ds:schemaRefs>
    <ds:schemaRef ds:uri="http://schemas.microsoft.com/sharepoint/v3/contenttype/forms"/>
  </ds:schemaRefs>
</ds:datastoreItem>
</file>

<file path=customXml/itemProps2.xml><?xml version="1.0" encoding="utf-8"?>
<ds:datastoreItem xmlns:ds="http://schemas.openxmlformats.org/officeDocument/2006/customXml" ds:itemID="{FBF9FF2E-2F91-44A3-90FA-6B998BBF5B51}"/>
</file>

<file path=customXml/itemProps3.xml><?xml version="1.0" encoding="utf-8"?>
<ds:datastoreItem xmlns:ds="http://schemas.openxmlformats.org/officeDocument/2006/customXml" ds:itemID="{38A91E17-C40A-4365-9101-B525A54E021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5C810CA0-4593-407B-97E2-864231DA15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745e3e18-aa7e-488a-81c0-f3be3645ab14</vt:lpwstr>
  </property>
</Properties>
</file>