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8" documentId="8_{6D136958-C838-4753-93F8-416ACE69D3AB}" xr6:coauthVersionLast="47" xr6:coauthVersionMax="47" xr10:uidLastSave="{B03F69CA-DBE4-4A50-8EDA-07ED9B4115C3}"/>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50" i="4" s="1"/>
  <c r="G56" i="4" s="1"/>
  <c r="G62" i="4" s="1"/>
  <c r="G68" i="4" s="1"/>
  <c r="G45" i="4"/>
  <c r="G51" i="4" s="1"/>
  <c r="G57" i="4" s="1"/>
  <c r="G63" i="4" s="1"/>
  <c r="G69" i="4" s="1"/>
  <c r="G46" i="4"/>
  <c r="L48" i="4"/>
  <c r="L54" i="4" s="1"/>
  <c r="L60" i="4" s="1"/>
  <c r="L66"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L54" i="7" s="1"/>
  <c r="L60" i="7" s="1"/>
  <c r="L66" i="7" s="1"/>
  <c r="G50" i="7"/>
  <c r="G56" i="7"/>
  <c r="G62" i="7" s="1"/>
  <c r="G68" i="7" s="1"/>
  <c r="G52" i="7"/>
  <c r="G58" i="7" s="1"/>
  <c r="G64" i="7" s="1"/>
  <c r="G70"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L54" i="8" s="1"/>
  <c r="L60" i="8" s="1"/>
  <c r="L66"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F27" i="2"/>
  <c r="M66" i="2"/>
  <c r="M66" i="7"/>
  <c r="F27" i="7"/>
  <c r="M66" i="3"/>
  <c r="F27" i="3"/>
  <c r="M66" i="6"/>
  <c r="F27" i="6"/>
  <c r="F27" i="5"/>
  <c r="M66" i="5"/>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C49" i="7" s="1"/>
  <c r="E46" i="3"/>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L49" i="7"/>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L64" i="5"/>
  <c r="B56" i="8"/>
  <c r="L56" i="8"/>
  <c r="L64" i="3"/>
  <c r="D64" i="5"/>
  <c r="C57" i="8"/>
  <c r="C64" i="5"/>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64" i="5"/>
  <c r="C63" i="3"/>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C70" i="3" l="1"/>
  <c r="D14" i="3" s="1"/>
  <c r="B70" i="5"/>
  <c r="F33" i="5" s="1"/>
  <c r="E63" i="3"/>
  <c r="C69" i="3" s="1"/>
  <c r="D12" i="3" s="1"/>
  <c r="C69" i="7"/>
  <c r="D12" i="7" s="1"/>
  <c r="C70" i="5"/>
  <c r="D13" i="5" s="1"/>
  <c r="L70" i="5"/>
  <c r="Q13" i="5" s="1"/>
  <c r="D70" i="5"/>
  <c r="F14" i="5" s="1"/>
  <c r="D70" i="6"/>
  <c r="F13" i="6" s="1"/>
  <c r="C63" i="8"/>
  <c r="L63" i="8"/>
  <c r="L70" i="8" s="1"/>
  <c r="B70" i="3"/>
  <c r="M70" i="3" s="1"/>
  <c r="L70" i="6"/>
  <c r="D63" i="8"/>
  <c r="L70" i="3"/>
  <c r="Q13" i="3" s="1"/>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D13" i="3"/>
  <c r="Q9" i="3"/>
  <c r="O10" i="3"/>
  <c r="E68" i="3"/>
  <c r="O9" i="3"/>
  <c r="F31" i="3"/>
  <c r="F29" i="3"/>
  <c r="D14" i="4"/>
  <c r="L70" i="7"/>
  <c r="O14" i="7" s="1"/>
  <c r="M69" i="7"/>
  <c r="C70" i="8"/>
  <c r="B70" i="8"/>
  <c r="M70" i="8" s="1"/>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D69" i="3"/>
  <c r="E69" i="3" s="1"/>
  <c r="L69" i="3"/>
  <c r="Q12" i="3" s="1"/>
  <c r="B69" i="3"/>
  <c r="M69" i="3" s="1"/>
  <c r="D14" i="5"/>
  <c r="D15" i="7"/>
  <c r="M70" i="5"/>
  <c r="F34" i="5"/>
  <c r="O13" i="6"/>
  <c r="Q12" i="7"/>
  <c r="B69" i="6"/>
  <c r="M69" i="6" s="1"/>
  <c r="Q14" i="5"/>
  <c r="E63" i="8"/>
  <c r="D69" i="8" s="1"/>
  <c r="F12" i="8" s="1"/>
  <c r="Q14" i="3"/>
  <c r="O15" i="7"/>
  <c r="Q13" i="8"/>
  <c r="E69" i="7"/>
  <c r="F14" i="6"/>
  <c r="Q13" i="6"/>
  <c r="Q14" i="6"/>
  <c r="F13" i="5"/>
  <c r="O13" i="5"/>
  <c r="T13" i="5" s="1"/>
  <c r="E70" i="3"/>
  <c r="E70" i="6"/>
  <c r="O14" i="6"/>
  <c r="D14" i="6"/>
  <c r="E70" i="5"/>
  <c r="O14" i="5"/>
  <c r="F33" i="3"/>
  <c r="Q15" i="7"/>
  <c r="F34" i="3"/>
  <c r="O12" i="7"/>
  <c r="O13" i="3"/>
  <c r="T13" i="3" s="1"/>
  <c r="F14" i="3"/>
  <c r="C69" i="6"/>
  <c r="D12" i="6" s="1"/>
  <c r="F12" i="7"/>
  <c r="O14" i="3"/>
  <c r="D69" i="6"/>
  <c r="F12" i="6" s="1"/>
  <c r="T10" i="3"/>
  <c r="K10" i="4"/>
  <c r="F8" i="7"/>
  <c r="T9" i="4"/>
  <c r="T11" i="4"/>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F32" i="2"/>
  <c r="O13" i="8"/>
  <c r="R10" i="3"/>
  <c r="S10" i="3" s="1"/>
  <c r="F8" i="2"/>
  <c r="O14" i="8"/>
  <c r="F14" i="8"/>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F33" i="8"/>
  <c r="C70" i="2"/>
  <c r="D14" i="2" s="1"/>
  <c r="D13" i="8"/>
  <c r="O15" i="3"/>
  <c r="Q15" i="3"/>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2" i="7" l="1"/>
  <c r="U10" i="3"/>
  <c r="J10" i="3" s="1"/>
  <c r="M10" i="3" s="1"/>
  <c r="G10" i="3" s="1"/>
  <c r="I11" i="16" s="1"/>
  <c r="R13" i="6"/>
  <c r="S13" i="6" s="1"/>
  <c r="U13" i="6" s="1"/>
  <c r="J13" i="6" s="1"/>
  <c r="M13" i="6" s="1"/>
  <c r="G13" i="6" s="1"/>
  <c r="M14" i="13" s="1"/>
  <c r="T13" i="6"/>
  <c r="Q15" i="6"/>
  <c r="F32" i="6"/>
  <c r="F35" i="6"/>
  <c r="R14" i="3"/>
  <c r="S14" i="3" s="1"/>
  <c r="U14" i="3" s="1"/>
  <c r="J14" i="3" s="1"/>
  <c r="M14" i="3" s="1"/>
  <c r="G14" i="3" s="1"/>
  <c r="I15" i="16" s="1"/>
  <c r="C69" i="8"/>
  <c r="D12" i="8" s="1"/>
  <c r="K14" i="5"/>
  <c r="K12" i="7"/>
  <c r="R12" i="7"/>
  <c r="S12" i="7" s="1"/>
  <c r="B69" i="8"/>
  <c r="M69" i="8" s="1"/>
  <c r="K13" i="6"/>
  <c r="Q12" i="6"/>
  <c r="L69" i="8"/>
  <c r="O15" i="8" s="1"/>
  <c r="R15" i="7"/>
  <c r="S15" i="7" s="1"/>
  <c r="U15" i="7" s="1"/>
  <c r="J15" i="7" s="1"/>
  <c r="M15" i="7" s="1"/>
  <c r="R13" i="8"/>
  <c r="S13" i="8" s="1"/>
  <c r="K14" i="6"/>
  <c r="O15" i="6"/>
  <c r="K15" i="6" s="1"/>
  <c r="R14" i="6"/>
  <c r="S14" i="6" s="1"/>
  <c r="U14" i="6" s="1"/>
  <c r="J14" i="6" s="1"/>
  <c r="M14" i="6" s="1"/>
  <c r="G14" i="6" s="1"/>
  <c r="M15" i="13" s="1"/>
  <c r="K13" i="5"/>
  <c r="R13" i="5"/>
  <c r="S13" i="5" s="1"/>
  <c r="U13" i="5" s="1"/>
  <c r="J13" i="5" s="1"/>
  <c r="M13" i="5" s="1"/>
  <c r="K13" i="3"/>
  <c r="R14" i="8"/>
  <c r="S14" i="8" s="1"/>
  <c r="U9" i="4"/>
  <c r="J9" i="4" s="1"/>
  <c r="M9" i="4" s="1"/>
  <c r="G9" i="4" s="1"/>
  <c r="G10" i="16" s="1"/>
  <c r="U10" i="4"/>
  <c r="J10" i="4" s="1"/>
  <c r="M10" i="4" s="1"/>
  <c r="G10" i="4" s="1"/>
  <c r="G11" i="16" s="1"/>
  <c r="K15" i="7"/>
  <c r="T14" i="6"/>
  <c r="R13" i="3"/>
  <c r="S13" i="3" s="1"/>
  <c r="U13" i="3" s="1"/>
  <c r="J13" i="3" s="1"/>
  <c r="T14" i="5"/>
  <c r="R14" i="5"/>
  <c r="S14" i="5" s="1"/>
  <c r="U14" i="5" s="1"/>
  <c r="J14" i="5" s="1"/>
  <c r="M14" i="5" s="1"/>
  <c r="K14" i="3"/>
  <c r="T13" i="8"/>
  <c r="T14" i="3"/>
  <c r="T15" i="7"/>
  <c r="O12" i="6"/>
  <c r="E69" i="6"/>
  <c r="D15" i="6"/>
  <c r="F15" i="6"/>
  <c r="L13" i="4"/>
  <c r="O14" i="16" s="1"/>
  <c r="L11" i="4"/>
  <c r="O12" i="16" s="1"/>
  <c r="K8" i="7"/>
  <c r="T15" i="6"/>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R13" i="7"/>
  <c r="S13" i="7" s="1"/>
  <c r="Q13" i="2"/>
  <c r="U9" i="3"/>
  <c r="J9" i="3" s="1"/>
  <c r="L9" i="3" s="1"/>
  <c r="K15" i="3"/>
  <c r="T15" i="3"/>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2" i="7" l="1"/>
  <c r="J12" i="7" s="1"/>
  <c r="L12" i="7" s="1"/>
  <c r="L13" i="6"/>
  <c r="R14" i="16" s="1"/>
  <c r="G13" i="9"/>
  <c r="N30" i="3"/>
  <c r="L14" i="3"/>
  <c r="P15" i="16" s="1"/>
  <c r="L15" i="7"/>
  <c r="S16" i="16" s="1"/>
  <c r="I15" i="13"/>
  <c r="E14" i="9"/>
  <c r="R15" i="6"/>
  <c r="S15" i="6" s="1"/>
  <c r="U15" i="6" s="1"/>
  <c r="J15" i="6" s="1"/>
  <c r="L15" i="6" s="1"/>
  <c r="R16" i="16" s="1"/>
  <c r="D15" i="8"/>
  <c r="K12" i="6"/>
  <c r="E69" i="8"/>
  <c r="G10" i="13"/>
  <c r="F32" i="8"/>
  <c r="F35" i="8"/>
  <c r="Q15" i="8"/>
  <c r="R15" i="8" s="1"/>
  <c r="S15" i="8" s="1"/>
  <c r="U15" i="8" s="1"/>
  <c r="J15" i="8" s="1"/>
  <c r="Q12" i="8"/>
  <c r="O12" i="8"/>
  <c r="U13" i="8"/>
  <c r="J13" i="8" s="1"/>
  <c r="M13" i="8" s="1"/>
  <c r="G13" i="8" s="1"/>
  <c r="I13" i="9" s="1"/>
  <c r="U13" i="7"/>
  <c r="J13" i="7" s="1"/>
  <c r="M13" i="7" s="1"/>
  <c r="U14" i="8"/>
  <c r="J14" i="8" s="1"/>
  <c r="N30" i="8" s="1"/>
  <c r="R12" i="6"/>
  <c r="S12" i="6" s="1"/>
  <c r="U12" i="6" s="1"/>
  <c r="J12" i="6" s="1"/>
  <c r="L13" i="5"/>
  <c r="Q14" i="16" s="1"/>
  <c r="L14" i="5"/>
  <c r="Q15" i="16" s="1"/>
  <c r="L13" i="3"/>
  <c r="P14" i="16" s="1"/>
  <c r="G11" i="13"/>
  <c r="L10" i="4"/>
  <c r="O11" i="16" s="1"/>
  <c r="D9" i="9"/>
  <c r="D10" i="9"/>
  <c r="L9" i="4"/>
  <c r="O10" i="16" s="1"/>
  <c r="N30" i="5"/>
  <c r="M13" i="3"/>
  <c r="G13" i="3" s="1"/>
  <c r="I14" i="13" s="1"/>
  <c r="T12" i="6"/>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P13" i="9"/>
  <c r="K9" i="7"/>
  <c r="T14" i="2"/>
  <c r="V12" i="13"/>
  <c r="X14" i="13"/>
  <c r="N11" i="9"/>
  <c r="T15" i="5"/>
  <c r="L15" i="3"/>
  <c r="P16" i="16" s="1"/>
  <c r="M9" i="3"/>
  <c r="G9" i="3" s="1"/>
  <c r="I10" i="13" s="1"/>
  <c r="G12" i="13"/>
  <c r="G12" i="16"/>
  <c r="N9" i="9"/>
  <c r="P10" i="16"/>
  <c r="M14" i="7"/>
  <c r="N30" i="7"/>
  <c r="L14" i="7"/>
  <c r="S15" i="16" s="1"/>
  <c r="L8" i="7"/>
  <c r="S9" i="16" s="1"/>
  <c r="V10"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M12" i="7" l="1"/>
  <c r="S13" i="16"/>
  <c r="Y13" i="13"/>
  <c r="Q12" i="9"/>
  <c r="N14" i="9"/>
  <c r="V15" i="13"/>
  <c r="Y16" i="13"/>
  <c r="Q15" i="9"/>
  <c r="L12" i="6"/>
  <c r="R13" i="16" s="1"/>
  <c r="M15" i="6"/>
  <c r="G15" i="6" s="1"/>
  <c r="G15" i="9" s="1"/>
  <c r="M9" i="9"/>
  <c r="U11" i="7"/>
  <c r="J11" i="7" s="1"/>
  <c r="M11" i="7" s="1"/>
  <c r="L13" i="7"/>
  <c r="S14" i="16" s="1"/>
  <c r="T15" i="8"/>
  <c r="K15" i="8"/>
  <c r="L15" i="8" s="1"/>
  <c r="T16" i="16" s="1"/>
  <c r="T12" i="8"/>
  <c r="U11" i="13"/>
  <c r="R12" i="8"/>
  <c r="S12" i="8" s="1"/>
  <c r="K12" i="8"/>
  <c r="L13" i="8"/>
  <c r="T14" i="16" s="1"/>
  <c r="U10" i="7"/>
  <c r="J10" i="7" s="1"/>
  <c r="M10" i="7" s="1"/>
  <c r="V14" i="13"/>
  <c r="O14" i="9"/>
  <c r="W15" i="13"/>
  <c r="M10" i="9"/>
  <c r="L14" i="8"/>
  <c r="T15" i="16" s="1"/>
  <c r="M12" i="6"/>
  <c r="G12" i="6" s="1"/>
  <c r="G12" i="9" s="1"/>
  <c r="M14" i="8"/>
  <c r="G14" i="8" s="1"/>
  <c r="K15" i="16" s="1"/>
  <c r="O13" i="9"/>
  <c r="W14" i="13"/>
  <c r="K14" i="16"/>
  <c r="N13" i="9"/>
  <c r="Q14" i="13"/>
  <c r="E13" i="9"/>
  <c r="U10" i="13"/>
  <c r="U14" i="2"/>
  <c r="J14" i="2" s="1"/>
  <c r="M14" i="2" s="1"/>
  <c r="G14" i="2" s="1"/>
  <c r="E15" i="16" s="1"/>
  <c r="U13" i="2"/>
  <c r="J13" i="2" s="1"/>
  <c r="M13" i="2" s="1"/>
  <c r="G13" i="2" s="1"/>
  <c r="E14" i="16" s="1"/>
  <c r="I14" i="16"/>
  <c r="L8" i="6"/>
  <c r="R9" i="16" s="1"/>
  <c r="X16" i="13"/>
  <c r="P15" i="9"/>
  <c r="L15" i="5"/>
  <c r="Q16" i="16" s="1"/>
  <c r="T9" i="13"/>
  <c r="L8" i="9"/>
  <c r="X15" i="13"/>
  <c r="P14" i="9"/>
  <c r="G8" i="9"/>
  <c r="Q14" i="9"/>
  <c r="Y15" i="13"/>
  <c r="E9" i="13"/>
  <c r="L10" i="2"/>
  <c r="N11" i="16" s="1"/>
  <c r="L11" i="6"/>
  <c r="R12" i="16" s="1"/>
  <c r="V16" i="13"/>
  <c r="N15" i="9"/>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X13" i="13"/>
  <c r="L12" i="9"/>
  <c r="T13" i="13"/>
  <c r="M15" i="8"/>
  <c r="G15" i="8" s="1"/>
  <c r="K16" i="16" s="1"/>
  <c r="L15" i="4"/>
  <c r="O16" i="16" s="1"/>
  <c r="M15" i="4"/>
  <c r="G15" i="4" s="1"/>
  <c r="G16" i="16" s="1"/>
  <c r="M8" i="8"/>
  <c r="G8" i="8" s="1"/>
  <c r="K9" i="16" s="1"/>
  <c r="L8" i="8"/>
  <c r="T9" i="16" s="1"/>
  <c r="U11" i="8"/>
  <c r="J11" i="8" s="1"/>
  <c r="L11" i="7"/>
  <c r="S12" i="16" s="1"/>
  <c r="U10" i="8"/>
  <c r="J10" i="8" s="1"/>
  <c r="L9" i="6"/>
  <c r="R10" i="16" s="1"/>
  <c r="M9" i="6"/>
  <c r="G9" i="6" s="1"/>
  <c r="M10" i="6"/>
  <c r="G10" i="6" s="1"/>
  <c r="L10" i="6"/>
  <c r="R11" i="16" s="1"/>
  <c r="U12" i="8" l="1"/>
  <c r="J12" i="8" s="1"/>
  <c r="M12" i="8" s="1"/>
  <c r="G12" i="8" s="1"/>
  <c r="K13" i="16" s="1"/>
  <c r="M16" i="13"/>
  <c r="P12" i="9"/>
  <c r="R13" i="9"/>
  <c r="Y14" i="13"/>
  <c r="Q13" i="9"/>
  <c r="Z14" i="13"/>
  <c r="L10" i="7"/>
  <c r="S11" i="16" s="1"/>
  <c r="M13" i="13"/>
  <c r="Z15" i="13"/>
  <c r="R14" i="9"/>
  <c r="N30" i="2"/>
  <c r="I14" i="9"/>
  <c r="Q15" i="13"/>
  <c r="L14" i="2"/>
  <c r="N15" i="16" s="1"/>
  <c r="L12" i="8"/>
  <c r="T13" i="16" s="1"/>
  <c r="E14" i="13"/>
  <c r="E15" i="13"/>
  <c r="L13" i="2"/>
  <c r="N14" i="16" s="1"/>
  <c r="C13" i="9"/>
  <c r="C14"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Q13" i="13" l="1"/>
  <c r="I12" i="9"/>
  <c r="Y11" i="13"/>
  <c r="Q10" i="9"/>
  <c r="T15" i="13"/>
  <c r="T14" i="13"/>
  <c r="L13" i="9"/>
  <c r="L14" i="9"/>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<sst xmlns="http://schemas.openxmlformats.org/spreadsheetml/2006/main" count="654" uniqueCount="141">
  <si>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</si>
  <si>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</si>
  <si>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</si>
  <si>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</si>
  <si>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</si>
  <si>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</si>
  <si>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</si>
  <si>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</si>
  <si>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</si>
  <si>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</si>
  <si>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</si>
  <si>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</si>
  <si>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</si>
  <si>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</si>
  <si>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</si>
  <si>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</si>
  <si>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</si>
  <si>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</si>
  <si>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</si>
  <si>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</si>
  <si>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</si>
  <si>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</si>
  <si>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</si>
  <si>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</si>
  <si>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</si>
  <si>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</si>
  <si>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</si>
  <si>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</si>
  <si>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</si>
  <si>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</si>
  <si>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</si>
  <si>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</si>
  <si>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</si>
  <si>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</si>
  <si>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</si>
  <si>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</si>
  <si>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</si>
  <si>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</si>
  <si>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</si>
  <si>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</si>
  <si>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</si>
  <si>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</si>
  <si>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</si>
  <si>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</si>
  <si>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</si>
  <si>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</si>
  <si>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</si>
  <si>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</si>
  <si>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</si>
  <si>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</si>
  <si>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</si>
  <si>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</si>
  <si>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</si>
  <si>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</si>
  <si>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</si>
  <si>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</si>
  <si>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</si>
  <si>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</si>
  <si>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</si>
  <si>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</si>
  <si>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</si>
  <si>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</si>
  <si>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</si>
  <si>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</si>
  <si>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</si>
  <si>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</si>
  <si>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</si>
  <si>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</si>
  <si>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</si>
  <si>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</si>
  <si>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</si>
  <si>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</si>
  <si>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</si>
  <si>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</si>
  <si>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</si>
  <si>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</si>
  <si>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</si>
  <si>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</si>
  <si>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</si>
  <si>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</si>
  <si>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</si>
  <si>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</si>
  <si>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</si>
  <si>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</si>
  <si>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</si>
  <si>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</si>
  <si>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</si>
  <si>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</si>
  <si>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</si>
  <si>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</si>
  <si>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</si>
  <si>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</si>
  <si>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</si>
  <si>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</si>
  <si>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</si>
  <si>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</si>
  <si>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</si>
  <si>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</si>
  <si>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</si>
  <si>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</si>
  <si>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</si>
  <si>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</si>
  <si>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</si>
  <si>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</si>
  <si>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</si>
  <si>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</si>
  <si>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</si>
  <si>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</si>
  <si>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</si>
  <si>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</si>
  <si>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</si>
  <si>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</si>
  <si>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</si>
  <si>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</si>
  <si>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</si>
  <si>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</si>
  <si>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</si>
  <si>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</si>
  <si>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</si>
  <si>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</si>
  <si>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</si>
  <si>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</si>
  <si>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</si>
  <si>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</si>
  <si>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</si>
  <si>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</si>
  <si>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</si>
  <si>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</si>
  <si>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</si>
  <si>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</si>
  <si>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</si>
  <si>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</si>
  <si>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</si>
  <si>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</si>
  <si>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</si>
  <si>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</si>
  <si>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Newaygo</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</si>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</sst>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Newaygo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N=29</c:v>
                </c:pt>
                <c:pt idx="3">
                  <c:v>Petitions, total N=45</c:v>
                </c:pt>
                <c:pt idx="4">
                  <c:v>Detentions, total N=2</c:v>
                </c:pt>
                <c:pt idx="5">
                  <c:v>Referrals, total N=150</c:v>
                </c:pt>
                <c:pt idx="6">
                  <c:v>Arrests, total N=18</c:v>
                </c:pt>
                <c:pt idx="7">
                  <c:v>Population, total N=5170</c:v>
                </c:pt>
              </c:strCache>
            </c:strRef>
          </c:cat>
          <c:val>
            <c:numRef>
              <c:f>'Stacked 100%'!$B$7:$B$14</c:f>
              <c:numCache>
                <c:formatCode>0%</c:formatCode>
                <c:ptCount val="8"/>
                <c:pt idx="0">
                  <c:v>0</c:v>
                </c:pt>
                <c:pt idx="1">
                  <c:v>0</c:v>
                </c:pt>
                <c:pt idx="2">
                  <c:v>0</c:v>
                </c:pt>
                <c:pt idx="3">
                  <c:v>0</c:v>
                </c:pt>
                <c:pt idx="4">
                  <c:v>0</c:v>
                </c:pt>
                <c:pt idx="5">
                  <c:v>1.3333333333333334E-2</c:v>
                </c:pt>
                <c:pt idx="6">
                  <c:v>0</c:v>
                </c:pt>
                <c:pt idx="7">
                  <c:v>2.2050290135396517E-2</c:v>
                </c:pt>
              </c:numCache>
            </c:numRef>
          </c:val>
          <c:extLst>
            <c:ext xmlns:c16="http://schemas.microsoft.com/office/drawing/2014/chart" uri="{C3380CC4-5D6E-409C-BE32-E72D297353CC}">
              <c16:uniqueId val="{00000000-00C3-4CED-A987-BB0ADB114A4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N=29</c:v>
                </c:pt>
                <c:pt idx="3">
                  <c:v>Petitions, total N=45</c:v>
                </c:pt>
                <c:pt idx="4">
                  <c:v>Detentions, total N=2</c:v>
                </c:pt>
                <c:pt idx="5">
                  <c:v>Referrals, total N=150</c:v>
                </c:pt>
                <c:pt idx="6">
                  <c:v>Arrests, total N=18</c:v>
                </c:pt>
                <c:pt idx="7">
                  <c:v>Population, total N=5170</c:v>
                </c:pt>
              </c:strCache>
            </c:strRef>
          </c:cat>
          <c:val>
            <c:numRef>
              <c:f>'Stacked 100%'!$C$7:$C$14</c:f>
              <c:numCache>
                <c:formatCode>0%</c:formatCode>
                <c:ptCount val="8"/>
                <c:pt idx="0">
                  <c:v>0</c:v>
                </c:pt>
                <c:pt idx="1">
                  <c:v>0</c:v>
                </c:pt>
                <c:pt idx="2">
                  <c:v>0</c:v>
                </c:pt>
                <c:pt idx="3">
                  <c:v>0</c:v>
                </c:pt>
                <c:pt idx="4">
                  <c:v>0</c:v>
                </c:pt>
                <c:pt idx="5">
                  <c:v>0</c:v>
                </c:pt>
                <c:pt idx="6">
                  <c:v>5.5555555555555552E-2</c:v>
                </c:pt>
                <c:pt idx="7">
                  <c:v>0.10483558994197292</c:v>
                </c:pt>
              </c:numCache>
            </c:numRef>
          </c:val>
          <c:extLst>
            <c:ext xmlns:c16="http://schemas.microsoft.com/office/drawing/2014/chart" uri="{C3380CC4-5D6E-409C-BE32-E72D297353CC}">
              <c16:uniqueId val="{00000001-00C3-4CED-A987-BB0ADB114A4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N=29</c:v>
                </c:pt>
                <c:pt idx="3">
                  <c:v>Petitions, total N=45</c:v>
                </c:pt>
                <c:pt idx="4">
                  <c:v>Detentions, total N=2</c:v>
                </c:pt>
                <c:pt idx="5">
                  <c:v>Referrals, total N=150</c:v>
                </c:pt>
                <c:pt idx="6">
                  <c:v>Arrests, total N=18</c:v>
                </c:pt>
                <c:pt idx="7">
                  <c:v>Population, total N=5170</c:v>
                </c:pt>
              </c:strCache>
            </c:strRef>
          </c:cat>
          <c:val>
            <c:numRef>
              <c:f>'Stacked 100%'!$H$7:$H$14</c:f>
              <c:numCache>
                <c:formatCode>0%</c:formatCode>
                <c:ptCount val="8"/>
                <c:pt idx="0">
                  <c:v>0</c:v>
                </c:pt>
                <c:pt idx="1">
                  <c:v>0</c:v>
                </c:pt>
                <c:pt idx="2">
                  <c:v>3.5671819262782403E-3</c:v>
                </c:pt>
                <c:pt idx="3">
                  <c:v>4.9382716049382715E-3</c:v>
                </c:pt>
                <c:pt idx="4">
                  <c:v>0</c:v>
                </c:pt>
                <c:pt idx="5">
                  <c:v>1.1111111111111111E-3</c:v>
                </c:pt>
                <c:pt idx="6">
                  <c:v>0</c:v>
                </c:pt>
                <c:pt idx="7">
                  <c:v>2.6188881697338835E-6</c:v>
                </c:pt>
              </c:numCache>
            </c:numRef>
          </c:val>
          <c:extLst>
            <c:ext xmlns:c16="http://schemas.microsoft.com/office/drawing/2014/chart" uri="{C3380CC4-5D6E-409C-BE32-E72D297353CC}">
              <c16:uniqueId val="{00000002-00C3-4CED-A987-BB0ADB114A4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N=29</c:v>
                </c:pt>
                <c:pt idx="3">
                  <c:v>Petitions, total N=45</c:v>
                </c:pt>
                <c:pt idx="4">
                  <c:v>Detentions, total N=2</c:v>
                </c:pt>
                <c:pt idx="5">
                  <c:v>Referrals, total N=150</c:v>
                </c:pt>
                <c:pt idx="6">
                  <c:v>Arrests, total N=18</c:v>
                </c:pt>
                <c:pt idx="7">
                  <c:v>Population, total N=5170</c:v>
                </c:pt>
              </c:strCache>
            </c:strRef>
          </c:cat>
          <c:val>
            <c:numRef>
              <c:f>'Stacked 100%'!$I$7:$I$14</c:f>
              <c:numCache>
                <c:formatCode>0%</c:formatCode>
                <c:ptCount val="8"/>
                <c:pt idx="0">
                  <c:v>0</c:v>
                </c:pt>
                <c:pt idx="1">
                  <c:v>0</c:v>
                </c:pt>
                <c:pt idx="2">
                  <c:v>0.89655172413793105</c:v>
                </c:pt>
                <c:pt idx="3">
                  <c:v>0.73333333333333328</c:v>
                </c:pt>
                <c:pt idx="4">
                  <c:v>1</c:v>
                </c:pt>
                <c:pt idx="5">
                  <c:v>0.78666666666666663</c:v>
                </c:pt>
                <c:pt idx="6">
                  <c:v>0.83333333333333337</c:v>
                </c:pt>
                <c:pt idx="7">
                  <c:v>0.8595744680851064</c:v>
                </c:pt>
              </c:numCache>
            </c:numRef>
          </c:val>
          <c:extLst>
            <c:ext xmlns:c16="http://schemas.microsoft.com/office/drawing/2014/chart" uri="{C3380CC4-5D6E-409C-BE32-E72D297353CC}">
              <c16:uniqueId val="{00000003-00C3-4CED-A987-BB0ADB114A4F}"/>
            </c:ext>
          </c:extLst>
        </c:ser>
        <c:dLbls>
          <c:showLegendKey val="0"/>
          <c:showVal val="0"/>
          <c:showCatName val="0"/>
          <c:showSerName val="0"/>
          <c:showPercent val="0"/>
          <c:showBubbleSize val="0"/>
        </c:dLbls>
        <c:gapWidth val="150"/>
        <c:overlap val="100"/>
        <c:axId val="68632960"/>
        <c:axId val="6863449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N=29</c:v>
                </c:pt>
                <c:pt idx="3">
                  <c:v>Petitions, total N=45</c:v>
                </c:pt>
                <c:pt idx="4">
                  <c:v>Detentions, total N=2</c:v>
                </c:pt>
                <c:pt idx="5">
                  <c:v>Referrals, total N=150</c:v>
                </c:pt>
                <c:pt idx="6">
                  <c:v>Arrests, total N=18</c:v>
                </c:pt>
                <c:pt idx="7">
                  <c:v>Population, total N=5170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0C3-4CED-A987-BB0ADB114A4F}"/>
            </c:ext>
          </c:extLst>
        </c:ser>
        <c:dLbls>
          <c:showLegendKey val="0"/>
          <c:showVal val="0"/>
          <c:showCatName val="0"/>
          <c:showSerName val="0"/>
          <c:showPercent val="0"/>
          <c:showBubbleSize val="0"/>
        </c:dLbls>
        <c:gapWidth val="150"/>
        <c:overlap val="100"/>
        <c:axId val="68637824"/>
        <c:axId val="68636032"/>
      </c:barChart>
      <c:catAx>
        <c:axId val="68632960"/>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68634496"/>
        <c:crosses val="autoZero"/>
        <c:auto val="1"/>
        <c:lblAlgn val="ctr"/>
        <c:lblOffset val="100"/>
        <c:noMultiLvlLbl val="0"/>
      </c:catAx>
      <c:valAx>
        <c:axId val="6863449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68632960"/>
        <c:crosses val="autoZero"/>
        <c:crossBetween val="between"/>
      </c:valAx>
      <c:valAx>
        <c:axId val="68636032"/>
        <c:scaling>
          <c:orientation val="minMax"/>
        </c:scaling>
        <c:delete val="1"/>
        <c:axPos val="t"/>
        <c:numFmt formatCode="0%" sourceLinked="1"/>
        <c:majorTickMark val="out"/>
        <c:minorTickMark val="none"/>
        <c:tickLblPos val="nextTo"/>
        <c:crossAx val="68637824"/>
        <c:crosses val="max"/>
        <c:crossBetween val="between"/>
      </c:valAx>
      <c:catAx>
        <c:axId val="68637824"/>
        <c:scaling>
          <c:orientation val="minMax"/>
        </c:scaling>
        <c:delete val="1"/>
        <c:axPos val="l"/>
        <c:numFmt formatCode="General" sourceLinked="1"/>
        <c:majorTickMark val="out"/>
        <c:minorTickMark val="none"/>
        <c:tickLblPos val="nextTo"/>
        <c:crossAx val="686360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J12" sqref="J12"/>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5170</v>
      </c>
      <c r="C6" s="11">
        <v>4444</v>
      </c>
      <c r="D6" s="11">
        <v>114</v>
      </c>
      <c r="E6" s="11">
        <v>542</v>
      </c>
      <c r="F6" s="11">
        <v>33</v>
      </c>
      <c r="G6" s="11"/>
      <c r="H6" s="11">
        <v>37</v>
      </c>
      <c r="I6" s="11"/>
      <c r="J6" s="91">
        <f>SUM(D6:I6)</f>
        <v>726</v>
      </c>
      <c r="K6" s="92"/>
    </row>
    <row r="7" spans="1:11" ht="15.75" customHeight="1" thickBot="1">
      <c r="A7" s="10" t="s">
        <v>8</v>
      </c>
      <c r="B7" s="11">
        <f t="shared" ref="B7:B15" si="0">SUM(C7:I7)+K7</f>
        <v>18</v>
      </c>
      <c r="C7" s="11">
        <v>15</v>
      </c>
      <c r="D7" s="11"/>
      <c r="E7" s="11">
        <v>1</v>
      </c>
      <c r="F7" s="11"/>
      <c r="G7" s="11"/>
      <c r="H7" s="11"/>
      <c r="I7" s="11"/>
      <c r="J7" s="91">
        <f t="shared" ref="J7:J15" si="1">SUM(D7:I7)</f>
        <v>1</v>
      </c>
      <c r="K7" s="92">
        <v>2</v>
      </c>
    </row>
    <row r="8" spans="1:11" ht="15.75" customHeight="1" thickBot="1">
      <c r="A8" s="10" t="s">
        <v>9</v>
      </c>
      <c r="B8" s="11">
        <f t="shared" si="0"/>
        <v>150</v>
      </c>
      <c r="C8" s="11">
        <v>118</v>
      </c>
      <c r="D8" s="11">
        <v>2</v>
      </c>
      <c r="E8" s="11"/>
      <c r="F8" s="11">
        <v>1</v>
      </c>
      <c r="G8" s="11"/>
      <c r="H8" s="11"/>
      <c r="I8" s="11">
        <v>24</v>
      </c>
      <c r="J8" s="91">
        <f t="shared" si="1"/>
        <v>27</v>
      </c>
      <c r="K8" s="92">
        <v>5</v>
      </c>
    </row>
    <row r="9" spans="1:11" ht="15.75" customHeight="1" thickBot="1">
      <c r="A9" s="10" t="s">
        <v>10</v>
      </c>
      <c r="B9" s="11">
        <f t="shared" si="0"/>
        <v>68</v>
      </c>
      <c r="C9" s="11">
        <v>59</v>
      </c>
      <c r="D9" s="11">
        <v>1</v>
      </c>
      <c r="E9" s="11"/>
      <c r="F9" s="11">
        <v>1</v>
      </c>
      <c r="G9" s="11"/>
      <c r="H9" s="11"/>
      <c r="I9" s="11">
        <v>7</v>
      </c>
      <c r="J9" s="91">
        <f t="shared" si="1"/>
        <v>9</v>
      </c>
      <c r="K9" s="92"/>
    </row>
    <row r="10" spans="1:11" ht="15.75" customHeight="1" thickBot="1">
      <c r="A10" s="10" t="s">
        <v>11</v>
      </c>
      <c r="B10" s="11">
        <f t="shared" si="0"/>
        <v>2</v>
      </c>
      <c r="C10" s="11">
        <v>2</v>
      </c>
      <c r="D10" s="11"/>
      <c r="E10" s="11"/>
      <c r="F10" s="11"/>
      <c r="G10" s="11"/>
      <c r="H10" s="11"/>
      <c r="I10" s="11"/>
      <c r="J10" s="91">
        <f t="shared" si="1"/>
        <v>0</v>
      </c>
      <c r="K10" s="92"/>
    </row>
    <row r="11" spans="1:11" ht="15.75" customHeight="1" thickBot="1">
      <c r="A11" s="10" t="s">
        <v>12</v>
      </c>
      <c r="B11" s="11">
        <f t="shared" si="0"/>
        <v>45</v>
      </c>
      <c r="C11" s="11">
        <v>33</v>
      </c>
      <c r="D11" s="11"/>
      <c r="E11" s="11"/>
      <c r="F11" s="11"/>
      <c r="G11" s="11"/>
      <c r="H11" s="11"/>
      <c r="I11" s="11">
        <v>10</v>
      </c>
      <c r="J11" s="91">
        <f t="shared" si="1"/>
        <v>10</v>
      </c>
      <c r="K11" s="92">
        <v>2</v>
      </c>
    </row>
    <row r="12" spans="1:11" ht="15.75" customHeight="1" thickBot="1">
      <c r="A12" s="10" t="s">
        <v>13</v>
      </c>
      <c r="B12" s="11">
        <f t="shared" si="0"/>
        <v>29</v>
      </c>
      <c r="C12" s="11">
        <v>26</v>
      </c>
      <c r="D12" s="11"/>
      <c r="E12" s="11"/>
      <c r="F12" s="11"/>
      <c r="G12" s="11"/>
      <c r="H12" s="11"/>
      <c r="I12" s="11">
        <v>3</v>
      </c>
      <c r="J12" s="91">
        <f t="shared" si="1"/>
        <v>3</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4444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3.3753375337533753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4429</v>
      </c>
      <c r="R7" s="42">
        <f t="shared" ref="R7:R15" si="5">SUM(N7:Q7)</f>
        <v>4444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118</v>
      </c>
      <c r="D8" s="34">
        <f>IF((AND(C67&gt;0,C8&gt;0)),(C8/C67),0)</f>
        <v>786.66666666666674</v>
      </c>
      <c r="E8" s="33">
        <f>'Data Entry'!I8</f>
        <v>24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24</v>
      </c>
      <c r="O8" s="42">
        <f>((D67*L67)-E8)+0.05</f>
        <v>-23.95</v>
      </c>
      <c r="P8" s="42">
        <f t="shared" si="4"/>
        <v>118</v>
      </c>
      <c r="Q8" s="42">
        <f>(C$67*L67)-C8</f>
        <v>-103</v>
      </c>
      <c r="R8" s="42">
        <f t="shared" si="5"/>
        <v>15.049999999999997</v>
      </c>
      <c r="S8" s="30">
        <f t="shared" si="6"/>
        <v>1887071.4904999987</v>
      </c>
      <c r="T8" s="30">
        <f t="shared" si="7"/>
        <v>-13520.175000000192</v>
      </c>
      <c r="U8" s="31">
        <f t="shared" si="8"/>
        <v>-139.57448705360486</v>
      </c>
    </row>
    <row r="9" spans="2:21" ht="18" customHeight="1">
      <c r="B9" s="32" t="str">
        <f>'Data Entry'!A9</f>
        <v xml:space="preserve">4. Cases Diverted </v>
      </c>
      <c r="C9" s="33">
        <f>'Data Entry'!C9</f>
        <v>59</v>
      </c>
      <c r="D9" s="34">
        <f>IF((AND(C68&gt;0,C9&gt;0)),((C9/C68)),0)</f>
        <v>50</v>
      </c>
      <c r="E9" s="33">
        <f>'Data Entry'!I9</f>
        <v>7</v>
      </c>
      <c r="F9" s="34">
        <f>IF((AND($E$9&gt;0,$D$68&gt;0)),(($E$9/$D$68)),0)</f>
        <v>29.166666666666668</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7</v>
      </c>
      <c r="O9" s="42">
        <f>(D$68*L68)-E9</f>
        <v>17</v>
      </c>
      <c r="P9" s="42">
        <f t="shared" si="4"/>
        <v>59</v>
      </c>
      <c r="Q9" s="42">
        <f>(C$68*L68)-C9</f>
        <v>59</v>
      </c>
      <c r="R9" s="42">
        <f t="shared" si="5"/>
        <v>142</v>
      </c>
      <c r="S9" s="30">
        <f t="shared" si="6"/>
        <v>49430200</v>
      </c>
      <c r="T9" s="30">
        <f t="shared" si="7"/>
        <v>14205312</v>
      </c>
      <c r="U9" s="31">
        <f t="shared" si="8"/>
        <v>3.479698298777246</v>
      </c>
    </row>
    <row r="10" spans="2:21" ht="18" customHeight="1">
      <c r="B10" s="32" t="str">
        <f>'Data Entry'!A10</f>
        <v>5. Cases Involving Secure Detention</v>
      </c>
      <c r="C10" s="33">
        <f>'Data Entry'!C10</f>
        <v>2</v>
      </c>
      <c r="D10" s="34">
        <f>IF(((AND(C68&gt;0,C10&gt;0))),(C10/(C68)),0)</f>
        <v>1.6949152542372883</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24</v>
      </c>
      <c r="P10" s="42">
        <f t="shared" si="4"/>
        <v>2</v>
      </c>
      <c r="Q10" s="42">
        <f>(C$68*L68)-C10</f>
        <v>116</v>
      </c>
      <c r="R10" s="42">
        <f t="shared" si="5"/>
        <v>142</v>
      </c>
      <c r="S10" s="30">
        <f t="shared" si="6"/>
        <v>327168</v>
      </c>
      <c r="T10" s="30">
        <f t="shared" si="7"/>
        <v>792960</v>
      </c>
      <c r="U10" s="31">
        <f t="shared" si="8"/>
        <v>0.412590799031477</v>
      </c>
    </row>
    <row r="11" spans="2:21" ht="18" customHeight="1">
      <c r="B11" s="32" t="str">
        <f>'Data Entry'!A11</f>
        <v>6. Cases Petitioned (Charge Filed)</v>
      </c>
      <c r="C11" s="33">
        <f>'Data Entry'!C11</f>
        <v>33</v>
      </c>
      <c r="D11" s="34">
        <f>IF(((AND(C68&gt;0,C11&gt;0))),(C11/(C68)),0)</f>
        <v>27.966101694915256</v>
      </c>
      <c r="E11" s="33">
        <f>'Data Entry'!I11</f>
        <v>10</v>
      </c>
      <c r="F11" s="34">
        <f>IF(((AND($E$11&gt;0,$D$68&gt;0))),($E$11/($D$68)),0)</f>
        <v>41.666666666666671</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10</v>
      </c>
      <c r="O11" s="42">
        <f>(D$68*L68)-E11</f>
        <v>14</v>
      </c>
      <c r="P11" s="42">
        <f t="shared" si="4"/>
        <v>33</v>
      </c>
      <c r="Q11" s="42">
        <f>(C$68*L68)-C11</f>
        <v>85</v>
      </c>
      <c r="R11" s="42">
        <f t="shared" si="5"/>
        <v>142</v>
      </c>
      <c r="S11" s="30">
        <f t="shared" si="6"/>
        <v>21377248</v>
      </c>
      <c r="T11" s="30">
        <f t="shared" si="7"/>
        <v>12055824</v>
      </c>
      <c r="U11" s="31">
        <f t="shared" si="8"/>
        <v>1.7731884606145545</v>
      </c>
    </row>
    <row r="12" spans="2:21" ht="18" customHeight="1">
      <c r="B12" s="32" t="str">
        <f>'Data Entry'!A12</f>
        <v>7. Cases Resulting in Delinquent Findings</v>
      </c>
      <c r="C12" s="33">
        <f>'Data Entry'!C12</f>
        <v>26</v>
      </c>
      <c r="D12" s="34">
        <f>IF(((AND(C69&gt;0,C12&gt;0))),(C12/(C69)),0)</f>
        <v>78.787878787878782</v>
      </c>
      <c r="E12" s="33">
        <f>'Data Entry'!I12</f>
        <v>3</v>
      </c>
      <c r="F12" s="34">
        <f>IF(((AND($D$69&gt;0,$E$12&gt;0))),(E12/(D69)),0)</f>
        <v>30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3</v>
      </c>
      <c r="O12" s="42">
        <f>(D69*L69)-E12</f>
        <v>7</v>
      </c>
      <c r="P12" s="42">
        <f t="shared" si="4"/>
        <v>26</v>
      </c>
      <c r="Q12" s="42">
        <f>(C69*L69)-C12</f>
        <v>7</v>
      </c>
      <c r="R12" s="42">
        <f t="shared" si="5"/>
        <v>43</v>
      </c>
      <c r="S12" s="30">
        <f t="shared" si="6"/>
        <v>1114603</v>
      </c>
      <c r="T12" s="30">
        <f t="shared" si="7"/>
        <v>133980</v>
      </c>
      <c r="U12" s="31">
        <f t="shared" si="8"/>
        <v>8.319174503657262</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26</v>
      </c>
      <c r="R13" s="42">
        <f t="shared" si="5"/>
        <v>29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26</v>
      </c>
      <c r="R14" s="42">
        <f t="shared" si="5"/>
        <v>29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33</v>
      </c>
      <c r="R15" s="42">
        <f t="shared" si="5"/>
        <v>43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4.444</v>
      </c>
      <c r="D42" s="56">
        <f>E6/1000</f>
        <v>0</v>
      </c>
      <c r="E42" s="56">
        <f>MAX(C42:D42)</f>
        <v>4.444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1.18</v>
      </c>
      <c r="D44" s="56">
        <f>E8/100</f>
        <v>0.24</v>
      </c>
      <c r="E44" s="56">
        <f>MAX(C44:D44,0)</f>
        <v>1.18</v>
      </c>
      <c r="G44" s="1" t="str">
        <f>B44</f>
        <v>per 100 referrals</v>
      </c>
      <c r="L44" s="57">
        <v>100</v>
      </c>
      <c r="M44" s="57"/>
      <c r="R44" s="49"/>
    </row>
    <row r="45" spans="2:18" ht="15" hidden="1" customHeight="1">
      <c r="B45" s="49" t="s">
        <v>89</v>
      </c>
      <c r="C45" s="49">
        <f>C11/100</f>
        <v>0.33</v>
      </c>
      <c r="D45" s="49">
        <f>E11/100</f>
        <v>0.1</v>
      </c>
      <c r="E45" s="56">
        <f>MAX(C45:D45,0)</f>
        <v>0.33</v>
      </c>
      <c r="G45" s="1" t="str">
        <f>B45</f>
        <v>per 100 youth petitioned</v>
      </c>
      <c r="L45" s="57">
        <v>100</v>
      </c>
      <c r="M45" s="57"/>
      <c r="R45" s="49"/>
    </row>
    <row r="46" spans="2:18" ht="15" hidden="1" customHeight="1">
      <c r="B46" s="49" t="s">
        <v>90</v>
      </c>
      <c r="C46" s="49">
        <f>C12/100</f>
        <v>0.26</v>
      </c>
      <c r="D46" s="49">
        <f>E12/100</f>
        <v>0.03</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4.444</v>
      </c>
      <c r="D48" s="56">
        <f>D42</f>
        <v>0</v>
      </c>
      <c r="E48" s="56">
        <f>MAX(C48:D48)</f>
        <v>4.444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1.18</v>
      </c>
      <c r="D50" s="49">
        <f t="shared" si="9"/>
        <v>0.24</v>
      </c>
      <c r="E50" s="49">
        <f>MAX(C50:D50)</f>
        <v>1.18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0.33</v>
      </c>
      <c r="D51" s="49">
        <f>IF(($E45&gt;0),D45,D44)</f>
        <v>0.1</v>
      </c>
      <c r="E51" s="49">
        <f>MAX(C51:D51)</f>
        <v>0.33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0.03</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4.444</v>
      </c>
      <c r="D54" s="56">
        <f>D48</f>
        <v>0</v>
      </c>
      <c r="E54" s="56">
        <f>MAX(C54:D54)</f>
        <v>4.444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1.18</v>
      </c>
      <c r="D56" s="49">
        <f t="shared" si="10"/>
        <v>0.24</v>
      </c>
      <c r="E56" s="49">
        <f>MAX(C56:D56)</f>
        <v>1.18</v>
      </c>
      <c r="G56" s="1" t="str">
        <f>G50</f>
        <v>per 100 referrals</v>
      </c>
      <c r="L56" s="58">
        <f>IF(($E50&gt;0),L50,L49)</f>
        <v>100</v>
      </c>
      <c r="M56" s="58"/>
    </row>
    <row r="57" spans="2:18" ht="15" hidden="1" customHeight="1">
      <c r="B57" s="49" t="str">
        <f>IF(($E51&gt;0),B51,B49)</f>
        <v>per 100 youth petitioned</v>
      </c>
      <c r="C57" s="49">
        <f>IF(($E51&gt;0),C51,C50)</f>
        <v>0.33</v>
      </c>
      <c r="D57" s="49">
        <f>IF(($E51&gt;0),D51,D50)</f>
        <v>0.1</v>
      </c>
      <c r="E57" s="49">
        <f>MAX(C57:D57)</f>
        <v>0.33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0.03</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4.444</v>
      </c>
      <c r="D60" s="56">
        <f>D54</f>
        <v>0</v>
      </c>
      <c r="E60" s="56">
        <f>MAX(C60:D60)</f>
        <v>4.444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1.18</v>
      </c>
      <c r="D62" s="49">
        <f t="shared" si="11"/>
        <v>0.24</v>
      </c>
      <c r="E62" s="49">
        <f>MAX(C62:D62)</f>
        <v>1.18</v>
      </c>
      <c r="G62" s="1" t="str">
        <f>G56</f>
        <v>per 100 referrals</v>
      </c>
      <c r="L62" s="58">
        <f>IF(($E56&gt;0),L56,L55)</f>
        <v>100</v>
      </c>
      <c r="M62" s="58"/>
    </row>
    <row r="63" spans="2:18" ht="15" hidden="1" customHeight="1">
      <c r="B63" s="49" t="str">
        <f>IF(($E57&gt;0),B57,B55)</f>
        <v>per 100 youth petitioned</v>
      </c>
      <c r="C63" s="49">
        <f>IF(($E57&gt;0),C57,C56)</f>
        <v>0.33</v>
      </c>
      <c r="D63" s="49">
        <f>IF(($E57&gt;0),D57,D56)</f>
        <v>0.1</v>
      </c>
      <c r="E63" s="49">
        <f>MAX(C63:D63)</f>
        <v>0.33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0.03</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4.444</v>
      </c>
      <c r="D66" s="56">
        <f>D60</f>
        <v>0</v>
      </c>
      <c r="E66" s="56">
        <f>MAX(C66:D66)</f>
        <v>4.444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1.18</v>
      </c>
      <c r="D68" s="49">
        <f t="shared" si="12"/>
        <v>0.24</v>
      </c>
      <c r="E68" s="49">
        <f>MAX(C68:D68)</f>
        <v>1.18</v>
      </c>
      <c r="G68" s="1" t="str">
        <f>G62</f>
        <v>per 100 referrals</v>
      </c>
      <c r="L68" s="58">
        <f>IF(($E62&gt;0),L62,L61)</f>
        <v>100</v>
      </c>
      <c r="M68" s="58">
        <f>IF((B68=G68),1,2)</f>
        <v>1</v>
      </c>
    </row>
    <row r="69" spans="2:13" ht="15" hidden="1" customHeight="1">
      <c r="B69" s="49" t="str">
        <f>IF(($E63&gt;0),B63,B61)</f>
        <v>per 100 youth petitioned</v>
      </c>
      <c r="C69" s="49">
        <f>IF(($E63&gt;0),C63,C62)</f>
        <v>0.33</v>
      </c>
      <c r="D69" s="49">
        <f>IF(($E63&gt;0),D63,D62)</f>
        <v>0.1</v>
      </c>
      <c r="E69" s="49">
        <f>MAX(C69:D69)</f>
        <v>0.33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0.03</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4444</v>
      </c>
      <c r="D6" s="34"/>
      <c r="E6" s="33">
        <f>'Data Entry'!J6</f>
        <v>726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3.3753375337533753</v>
      </c>
      <c r="E7" s="33">
        <f>'Data Entry'!J7</f>
        <v>1</v>
      </c>
      <c r="F7" s="34">
        <f>IF((AND($E$7&gt;0,$D$66&gt;0)),($E$7/$D$66),0)</f>
        <v>1.3774104683195594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725</v>
      </c>
      <c r="P7" s="42">
        <f t="shared" ref="P7:P15" si="4">C7</f>
        <v>15</v>
      </c>
      <c r="Q7" s="42">
        <f>C6-C7</f>
        <v>4429</v>
      </c>
      <c r="R7" s="42">
        <f t="shared" ref="R7:R15" si="5">SUM(N7:Q7)</f>
        <v>5170</v>
      </c>
      <c r="S7" s="30">
        <f t="shared" ref="S7:S15" si="6">R7*((((N7*Q7)-(O7*P7))^2))</f>
        <v>214818235720</v>
      </c>
      <c r="T7" s="30">
        <f t="shared" ref="T7:T15" si="7">(N7+O7)*(P7+Q7)*(N7+P7)*(O7+Q7)</f>
        <v>266057231616</v>
      </c>
      <c r="U7" s="31">
        <f t="shared" ref="U7:U15" si="8">IF((S7&gt;0),S7/T7,"- -")</f>
        <v>0.80741363207915673</v>
      </c>
    </row>
    <row r="8" spans="2:21" ht="18" customHeight="1">
      <c r="B8" s="32" t="str">
        <f>'Data Entry'!A8</f>
        <v>3. Refer to Juvenile Court</v>
      </c>
      <c r="C8" s="33">
        <f>'Data Entry'!C8</f>
        <v>118</v>
      </c>
      <c r="D8" s="34">
        <f>IF((AND(C67&gt;0,C8&gt;0)),(C8/C67),0)</f>
        <v>786.66666666666674</v>
      </c>
      <c r="E8" s="33">
        <f>'Data Entry'!J8</f>
        <v>27</v>
      </c>
      <c r="F8" s="34">
        <f>IF((AND($E$8&gt;0,$D$67&gt;0)),($E8/$D67),0)</f>
        <v>2700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27</v>
      </c>
      <c r="O8" s="42">
        <f>((D67*L67)-E8)+0.05</f>
        <v>-25.95</v>
      </c>
      <c r="P8" s="42">
        <f t="shared" si="4"/>
        <v>118</v>
      </c>
      <c r="Q8" s="42">
        <f>(C$67*L67)-C8</f>
        <v>-103</v>
      </c>
      <c r="R8" s="42">
        <f t="shared" si="5"/>
        <v>16.049999999999997</v>
      </c>
      <c r="S8" s="30">
        <f t="shared" si="6"/>
        <v>1268226.2204999989</v>
      </c>
      <c r="T8" s="30">
        <f t="shared" si="7"/>
        <v>-294489.56250000017</v>
      </c>
      <c r="U8" s="31">
        <f t="shared" si="8"/>
        <v>-4.3065234969066113</v>
      </c>
    </row>
    <row r="9" spans="2:21" ht="18" customHeight="1">
      <c r="B9" s="32" t="str">
        <f>'Data Entry'!A9</f>
        <v xml:space="preserve">4. Cases Diverted </v>
      </c>
      <c r="C9" s="33">
        <f>'Data Entry'!C9</f>
        <v>59</v>
      </c>
      <c r="D9" s="34">
        <f>IF((AND(C68&gt;0,C9&gt;0)),((C9/C68)),0)</f>
        <v>50</v>
      </c>
      <c r="E9" s="33">
        <f>'Data Entry'!J9</f>
        <v>9</v>
      </c>
      <c r="F9" s="34">
        <f>IF((AND($E$9&gt;0,$D$68&gt;0)),(($E$9/$D$68)),0)</f>
        <v>33.333333333333329</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9</v>
      </c>
      <c r="O9" s="42">
        <f>(D$68*L68)-E9</f>
        <v>18</v>
      </c>
      <c r="P9" s="42">
        <f t="shared" si="4"/>
        <v>59</v>
      </c>
      <c r="Q9" s="42">
        <f>(C$68*L68)-C9</f>
        <v>59</v>
      </c>
      <c r="R9" s="42">
        <f t="shared" si="5"/>
        <v>145</v>
      </c>
      <c r="S9" s="30">
        <f t="shared" si="6"/>
        <v>40884345</v>
      </c>
      <c r="T9" s="30">
        <f t="shared" si="7"/>
        <v>16681896</v>
      </c>
      <c r="U9" s="31">
        <f t="shared" si="8"/>
        <v>2.4508212375859433</v>
      </c>
    </row>
    <row r="10" spans="2:21" ht="18" customHeight="1">
      <c r="B10" s="32" t="str">
        <f>'Data Entry'!A10</f>
        <v>5. Cases Involving Secure Detention</v>
      </c>
      <c r="C10" s="33">
        <f>'Data Entry'!C10</f>
        <v>2</v>
      </c>
      <c r="D10" s="34">
        <f>IF(((AND(C68&gt;0,C10&gt;0))),(C10/(C68)),0)</f>
        <v>1.6949152542372883</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27</v>
      </c>
      <c r="P10" s="42">
        <f t="shared" si="4"/>
        <v>2</v>
      </c>
      <c r="Q10" s="42">
        <f>(C$68*L68)-C10</f>
        <v>116</v>
      </c>
      <c r="R10" s="42">
        <f t="shared" si="5"/>
        <v>145</v>
      </c>
      <c r="S10" s="30">
        <f t="shared" si="6"/>
        <v>422820</v>
      </c>
      <c r="T10" s="30">
        <f t="shared" si="7"/>
        <v>911196</v>
      </c>
      <c r="U10" s="31">
        <f t="shared" si="8"/>
        <v>0.464027497925803</v>
      </c>
    </row>
    <row r="11" spans="2:21" ht="18" customHeight="1">
      <c r="B11" s="32" t="str">
        <f>'Data Entry'!A11</f>
        <v>6. Cases Petitioned (Charge Filed)</v>
      </c>
      <c r="C11" s="33">
        <f>'Data Entry'!C11</f>
        <v>33</v>
      </c>
      <c r="D11" s="34">
        <f>IF(((AND(C68&gt;0,C11&gt;0))),(C11/(C68)),0)</f>
        <v>27.966101694915256</v>
      </c>
      <c r="E11" s="33">
        <f>'Data Entry'!J11</f>
        <v>10</v>
      </c>
      <c r="F11" s="34">
        <f>IF(((AND($E$11&gt;0,$D$68&gt;0))),($E$11/($D$68)),0)</f>
        <v>37.037037037037038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10</v>
      </c>
      <c r="O11" s="42">
        <f>(D$68*L68)-E11</f>
        <v>17</v>
      </c>
      <c r="P11" s="42">
        <f t="shared" si="4"/>
        <v>33</v>
      </c>
      <c r="Q11" s="42">
        <f>(C$68*L68)-C11</f>
        <v>85</v>
      </c>
      <c r="R11" s="42">
        <f t="shared" si="5"/>
        <v>145</v>
      </c>
      <c r="S11" s="30">
        <f t="shared" si="6"/>
        <v>12110545</v>
      </c>
      <c r="T11" s="30">
        <f t="shared" si="7"/>
        <v>13973796</v>
      </c>
      <c r="U11" s="31">
        <f t="shared" si="8"/>
        <v>0.86666107047791452</v>
      </c>
    </row>
    <row r="12" spans="2:21" ht="18" customHeight="1">
      <c r="B12" s="32" t="str">
        <f>'Data Entry'!A12</f>
        <v>7. Cases Resulting in Delinquent Findings</v>
      </c>
      <c r="C12" s="33">
        <f>'Data Entry'!C12</f>
        <v>26</v>
      </c>
      <c r="D12" s="34">
        <f>IF(((AND(C69&gt;0,C12&gt;0))),(C12/(C69)),0)</f>
        <v>78.787878787878782</v>
      </c>
      <c r="E12" s="33">
        <f>'Data Entry'!J12</f>
        <v>3</v>
      </c>
      <c r="F12" s="34">
        <f>IF(((AND($D$69&gt;0,$E$12&gt;0))),(E12/(D69)),0)</f>
        <v>30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3</v>
      </c>
      <c r="O12" s="42">
        <f>(D69*L69)-E12</f>
        <v>7</v>
      </c>
      <c r="P12" s="42">
        <f t="shared" si="4"/>
        <v>26</v>
      </c>
      <c r="Q12" s="42">
        <f>(C69*L69)-C12</f>
        <v>7</v>
      </c>
      <c r="R12" s="42">
        <f t="shared" si="5"/>
        <v>43</v>
      </c>
      <c r="S12" s="30">
        <f t="shared" si="6"/>
        <v>1114603</v>
      </c>
      <c r="T12" s="30">
        <f t="shared" si="7"/>
        <v>133980</v>
      </c>
      <c r="U12" s="31">
        <f t="shared" si="8"/>
        <v>8.319174503657262</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26</v>
      </c>
      <c r="R13" s="42">
        <f t="shared" si="5"/>
        <v>29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26</v>
      </c>
      <c r="R14" s="42">
        <f t="shared" si="5"/>
        <v>29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33</v>
      </c>
      <c r="R15" s="42">
        <f t="shared" si="5"/>
        <v>43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4.444</v>
      </c>
      <c r="D42" s="56">
        <f>E6/1000</f>
        <v>0.72599999999999998</v>
      </c>
      <c r="E42" s="56">
        <f>MAX(C42:D42)</f>
        <v>4.444</v>
      </c>
      <c r="G42" s="1" t="str">
        <f>B42</f>
        <v>per 1000 youth</v>
      </c>
      <c r="L42" s="57">
        <v>1000</v>
      </c>
      <c r="M42" s="57"/>
      <c r="R42" s="49"/>
    </row>
    <row r="43" spans="2:18" ht="15" hidden="1" customHeight="1">
      <c r="B43" s="49" t="s">
        <v>87</v>
      </c>
      <c r="C43" s="56">
        <f>C7/100</f>
        <v>0.15</v>
      </c>
      <c r="D43" s="56">
        <f>E7/100</f>
        <v>0.01</v>
      </c>
      <c r="E43" s="56">
        <f>MAX(C43:D43,0)</f>
        <v>0.15</v>
      </c>
      <c r="G43" s="1" t="str">
        <f>B43</f>
        <v>per 100 arrests</v>
      </c>
      <c r="L43" s="57">
        <v>100</v>
      </c>
      <c r="M43" s="57"/>
      <c r="R43" s="49"/>
    </row>
    <row r="44" spans="2:18" ht="15" hidden="1" customHeight="1">
      <c r="B44" s="49" t="s">
        <v>88</v>
      </c>
      <c r="C44" s="56">
        <f>C8/100</f>
        <v>1.18</v>
      </c>
      <c r="D44" s="56">
        <f>E8/100</f>
        <v>0.27</v>
      </c>
      <c r="E44" s="56">
        <f>MAX(C44:D44,0)</f>
        <v>1.18</v>
      </c>
      <c r="G44" s="1" t="str">
        <f>B44</f>
        <v>per 100 referrals</v>
      </c>
      <c r="L44" s="57">
        <v>100</v>
      </c>
      <c r="M44" s="57"/>
      <c r="R44" s="49"/>
    </row>
    <row r="45" spans="2:18" ht="15" hidden="1" customHeight="1">
      <c r="B45" s="49" t="s">
        <v>89</v>
      </c>
      <c r="C45" s="49">
        <f>C11/100</f>
        <v>0.33</v>
      </c>
      <c r="D45" s="49">
        <f>E11/100</f>
        <v>0.1</v>
      </c>
      <c r="E45" s="56">
        <f>MAX(C45:D45,0)</f>
        <v>0.33</v>
      </c>
      <c r="G45" s="1" t="str">
        <f>B45</f>
        <v>per 100 youth petitioned</v>
      </c>
      <c r="L45" s="57">
        <v>100</v>
      </c>
      <c r="M45" s="57"/>
      <c r="R45" s="49"/>
    </row>
    <row r="46" spans="2:18" ht="15" hidden="1" customHeight="1">
      <c r="B46" s="49" t="s">
        <v>90</v>
      </c>
      <c r="C46" s="49">
        <f>C12/100</f>
        <v>0.26</v>
      </c>
      <c r="D46" s="49">
        <f>E12/100</f>
        <v>0.03</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4.444</v>
      </c>
      <c r="D48" s="56">
        <f>D42</f>
        <v>0.72599999999999998</v>
      </c>
      <c r="E48" s="56">
        <f>MAX(C48:D48)</f>
        <v>4.444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0.01</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1.18</v>
      </c>
      <c r="D50" s="49">
        <f t="shared" si="9"/>
        <v>0.27</v>
      </c>
      <c r="E50" s="49">
        <f>MAX(C50:D50)</f>
        <v>1.18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0.33</v>
      </c>
      <c r="D51" s="49">
        <f>IF(($E45&gt;0),D45,D44)</f>
        <v>0.1</v>
      </c>
      <c r="E51" s="49">
        <f>MAX(C51:D51)</f>
        <v>0.33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0.03</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4.444</v>
      </c>
      <c r="D54" s="56">
        <f>D48</f>
        <v>0.72599999999999998</v>
      </c>
      <c r="E54" s="56">
        <f>MAX(C54:D54)</f>
        <v>4.444</v>
      </c>
      <c r="G54" s="1" t="str">
        <f>G48</f>
        <v>per 1000 youth</v>
      </c>
      <c r="L54" s="58">
        <f>L48</f>
        <v>1000</v>
      </c>
      <c r="M54" s="58"/>
    </row>
    <row r="55" spans="2:18" ht="15" hidden="1" customHeight="1">
      <c r="B55" s="49" t="str">
        <f t="shared" ref="B55:D56" si="10">IF(($E49&gt;0),B49,B48)</f>
        <v>per 100 arrests</v>
      </c>
      <c r="C55" s="49">
        <f t="shared" si="10"/>
        <v>0.15</v>
      </c>
      <c r="D55" s="49">
        <f t="shared" si="10"/>
        <v>0.01</v>
      </c>
      <c r="E55" s="49">
        <f>MAX(C55:D55)</f>
        <v>0.15</v>
      </c>
      <c r="G55" s="1" t="str">
        <f>G49</f>
        <v>per 100 arrests</v>
      </c>
      <c r="L55" s="58">
        <f>IF(($E49&gt;0),L49,L48)</f>
        <v>100</v>
      </c>
      <c r="M55" s="58"/>
    </row>
    <row r="56" spans="2:18" ht="15" hidden="1" customHeight="1">
      <c r="B56" s="49" t="str">
        <f t="shared" si="10"/>
        <v>per 100 referrals</v>
      </c>
      <c r="C56" s="49">
        <f t="shared" si="10"/>
        <v>1.18</v>
      </c>
      <c r="D56" s="49">
        <f t="shared" si="10"/>
        <v>0.27</v>
      </c>
      <c r="E56" s="49">
        <f>MAX(C56:D56)</f>
        <v>1.18</v>
      </c>
      <c r="G56" s="1" t="str">
        <f>G50</f>
        <v>per 100 referrals</v>
      </c>
      <c r="L56" s="58">
        <f>IF(($E50&gt;0),L50,L49)</f>
        <v>100</v>
      </c>
      <c r="M56" s="58"/>
    </row>
    <row r="57" spans="2:18" ht="15" hidden="1" customHeight="1">
      <c r="B57" s="49" t="str">
        <f>IF(($E51&gt;0),B51,B49)</f>
        <v>per 100 youth petitioned</v>
      </c>
      <c r="C57" s="49">
        <f>IF(($E51&gt;0),C51,C50)</f>
        <v>0.33</v>
      </c>
      <c r="D57" s="49">
        <f>IF(($E51&gt;0),D51,D50)</f>
        <v>0.1</v>
      </c>
      <c r="E57" s="49">
        <f>MAX(C57:D57)</f>
        <v>0.33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0.03</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4.444</v>
      </c>
      <c r="D60" s="56">
        <f>D54</f>
        <v>0.72599999999999998</v>
      </c>
      <c r="E60" s="56">
        <f>MAX(C60:D60)</f>
        <v>4.444</v>
      </c>
      <c r="G60" s="1" t="str">
        <f>G54</f>
        <v>per 1000 youth</v>
      </c>
      <c r="L60" s="58">
        <f>L54</f>
        <v>1000</v>
      </c>
      <c r="M60" s="58"/>
    </row>
    <row r="61" spans="2:18" ht="15" hidden="1" customHeight="1">
      <c r="B61" s="49" t="str">
        <f t="shared" ref="B61:D62" si="11">IF(($E55&gt;0),B55,B54)</f>
        <v>per 100 arrests</v>
      </c>
      <c r="C61" s="49">
        <f t="shared" si="11"/>
        <v>0.15</v>
      </c>
      <c r="D61" s="49">
        <f t="shared" si="11"/>
        <v>0.01</v>
      </c>
      <c r="E61" s="49">
        <f>MAX(C61:D61)</f>
        <v>0.15</v>
      </c>
      <c r="G61" s="1" t="str">
        <f>G55</f>
        <v>per 100 arrests</v>
      </c>
      <c r="L61" s="58">
        <f>IF(($E55&gt;0),L55,L54)</f>
        <v>100</v>
      </c>
      <c r="M61" s="58"/>
    </row>
    <row r="62" spans="2:18" ht="15" hidden="1" customHeight="1">
      <c r="B62" s="49" t="str">
        <f t="shared" si="11"/>
        <v>per 100 referrals</v>
      </c>
      <c r="C62" s="49">
        <f t="shared" si="11"/>
        <v>1.18</v>
      </c>
      <c r="D62" s="49">
        <f t="shared" si="11"/>
        <v>0.27</v>
      </c>
      <c r="E62" s="49">
        <f>MAX(C62:D62)</f>
        <v>1.18</v>
      </c>
      <c r="G62" s="1" t="str">
        <f>G56</f>
        <v>per 100 referrals</v>
      </c>
      <c r="L62" s="58">
        <f>IF(($E56&gt;0),L56,L55)</f>
        <v>100</v>
      </c>
      <c r="M62" s="58"/>
    </row>
    <row r="63" spans="2:18" ht="15" hidden="1" customHeight="1">
      <c r="B63" s="49" t="str">
        <f>IF(($E57&gt;0),B57,B55)</f>
        <v>per 100 youth petitioned</v>
      </c>
      <c r="C63" s="49">
        <f>IF(($E57&gt;0),C57,C56)</f>
        <v>0.33</v>
      </c>
      <c r="D63" s="49">
        <f>IF(($E57&gt;0),D57,D56)</f>
        <v>0.1</v>
      </c>
      <c r="E63" s="49">
        <f>MAX(C63:D63)</f>
        <v>0.33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0.03</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4.444</v>
      </c>
      <c r="D66" s="56">
        <f>D60</f>
        <v>0.72599999999999998</v>
      </c>
      <c r="E66" s="56">
        <f>MAX(C66:D66)</f>
        <v>4.444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0.01</v>
      </c>
      <c r="E67" s="49">
        <f>MAX(C67:D67)</f>
        <v>0.15</v>
      </c>
      <c r="G67" s="1" t="str">
        <f>G61</f>
        <v>per 100 arrests</v>
      </c>
      <c r="L67" s="58">
        <f>IF(($E61&gt;0),L61,L60)</f>
        <v>100</v>
      </c>
      <c r="M67" s="58">
        <f>IF((B67=G67),1,2)</f>
        <v>1</v>
      </c>
    </row>
    <row r="68" spans="2:13" ht="15" hidden="1" customHeight="1">
      <c r="B68" s="49" t="str">
        <f t="shared" si="12"/>
        <v>per 100 referrals</v>
      </c>
      <c r="C68" s="49">
        <f t="shared" si="12"/>
        <v>1.18</v>
      </c>
      <c r="D68" s="49">
        <f t="shared" si="12"/>
        <v>0.27</v>
      </c>
      <c r="E68" s="49">
        <f>MAX(C68:D68)</f>
        <v>1.18</v>
      </c>
      <c r="G68" s="1" t="str">
        <f>G62</f>
        <v>per 100 referrals</v>
      </c>
      <c r="L68" s="58">
        <f>IF(($E62&gt;0),L62,L61)</f>
        <v>100</v>
      </c>
      <c r="M68" s="58">
        <f>IF((B68=G68),1,2)</f>
        <v>1</v>
      </c>
    </row>
    <row r="69" spans="2:13" ht="15" hidden="1" customHeight="1">
      <c r="B69" s="49" t="str">
        <f>IF(($E63&gt;0),B63,B61)</f>
        <v>per 100 youth petitioned</v>
      </c>
      <c r="C69" s="49">
        <f>IF(($E63&gt;0),C63,C62)</f>
        <v>0.33</v>
      </c>
      <c r="D69" s="49">
        <f>IF(($E63&gt;0),D63,D62)</f>
        <v>0.1</v>
      </c>
      <c r="E69" s="49">
        <f>MAX(C69:D69)</f>
        <v>0.33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0.03</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Newaygo</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f>Asian!L9</f>
        <v>139</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f>Asian!L10</f>
        <v>139</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f>Asian!L11</f>
        <v>139</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119</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5170</v>
      </c>
      <c r="D3" s="57">
        <f>'Data Entry'!C6</f>
        <v>4444</v>
      </c>
      <c r="E3" s="57">
        <f>'Data Entry'!D6</f>
        <v>114</v>
      </c>
      <c r="F3" s="57">
        <f>'Data Entry'!E6</f>
        <v>542</v>
      </c>
      <c r="G3" s="57">
        <f>'Data Entry'!F6</f>
        <v>33</v>
      </c>
      <c r="H3" s="57">
        <f>'Data Entry'!G6</f>
        <v>0</v>
      </c>
      <c r="I3" s="57">
        <f>'Data Entry'!H6</f>
        <v>37</v>
      </c>
      <c r="J3" s="57">
        <f>'Data Entry'!I6</f>
        <v>0</v>
      </c>
      <c r="K3" s="57">
        <f>'Data Entry'!J6</f>
        <v>726</v>
      </c>
    </row>
    <row r="4" spans="2:11" ht="15" customHeight="1">
      <c r="B4" s="16" t="s">
        <v>8</v>
      </c>
      <c r="C4" s="1">
        <f>IF((C$3&gt;0),(1000*('Data Entry'!B7/'Data Entry'!B$6)), 0)</f>
        <v>3.4816247582205029</v>
      </c>
      <c r="D4" s="1">
        <f>IF((D$3&gt;0),(1000*('Data Entry'!C7/'Data Entry'!C$6)), 0)</f>
        <v>3.3753375337533753</v>
      </c>
      <c r="E4" s="1">
        <f>IF((E$3&gt;0),(1000*('Data Entry'!D7/'Data Entry'!D$6)), 0)</f>
        <v>0</v>
      </c>
      <c r="F4" s="1">
        <f>IF((F$3&gt;0),(1000*('Data Entry'!E7/'Data Entry'!E$6)), 0)</f>
        <v>1.8450184501845017</v>
      </c>
      <c r="G4" s="1">
        <f>IF((G$3&gt;0),(1000*('Data Entry'!F7/'Data Entry'!F$6)), 0)</f>
        <v>0</v>
      </c>
      <c r="H4" s="1">
        <f>IF((H$3&gt;0),(1000*('Data Entry'!G7/'Data Entry'!G$6)), 0)</f>
        <v>0</v>
      </c>
      <c r="I4" s="1">
        <f>IF((I$3&gt;0),(1000*('Data Entry'!H7/'Data Entry'!H$6)), 0)</f>
        <v>0</v>
      </c>
      <c r="J4" s="1">
        <f>IF((J$3&gt;0),(1000*('Data Entry'!I7/'Data Entry'!I$6)), 0)</f>
        <v>0</v>
      </c>
      <c r="K4" s="1">
        <f>IF((K$3&gt;0),(1000*('Data Entry'!J7/'Data Entry'!J$6)), 0)</f>
        <v>1.3774104683195594</v>
      </c>
    </row>
    <row r="5" spans="2:11" ht="15" customHeight="1">
      <c r="B5" s="16" t="s">
        <v>9</v>
      </c>
      <c r="C5" s="1">
        <f>IF((C$3&gt;0),(1000*('Data Entry'!B8/'Data Entry'!B$6)), 0)</f>
        <v>29.013539651837522</v>
      </c>
      <c r="D5" s="1">
        <f>IF((D$3&gt;0),(1000*('Data Entry'!C8/'Data Entry'!C$6)), 0)</f>
        <v>26.552655265526553</v>
      </c>
      <c r="E5" s="1">
        <f>IF((E$3&gt;0),(1000*('Data Entry'!D8/'Data Entry'!D$6)), 0)</f>
        <v>17.543859649122805</v>
      </c>
      <c r="F5" s="1">
        <f>IF((F$3&gt;0),(1000*('Data Entry'!E8/'Data Entry'!E$6)), 0)</f>
        <v>0</v>
      </c>
      <c r="G5" s="1">
        <f>IF((G$3&gt;0),(1000*('Data Entry'!F8/'Data Entry'!F$6)), 0)</f>
        <v>30.303030303030305</v>
      </c>
      <c r="H5" s="1">
        <f>IF((H$3&gt;0),(1000*('Data Entry'!G8/'Data Entry'!G$6)), 0)</f>
        <v>0</v>
      </c>
      <c r="I5" s="1">
        <f>IF((I$3&gt;0),(1000*('Data Entry'!H8/'Data Entry'!H$6)), 0)</f>
        <v>0</v>
      </c>
      <c r="J5" s="1">
        <f>IF((J$3&gt;0),(1000*('Data Entry'!I8/'Data Entry'!I$6)), 0)</f>
        <v>0</v>
      </c>
      <c r="K5" s="1">
        <f>IF((K$3&gt;0),(1000*('Data Entry'!J8/'Data Entry'!J$6)), 0)</f>
        <v>37.190082644628099</v>
      </c>
    </row>
    <row r="6" spans="2:11" ht="15" customHeight="1">
      <c r="B6" s="16" t="s">
        <v>10</v>
      </c>
      <c r="C6" s="1">
        <f>IF((C$3&gt;0),(1000*('Data Entry'!B9/'Data Entry'!B$6)), 0)</f>
        <v>13.152804642166345</v>
      </c>
      <c r="D6" s="1">
        <f>IF((D$3&gt;0),(1000*('Data Entry'!C9/'Data Entry'!C$6)), 0)</f>
        <v>13.276327632763277</v>
      </c>
      <c r="E6" s="1">
        <f>IF((E$3&gt;0),(1000*('Data Entry'!D9/'Data Entry'!D$6)), 0)</f>
        <v>8.7719298245614024</v>
      </c>
      <c r="F6" s="1">
        <f>IF((F$3&gt;0),(1000*('Data Entry'!E9/'Data Entry'!E$6)), 0)</f>
        <v>0</v>
      </c>
      <c r="G6" s="1">
        <f>IF((G$3&gt;0),(1000*('Data Entry'!F9/'Data Entry'!F$6)), 0)</f>
        <v>30.303030303030305</v>
      </c>
      <c r="H6" s="1">
        <f>IF((H$3&gt;0),(1000*('Data Entry'!G9/'Data Entry'!G$6)), 0)</f>
        <v>0</v>
      </c>
      <c r="I6" s="1">
        <f>IF((I$3&gt;0),(1000*('Data Entry'!H9/'Data Entry'!H$6)), 0)</f>
        <v>0</v>
      </c>
      <c r="J6" s="1">
        <f>IF((J$3&gt;0),(1000*('Data Entry'!I9/'Data Entry'!I$6)), 0)</f>
        <v>0</v>
      </c>
      <c r="K6" s="1">
        <f>IF((K$3&gt;0),(1000*('Data Entry'!J9/'Data Entry'!J$6)), 0)</f>
        <v>12.396694214876034</v>
      </c>
    </row>
    <row r="7" spans="2:11" ht="15" customHeight="1">
      <c r="B7" s="16" t="s">
        <v>11</v>
      </c>
      <c r="C7" s="1">
        <f>IF((C$3&gt;0),(1000*('Data Entry'!B10/'Data Entry'!B$6)), 0)</f>
        <v>0.38684719535783363</v>
      </c>
      <c r="D7" s="1">
        <f>IF((D$3&gt;0),(1000*('Data Entry'!C10/'Data Entry'!C$6)), 0)</f>
        <v>0.45004500450045004</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8.7040618955512574</v>
      </c>
      <c r="D8" s="1">
        <f>IF((D$3&gt;0),(1000*('Data Entry'!C11/'Data Entry'!C$6)), 0)</f>
        <v>7.4257425742574252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13.774104683195592</v>
      </c>
    </row>
    <row r="9" spans="2:11" ht="15" customHeight="1">
      <c r="B9" s="16" t="s">
        <v>13</v>
      </c>
      <c r="C9" s="1">
        <f>IF((C$3&gt;0),(1000*('Data Entry'!B12/'Data Entry'!B$6)), 0)</f>
        <v>5.6092843326885875</v>
      </c>
      <c r="D9" s="1">
        <f>IF((D$3&gt;0),(1000*('Data Entry'!C12/'Data Entry'!C$6)), 0)</f>
        <v>5.8505850585058505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4.1322314049586781</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Newaygo</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f t="shared" si="1"/>
        <v>0.54661746617466167</v>
      </c>
      <c r="F19" s="72" t="str">
        <f t="shared" si="1"/>
        <v>--</v>
      </c>
      <c r="G19" s="72" t="str">
        <f t="shared" si="1"/>
        <v>--</v>
      </c>
      <c r="H19" s="72" t="str">
        <f t="shared" si="1"/>
        <v>--</v>
      </c>
      <c r="I19" s="72" t="str">
        <f t="shared" si="1"/>
        <v>--</v>
      </c>
      <c r="J19" s="73">
        <f t="shared" si="1"/>
        <v>0.40808080808080816</v>
      </c>
    </row>
    <row r="20" spans="2:10" ht="15" customHeight="1">
      <c r="B20" s="71" t="s">
        <v>9</v>
      </c>
      <c r="C20" s="72">
        <f t="shared" ref="C20:J27" si="2">IF(AND(($D5&gt;0),(D5&gt;0)), (D5/$D5),"--")</f>
        <v>1</v>
      </c>
      <c r="D20" s="72">
        <f t="shared" si="2"/>
        <v>0.66071959559916726</v>
      </c>
      <c r="E20" s="72" t="str">
        <f t="shared" si="2"/>
        <v>--</v>
      </c>
      <c r="F20" s="72">
        <f t="shared" si="2"/>
        <v>1.1412429378531073</v>
      </c>
      <c r="G20" s="72" t="str">
        <f t="shared" si="2"/>
        <v>--</v>
      </c>
      <c r="H20" s="72" t="str">
        <f t="shared" si="2"/>
        <v>--</v>
      </c>
      <c r="I20" s="72" t="str">
        <f t="shared" si="2"/>
        <v>--</v>
      </c>
      <c r="J20" s="73">
        <f t="shared" si="2"/>
        <v>1.4006163328197225</v>
      </c>
    </row>
    <row r="21" spans="2:10" ht="15" customHeight="1">
      <c r="B21" s="71" t="s">
        <v>10</v>
      </c>
      <c r="C21" s="72">
        <f t="shared" si="2"/>
        <v>1</v>
      </c>
      <c r="D21" s="72">
        <f t="shared" si="2"/>
        <v>0.66071959559916726</v>
      </c>
      <c r="E21" s="72" t="str">
        <f t="shared" si="2"/>
        <v>--</v>
      </c>
      <c r="F21" s="72">
        <f t="shared" si="2"/>
        <v>2.2824858757062145</v>
      </c>
      <c r="G21" s="72" t="str">
        <f t="shared" si="2"/>
        <v>--</v>
      </c>
      <c r="H21" s="72" t="str">
        <f t="shared" si="2"/>
        <v>--</v>
      </c>
      <c r="I21" s="72" t="str">
        <f t="shared" si="2"/>
        <v>--</v>
      </c>
      <c r="J21" s="73">
        <f t="shared" si="2"/>
        <v>0.9337442218798151</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1.8549127640036731</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0.70629370629370636</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Newaygo</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4444</v>
      </c>
      <c r="D7" s="104">
        <f>'Data Entry'!D6</f>
        <v>114</v>
      </c>
      <c r="E7" s="105"/>
      <c r="F7" s="106">
        <f>'Data Entry'!E6</f>
        <v>542</v>
      </c>
      <c r="G7" s="105"/>
      <c r="H7" s="106">
        <f>'Data Entry'!F6</f>
        <v>33</v>
      </c>
      <c r="I7" s="105"/>
      <c r="J7" s="106">
        <f>'Data Entry'!G6</f>
        <v>0</v>
      </c>
      <c r="K7" s="105"/>
      <c r="L7" s="106">
        <f>'Data Entry'!H6</f>
        <v>37</v>
      </c>
      <c r="M7" s="105"/>
      <c r="N7" s="106">
        <f>'Data Entry'!I6</f>
        <v>0</v>
      </c>
      <c r="O7" s="105"/>
      <c r="P7" s="106">
        <f>'Data Entry'!J6</f>
        <v>726</v>
      </c>
      <c r="Q7" s="107"/>
    </row>
    <row r="8" spans="2:26" s="1" customFormat="1" ht="15" customHeight="1">
      <c r="B8" s="142" t="s">
        <v>8</v>
      </c>
      <c r="C8" s="103">
        <f>'Data Entry'!C7</f>
        <v>15</v>
      </c>
      <c r="D8" s="104">
        <f>'Data Entry'!D7</f>
        <v>0</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118</v>
      </c>
      <c r="D9" s="108">
        <f>'Data Entry'!D8</f>
        <v>2</v>
      </c>
      <c r="E9" s="109" t="str">
        <f>'Black or African-American'!$G8</f>
        <v>**</v>
      </c>
      <c r="F9" s="110">
        <f>'Data Entry'!E8</f>
        <v>0</v>
      </c>
      <c r="G9" s="109" t="str">
        <f>Hispanic!G8</f>
        <v>**</v>
      </c>
      <c r="H9" s="110">
        <f>'Data Entry'!F8</f>
        <v>1</v>
      </c>
      <c r="I9" s="109" t="str">
        <f>Asian!G8</f>
        <v>*</v>
      </c>
      <c r="J9" s="110">
        <f>'Data Entry'!G8</f>
        <v>0</v>
      </c>
      <c r="K9" s="109" t="str">
        <f>Hawaiian!G8</f>
        <v>*</v>
      </c>
      <c r="L9" s="110">
        <f>'Data Entry'!H8</f>
        <v>0</v>
      </c>
      <c r="M9" s="109" t="str">
        <f>'Am Indian'!G8</f>
        <v>*</v>
      </c>
      <c r="N9" s="110">
        <f>'Data Entry'!I8</f>
        <v>24</v>
      </c>
      <c r="O9" s="109" t="str">
        <f>'Other - Mixed'!G8</f>
        <v>*</v>
      </c>
      <c r="P9" s="110">
        <f>'Data Entry'!J8</f>
        <v>27</v>
      </c>
      <c r="Q9" s="111" t="str">
        <f>'All Minorities'!G8</f>
        <v>**</v>
      </c>
      <c r="R9"/>
      <c r="T9" s="1">
        <f>'Black or African-American'!L8</f>
        <v>40</v>
      </c>
      <c r="U9" s="1">
        <f>Hispanic!L8</f>
        <v>40</v>
      </c>
      <c r="V9" s="1">
        <f>Asian!L8</f>
        <v>139</v>
      </c>
      <c r="W9" s="1">
        <f>Hawaiian!L8</f>
        <v>139</v>
      </c>
      <c r="X9" s="1">
        <f>'Am Indian'!L8</f>
        <v>139</v>
      </c>
      <c r="Y9" s="1">
        <f>'Other - Mixed'!L8</f>
        <v>119</v>
      </c>
      <c r="Z9" s="1">
        <f>'All Minorities'!L8</f>
        <v>20</v>
      </c>
    </row>
    <row r="10" spans="2:26" s="1" customFormat="1" ht="15" customHeight="1">
      <c r="B10" s="142" t="s">
        <v>10</v>
      </c>
      <c r="C10" s="103">
        <f>'Data Entry'!C9</f>
        <v>59</v>
      </c>
      <c r="D10" s="112">
        <f>'Data Entry'!D9</f>
        <v>1</v>
      </c>
      <c r="E10" s="113" t="str">
        <f>'Black or African-American'!$G9</f>
        <v>--</v>
      </c>
      <c r="F10" s="114">
        <f>'Data Entry'!E9</f>
        <v>0</v>
      </c>
      <c r="G10" s="113" t="str">
        <f>Hispanic!G9</f>
        <v>--</v>
      </c>
      <c r="H10" s="114">
        <f>'Data Entry'!F9</f>
        <v>1</v>
      </c>
      <c r="I10" s="113" t="str">
        <f>Asian!G9</f>
        <v>*</v>
      </c>
      <c r="J10" s="114">
        <f>'Data Entry'!G9</f>
        <v>0</v>
      </c>
      <c r="K10" s="113" t="str">
        <f>Hawaiian!G9</f>
        <v>*</v>
      </c>
      <c r="L10" s="114">
        <f>'Data Entry'!H9</f>
        <v>0</v>
      </c>
      <c r="M10" s="113" t="str">
        <f>'Am Indian'!G9</f>
        <v>*</v>
      </c>
      <c r="N10" s="114">
        <f>'Data Entry'!I9</f>
        <v>7</v>
      </c>
      <c r="O10" s="113" t="str">
        <f>'Other - Mixed'!G9</f>
        <v>*</v>
      </c>
      <c r="P10" s="114">
        <f>'Data Entry'!J9</f>
        <v>9</v>
      </c>
      <c r="Q10" s="115" t="str">
        <f>'All Minorities'!G9</f>
        <v>**</v>
      </c>
      <c r="R10"/>
      <c r="T10" s="1" t="e">
        <f>'Black or African-American'!L9</f>
        <v>#VALUE!</v>
      </c>
      <c r="U10" s="1" t="e">
        <f>Hispanic!L9</f>
        <v>#VALUE!</v>
      </c>
      <c r="V10" s="1">
        <f>Asian!L9</f>
        <v>139</v>
      </c>
      <c r="W10" s="1" t="e">
        <f>Hawaiian!L9</f>
        <v>#VALUE!</v>
      </c>
      <c r="X10" s="1" t="e">
        <f>'Am Indian'!L9</f>
        <v>#VALUE!</v>
      </c>
      <c r="Y10" s="1">
        <f>'Other - Mixed'!L9</f>
        <v>139</v>
      </c>
      <c r="Z10" s="1">
        <f>'All Minorities'!L9</f>
        <v>40</v>
      </c>
    </row>
    <row r="11" spans="2:26" s="1" customFormat="1" ht="15" customHeight="1">
      <c r="B11" s="142"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f>Asian!L10</f>
        <v>139</v>
      </c>
      <c r="W11" s="1" t="e">
        <f>Hawaiian!L10</f>
        <v>#VALUE!</v>
      </c>
      <c r="X11" s="1" t="e">
        <f>'Am Indian'!L10</f>
        <v>#VALUE!</v>
      </c>
      <c r="Y11" s="1">
        <f>'Other - Mixed'!L10</f>
        <v>139</v>
      </c>
      <c r="Z11" s="1">
        <f>'All Minorities'!L10</f>
        <v>40</v>
      </c>
    </row>
    <row r="12" spans="2:26" s="1" customFormat="1" ht="15" customHeight="1">
      <c r="B12" s="142" t="s">
        <v>95</v>
      </c>
      <c r="C12" s="103">
        <f>'Data Entry'!C11</f>
        <v>33</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10</v>
      </c>
      <c r="O12" s="113" t="str">
        <f>'Other - Mixed'!G11</f>
        <v>*</v>
      </c>
      <c r="P12" s="114">
        <f>'Data Entry'!J11</f>
        <v>10</v>
      </c>
      <c r="Q12" s="115" t="str">
        <f>'All Minorities'!G11</f>
        <v>**</v>
      </c>
      <c r="R12"/>
      <c r="T12" s="1">
        <f>'Black or African-American'!L11</f>
        <v>40</v>
      </c>
      <c r="U12" s="1" t="e">
        <f>Hispanic!L11</f>
        <v>#VALUE!</v>
      </c>
      <c r="V12" s="1">
        <f>Asian!L11</f>
        <v>139</v>
      </c>
      <c r="W12" s="1" t="e">
        <f>Hawaiian!L11</f>
        <v>#VALUE!</v>
      </c>
      <c r="X12" s="1" t="e">
        <f>'Am Indian'!L11</f>
        <v>#VALUE!</v>
      </c>
      <c r="Y12" s="1">
        <f>'Other - Mixed'!L11</f>
        <v>139</v>
      </c>
      <c r="Z12" s="1">
        <f>'All Minorities'!L11</f>
        <v>40</v>
      </c>
    </row>
    <row r="13" spans="2:26" s="1" customFormat="1" ht="15" customHeight="1">
      <c r="B13" s="142" t="s">
        <v>13</v>
      </c>
      <c r="C13" s="103">
        <f>'Data Entry'!C12</f>
        <v>26</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3</v>
      </c>
      <c r="O13" s="109" t="str">
        <f>'Other - Mixed'!G12</f>
        <v>*</v>
      </c>
      <c r="P13" s="110">
        <f>'Data Entry'!J12</f>
        <v>3</v>
      </c>
      <c r="Q13" s="111" t="str">
        <f>'All Minorities'!G12</f>
        <v>**</v>
      </c>
      <c r="R13"/>
      <c r="T13" s="1" t="e">
        <f>'Black or African-American'!L12</f>
        <v>#VALUE!</v>
      </c>
      <c r="U13" s="1" t="e">
        <f>Hispanic!L12</f>
        <v>#VALUE!</v>
      </c>
      <c r="V13" s="1" t="e">
        <f>Asian!L12</f>
        <v>#VALUE!</v>
      </c>
      <c r="W13" s="1" t="e">
        <f>Hawaiian!L12</f>
        <v>#VALUE!</v>
      </c>
      <c r="X13" s="1" t="e">
        <f>'Am Indian'!L12</f>
        <v>#VALUE!</v>
      </c>
      <c r="Y13" s="1">
        <f>'Other - Mixed'!L12</f>
        <v>119</v>
      </c>
      <c r="Z13" s="1">
        <f>'All Minorities'!L12</f>
        <v>20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Newaygo</v>
      </c>
    </row>
    <row r="6" spans="1:12">
      <c r="A6" s="135" t="str">
        <f>CONCATENATE("Percentage of Minorities at Stages of the Juvenile Justice System, ", A5, " 2022")</f>
        <v>Percentage of Minorities at Stages of the Juvenile Justice System, County: Newaygo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6.1212121212121211</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6.1212121212121211</v>
      </c>
    </row>
    <row r="9" spans="1:12">
      <c r="A9" s="128" t="str">
        <f>CONCATENATE("Delinquent Findings, total N=", 'Data Entry'!B12)</f>
        <v>Delinquent Findings, total N=29</v>
      </c>
      <c r="B9" s="150">
        <f>'Data Entry'!D12/'Data Entry'!B12</f>
        <v>0</v>
      </c>
      <c r="C9" s="150">
        <f>'Data Entry'!E12/'Data Entry'!B12</f>
        <v>0</v>
      </c>
      <c r="D9" s="150">
        <f>'Data Entry'!F12/'Data Entry'!B12</f>
        <v>0</v>
      </c>
      <c r="E9" s="150">
        <f>'Data Entry'!G12/'Data Entry'!B12</f>
        <v>0</v>
      </c>
      <c r="F9" s="150">
        <f>'Data Entry'!H12/'Data Entry'!B12</f>
        <v>0</v>
      </c>
      <c r="G9" s="150">
        <f>'Data Entry'!I12/'Data Entry'!B12</f>
        <v>0.10344827586206896</v>
      </c>
      <c r="H9" s="150">
        <f>SUM(D9:G9)/'Data Entry'!B12</f>
        <v>3.5671819262782403E-3</v>
      </c>
      <c r="I9" s="150">
        <f>'Data Entry'!C12/'Data Entry'!B12</f>
        <v>0.89655172413793105</v>
      </c>
      <c r="K9" s="96" t="str">
        <f t="shared" si="0"/>
        <v>Delinquent Findings, total N=29</v>
      </c>
      <c r="L9">
        <f>I14/(SUM(B14:G14))</f>
        <v>6.1212121212121211</v>
      </c>
    </row>
    <row r="10" spans="1:12">
      <c r="A10" s="128" t="str">
        <f>CONCATENATE("Petitions, total N=", 'Data Entry'!B11)</f>
        <v>Petitions, total N=45</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0.22222222222222221</v>
      </c>
      <c r="H10" s="150">
        <f>SUM(D10:G10)/'Data Entry'!B11</f>
        <v>4.9382716049382715E-3</v>
      </c>
      <c r="I10" s="150">
        <f>'Data Entry'!C11/'Data Entry'!B11</f>
        <v>0.73333333333333328</v>
      </c>
      <c r="K10" s="96" t="str">
        <f t="shared" si="0"/>
        <v>Petitions, total N=45</v>
      </c>
      <c r="L10">
        <f>I14/(SUM(B14:G14))</f>
        <v>6.1212121212121211</v>
      </c>
    </row>
    <row r="11" spans="1:12">
      <c r="A11" s="128" t="str">
        <f>CONCATENATE("Detentions, total N=", 'Data Entry'!B10)</f>
        <v>Detentions, total N=2</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N=2</v>
      </c>
      <c r="L11">
        <f>I14/(SUM(B14:G14))</f>
        <v>6.1212121212121211</v>
      </c>
    </row>
    <row r="12" spans="1:12">
      <c r="A12" s="128" t="str">
        <f>CONCATENATE("Referrals, total N=", 'Data Entry'!B8)</f>
        <v>Referrals, total N=150</v>
      </c>
      <c r="B12" s="150">
        <f>'Data Entry'!D8/'Data Entry'!B8</f>
        <v>1.3333333333333334E-2</v>
      </c>
      <c r="C12" s="150">
        <f>'Data Entry'!E8/'Data Entry'!B8</f>
        <v>0</v>
      </c>
      <c r="D12" s="150">
        <f>'Data Entry'!F8/'Data Entry'!B8</f>
        <v>6.6666666666666671E-3</v>
      </c>
      <c r="E12" s="150">
        <f>'Data Entry'!G8/'Data Entry'!B8</f>
        <v>0</v>
      </c>
      <c r="F12" s="150">
        <f>'Data Entry'!H8/'Data Entry'!B8</f>
        <v>0</v>
      </c>
      <c r="G12" s="150">
        <f>'Data Entry'!I8/'Data Entry'!B8</f>
        <v>0.16</v>
      </c>
      <c r="H12" s="150">
        <f>SUM(D12:G12)/'Data Entry'!B8</f>
        <v>1.1111111111111111E-3</v>
      </c>
      <c r="I12" s="150">
        <f>'Data Entry'!C8/'Data Entry'!B8</f>
        <v>0.78666666666666663</v>
      </c>
      <c r="K12" s="96" t="str">
        <f t="shared" si="0"/>
        <v>Referrals, total N=150</v>
      </c>
      <c r="L12">
        <f>I14/(SUM(B14:G14))</f>
        <v>6.1212121212121211</v>
      </c>
    </row>
    <row r="13" spans="1:12">
      <c r="A13" s="128" t="str">
        <f>CONCATENATE("Arrests, total N=", 'Data Entry'!B7)</f>
        <v>Arrests, total N=18</v>
      </c>
      <c r="B13" s="150">
        <f>'Data Entry'!D7/'Data Entry'!B7</f>
        <v>0</v>
      </c>
      <c r="C13" s="150">
        <f>'Data Entry'!E7/'Data Entry'!B7</f>
        <v>5.5555555555555552E-2</v>
      </c>
      <c r="D13" s="150">
        <f>'Data Entry'!F7/'Data Entry'!B7</f>
        <v>0</v>
      </c>
      <c r="E13" s="150">
        <f>'Data Entry'!G7/'Data Entry'!B7</f>
        <v>0</v>
      </c>
      <c r="F13" s="150">
        <f>'Data Entry'!H7/'Data Entry'!B7</f>
        <v>0</v>
      </c>
      <c r="G13" s="150">
        <f>'Data Entry'!I7/'Data Entry'!B7</f>
        <v>0</v>
      </c>
      <c r="H13" s="150">
        <f>SUM(D13:G13)/'Data Entry'!B7</f>
        <v>0</v>
      </c>
      <c r="I13" s="150">
        <f>'Data Entry'!C7/'Data Entry'!B7</f>
        <v>0.83333333333333337</v>
      </c>
      <c r="K13" s="96" t="str">
        <f t="shared" si="0"/>
        <v>Arrests, total N=18</v>
      </c>
      <c r="L13">
        <f>I14/(SUM(B14:G14))</f>
        <v>6.1212121212121211</v>
      </c>
    </row>
    <row r="14" spans="1:12">
      <c r="A14" s="128" t="str">
        <f>CONCATENATE("Population, total N=", 'Data Entry'!B6)</f>
        <v>Population, total N=5170</v>
      </c>
      <c r="B14" s="150">
        <f>'Data Entry'!D6/'Data Entry'!B6</f>
        <v>2.2050290135396517E-2</v>
      </c>
      <c r="C14" s="150">
        <f>'Data Entry'!E6/'Data Entry'!B6</f>
        <v>0.10483558994197292</v>
      </c>
      <c r="D14" s="150">
        <f>'Data Entry'!F6/'Data Entry'!B6</f>
        <v>6.382978723404255E-3</v>
      </c>
      <c r="E14" s="150">
        <f>'Data Entry'!G6/'Data Entry'!B6</f>
        <v>0</v>
      </c>
      <c r="F14" s="150">
        <f>'Data Entry'!H6/'Data Entry'!B6</f>
        <v>7.1566731141199224E-3</v>
      </c>
      <c r="G14" s="150">
        <f>'Data Entry'!I6/'Data Entry'!B6</f>
        <v>0</v>
      </c>
      <c r="H14" s="150">
        <f>SUM(D14:G14)/'Data Entry'!B6</f>
        <v>2.6188881697338835E-6</v>
      </c>
      <c r="I14" s="150">
        <f>'Data Entry'!C6/'Data Entry'!B6</f>
        <v>0.8595744680851064</v>
      </c>
      <c r="K14" s="96" t="str">
        <f t="shared" si="0"/>
        <v>Population, total N=5170</v>
      </c>
      <c r="L14">
        <f>I14/(SUM(B14:G14))</f>
        <v>6.1212121212121211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Newaygo</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4444</v>
      </c>
      <c r="D7" s="104">
        <f>'Data Entry'!D6</f>
        <v>114</v>
      </c>
      <c r="E7" s="105"/>
      <c r="F7" s="106">
        <f>'Data Entry'!E6</f>
        <v>542</v>
      </c>
      <c r="G7" s="105"/>
      <c r="H7" s="106">
        <f>'Data Entry'!F6</f>
        <v>33</v>
      </c>
      <c r="I7" s="105"/>
      <c r="J7" s="106">
        <f>'Data Entry'!J6</f>
        <v>726</v>
      </c>
      <c r="K7" s="107"/>
    </row>
    <row r="8" spans="2:30" s="1" customFormat="1" ht="15" customHeight="1">
      <c r="B8" s="121" t="s">
        <v>8</v>
      </c>
      <c r="C8" s="103">
        <f>'Data Entry'!C7</f>
        <v>15</v>
      </c>
      <c r="D8" s="104">
        <f>'Data Entry'!D7</f>
        <v>0</v>
      </c>
      <c r="E8" s="105" t="str">
        <f>'Black or African-American'!$G7</f>
        <v>**</v>
      </c>
      <c r="F8" s="106">
        <f>'Data Entry'!E7</f>
        <v>1</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118</v>
      </c>
      <c r="D9" s="108">
        <f>'Data Entry'!D8</f>
        <v>2</v>
      </c>
      <c r="E9" s="109" t="str">
        <f>'Black or African-American'!$G8</f>
        <v>**</v>
      </c>
      <c r="F9" s="110">
        <f>'Data Entry'!E8</f>
        <v>0</v>
      </c>
      <c r="G9" s="109" t="str">
        <f>Hispanic!G8</f>
        <v>**</v>
      </c>
      <c r="H9" s="110">
        <f>'Data Entry'!F8</f>
        <v>1</v>
      </c>
      <c r="I9" s="109" t="str">
        <f>Asian!G8</f>
        <v>*</v>
      </c>
      <c r="J9" s="110">
        <f>'Data Entry'!J8</f>
        <v>27</v>
      </c>
      <c r="K9" s="111" t="str">
        <f>'All Minorities'!G8</f>
        <v>**</v>
      </c>
      <c r="L9"/>
      <c r="N9" s="1">
        <f>'Black or African-American'!L8</f>
        <v>40</v>
      </c>
      <c r="O9" s="1">
        <f>Hispanic!L8</f>
        <v>40</v>
      </c>
      <c r="P9" s="1">
        <f>Asian!L8</f>
        <v>139</v>
      </c>
      <c r="Q9" s="1">
        <f>Hawaiian!L8</f>
        <v>139</v>
      </c>
      <c r="R9" s="1">
        <f>'Am Indian'!L8</f>
        <v>139</v>
      </c>
      <c r="S9" s="1">
        <f>'Other - Mixed'!L8</f>
        <v>119</v>
      </c>
      <c r="T9" s="1">
        <f>'All Minorities'!L8</f>
        <v>20</v>
      </c>
    </row>
    <row r="10" spans="2:30" s="1" customFormat="1" ht="15" customHeight="1">
      <c r="B10" s="121" t="s">
        <v>10</v>
      </c>
      <c r="C10" s="103">
        <f>'Data Entry'!C9</f>
        <v>59</v>
      </c>
      <c r="D10" s="112">
        <f>'Data Entry'!D9</f>
        <v>1</v>
      </c>
      <c r="E10" s="113" t="str">
        <f>'Black or African-American'!$G9</f>
        <v>--</v>
      </c>
      <c r="F10" s="114">
        <f>'Data Entry'!E9</f>
        <v>0</v>
      </c>
      <c r="G10" s="113" t="str">
        <f>Hispanic!G9</f>
        <v>--</v>
      </c>
      <c r="H10" s="114">
        <f>'Data Entry'!F9</f>
        <v>1</v>
      </c>
      <c r="I10" s="113" t="str">
        <f>Asian!G9</f>
        <v>*</v>
      </c>
      <c r="J10" s="114">
        <f>'Data Entry'!J9</f>
        <v>9</v>
      </c>
      <c r="K10" s="115" t="str">
        <f>'All Minorities'!G9</f>
        <v>**</v>
      </c>
      <c r="L10"/>
      <c r="N10" s="1" t="e">
        <f>'Black or African-American'!L9</f>
        <v>#VALUE!</v>
      </c>
      <c r="O10" s="1" t="e">
        <f>Hispanic!L9</f>
        <v>#VALUE!</v>
      </c>
      <c r="P10" s="1">
        <f>Asian!L9</f>
        <v>139</v>
      </c>
      <c r="Q10" s="1" t="e">
        <f>Hawaiian!L9</f>
        <v>#VALUE!</v>
      </c>
      <c r="R10" s="1" t="e">
        <f>'Am Indian'!L9</f>
        <v>#VALUE!</v>
      </c>
      <c r="S10" s="1">
        <f>'Other - Mixed'!L9</f>
        <v>139</v>
      </c>
      <c r="T10" s="1">
        <f>'All Minorities'!L9</f>
        <v>40</v>
      </c>
    </row>
    <row r="11" spans="2:30" s="1" customFormat="1" ht="15" customHeight="1">
      <c r="B11" s="121"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f>Asian!L10</f>
        <v>139</v>
      </c>
      <c r="Q11" s="1" t="e">
        <f>Hawaiian!L10</f>
        <v>#VALUE!</v>
      </c>
      <c r="R11" s="1" t="e">
        <f>'Am Indian'!L10</f>
        <v>#VALUE!</v>
      </c>
      <c r="S11" s="1">
        <f>'Other - Mixed'!L10</f>
        <v>139</v>
      </c>
      <c r="T11" s="1">
        <f>'All Minorities'!L10</f>
        <v>40</v>
      </c>
    </row>
    <row r="12" spans="2:30" s="1" customFormat="1" ht="15" customHeight="1">
      <c r="B12" s="121" t="s">
        <v>95</v>
      </c>
      <c r="C12" s="103">
        <f>'Data Entry'!C11</f>
        <v>33</v>
      </c>
      <c r="D12" s="112">
        <f>'Data Entry'!D11</f>
        <v>0</v>
      </c>
      <c r="E12" s="113" t="str">
        <f>'Black or African-American'!$G11</f>
        <v>**</v>
      </c>
      <c r="F12" s="114">
        <f>'Data Entry'!E11</f>
        <v>0</v>
      </c>
      <c r="G12" s="113" t="str">
        <f>Hispanic!G11</f>
        <v>--</v>
      </c>
      <c r="H12" s="114">
        <f>'Data Entry'!F11</f>
        <v>0</v>
      </c>
      <c r="I12" s="113" t="str">
        <f>Asian!G11</f>
        <v>*</v>
      </c>
      <c r="J12" s="114">
        <f>'Data Entry'!J11</f>
        <v>10</v>
      </c>
      <c r="K12" s="115" t="str">
        <f>'All Minorities'!G11</f>
        <v>**</v>
      </c>
      <c r="L12"/>
      <c r="N12" s="1">
        <f>'Black or African-American'!L11</f>
        <v>40</v>
      </c>
      <c r="O12" s="1" t="e">
        <f>Hispanic!L11</f>
        <v>#VALUE!</v>
      </c>
      <c r="P12" s="1">
        <f>Asian!L11</f>
        <v>139</v>
      </c>
      <c r="Q12" s="1" t="e">
        <f>Hawaiian!L11</f>
        <v>#VALUE!</v>
      </c>
      <c r="R12" s="1" t="e">
        <f>'Am Indian'!L11</f>
        <v>#VALUE!</v>
      </c>
      <c r="S12" s="1">
        <f>'Other - Mixed'!L11</f>
        <v>139</v>
      </c>
      <c r="T12" s="1">
        <f>'All Minorities'!L11</f>
        <v>40</v>
      </c>
    </row>
    <row r="13" spans="2:30" s="1" customFormat="1" ht="15" customHeight="1">
      <c r="B13" s="121" t="s">
        <v>13</v>
      </c>
      <c r="C13" s="103">
        <f>'Data Entry'!C12</f>
        <v>26</v>
      </c>
      <c r="D13" s="108">
        <f>'Data Entry'!D12</f>
        <v>0</v>
      </c>
      <c r="E13" s="109" t="str">
        <f>'Black or African-American'!$G12</f>
        <v>--</v>
      </c>
      <c r="F13" s="110">
        <f>'Data Entry'!E12</f>
        <v>0</v>
      </c>
      <c r="G13" s="109" t="str">
        <f>Hispanic!G12</f>
        <v>--</v>
      </c>
      <c r="H13" s="110">
        <f>'Data Entry'!F12</f>
        <v>0</v>
      </c>
      <c r="I13" s="109" t="str">
        <f>Asian!G12</f>
        <v>*</v>
      </c>
      <c r="J13" s="110">
        <f>'Data Entry'!J12</f>
        <v>3</v>
      </c>
      <c r="K13" s="111" t="str">
        <f>'All Minorities'!G12</f>
        <v>**</v>
      </c>
      <c r="L13"/>
      <c r="N13" s="1" t="e">
        <f>'Black or African-American'!L12</f>
        <v>#VALUE!</v>
      </c>
      <c r="O13" s="1" t="e">
        <f>Hispanic!L12</f>
        <v>#VALUE!</v>
      </c>
      <c r="P13" s="1" t="e">
        <f>Asian!L12</f>
        <v>#VALUE!</v>
      </c>
      <c r="Q13" s="1" t="e">
        <f>Hawaiian!L12</f>
        <v>#VALUE!</v>
      </c>
      <c r="R13" s="1" t="e">
        <f>'Am Indian'!L12</f>
        <v>#VALUE!</v>
      </c>
      <c r="S13" s="1">
        <f>'Other - Mixed'!L12</f>
        <v>119</v>
      </c>
      <c r="T13" s="1">
        <f>'All Minorities'!L12</f>
        <v>20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4444</v>
      </c>
      <c r="D6" s="34"/>
      <c r="E6" s="33">
        <f>'Data Entry'!D6</f>
        <v>114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3.3753375337533753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114</v>
      </c>
      <c r="P7" s="42">
        <f t="shared" ref="P7:P15" si="2">C7</f>
        <v>15</v>
      </c>
      <c r="Q7" s="42">
        <f>C6-C7</f>
        <v>4429</v>
      </c>
      <c r="R7" s="42">
        <f t="shared" ref="R7:R15" si="3">SUM(N7:Q7)</f>
        <v>4558</v>
      </c>
      <c r="S7" s="30">
        <f t="shared" ref="S7:S15" si="4">R7*((((N7*Q7)-(O7*P7))^2))</f>
        <v>13328047800</v>
      </c>
      <c r="T7" s="30">
        <f t="shared" ref="T7:T15" si="5">(N7+O7)*(P7+Q7)*(N7+P7)*(O7+Q7)</f>
        <v>34523347320</v>
      </c>
      <c r="U7" s="31">
        <f t="shared" ref="U7:U15" si="6">IF((S7&gt;0),S7/T7,"- -")</f>
        <v>0.38605896689162644</v>
      </c>
    </row>
    <row r="8" spans="2:21" ht="18" customHeight="1">
      <c r="B8" s="32" t="str">
        <f>'Data Entry'!A8</f>
        <v>3. Refer to Juvenile Court</v>
      </c>
      <c r="C8" s="33">
        <f>'Data Entry'!C8</f>
        <v>118</v>
      </c>
      <c r="D8" s="34">
        <f>IF((AND(C67&gt;0,C8&gt;0)),(C8/C67),0)</f>
        <v>786.66666666666674</v>
      </c>
      <c r="E8" s="33">
        <f>'Data Entry'!D8</f>
        <v>2</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2</v>
      </c>
      <c r="O8" s="42">
        <f>((D67*L67)-E8)+0.05</f>
        <v>-1.95</v>
      </c>
      <c r="P8" s="42">
        <f t="shared" si="2"/>
        <v>118</v>
      </c>
      <c r="Q8" s="42">
        <f>(C$67*L67)-C8</f>
        <v>-103</v>
      </c>
      <c r="R8" s="42">
        <f t="shared" si="3"/>
        <v>15.049999999999997</v>
      </c>
      <c r="S8" s="30">
        <f t="shared" si="4"/>
        <v>8741.1904999999933</v>
      </c>
      <c r="T8" s="30">
        <f t="shared" si="5"/>
        <v>-9445.5000000000091</v>
      </c>
      <c r="U8" s="31">
        <f t="shared" si="6"/>
        <v>-0.92543438674500922</v>
      </c>
    </row>
    <row r="9" spans="2:21" ht="18" customHeight="1">
      <c r="B9" s="32" t="str">
        <f>'Data Entry'!A9</f>
        <v xml:space="preserve">4. Cases Diverted </v>
      </c>
      <c r="C9" s="33">
        <f>'Data Entry'!C9</f>
        <v>59</v>
      </c>
      <c r="D9" s="34">
        <f>IF((AND(C68&gt;0,C9&gt;0)),((C9/C68)),0)</f>
        <v>50</v>
      </c>
      <c r="E9" s="33">
        <f>'Data Entry'!D9</f>
        <v>1</v>
      </c>
      <c r="F9" s="34">
        <f>IF((AND($E$9&gt;0,$D$68&gt;0)),(($E$9/$D$68)),0)</f>
        <v>50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1</v>
      </c>
      <c r="O9" s="42">
        <f>(D$68*L68)-E9</f>
        <v>1</v>
      </c>
      <c r="P9" s="42">
        <f t="shared" si="2"/>
        <v>59</v>
      </c>
      <c r="Q9" s="42">
        <f>(C$68*L68)-C9</f>
        <v>59</v>
      </c>
      <c r="R9" s="42">
        <f t="shared" si="3"/>
        <v>120</v>
      </c>
      <c r="S9" s="30">
        <f t="shared" si="4"/>
        <v>0</v>
      </c>
      <c r="T9" s="30">
        <f t="shared" si="5"/>
        <v>849600</v>
      </c>
      <c r="U9" s="31" t="str">
        <f t="shared" si="6"/>
        <v>- -</v>
      </c>
    </row>
    <row r="10" spans="2:21" ht="18" customHeight="1">
      <c r="B10" s="32" t="str">
        <f>'Data Entry'!A10</f>
        <v>5. Cases Involving Secure Detention</v>
      </c>
      <c r="C10" s="33">
        <f>'Data Entry'!C10</f>
        <v>2</v>
      </c>
      <c r="D10" s="34">
        <f>IF(((AND(C68&gt;0,C10&gt;0))),(C10/(C68)),0)</f>
        <v>1.6949152542372883</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2</v>
      </c>
      <c r="P10" s="42">
        <f t="shared" si="2"/>
        <v>2</v>
      </c>
      <c r="Q10" s="42">
        <f>(C$68*L68)-C10</f>
        <v>116</v>
      </c>
      <c r="R10" s="42">
        <f t="shared" si="3"/>
        <v>120</v>
      </c>
      <c r="S10" s="30">
        <f t="shared" si="4"/>
        <v>1920</v>
      </c>
      <c r="T10" s="30">
        <f t="shared" si="5"/>
        <v>55696</v>
      </c>
      <c r="U10" s="31">
        <f t="shared" si="6"/>
        <v>3.4472852628555012E-2</v>
      </c>
    </row>
    <row r="11" spans="2:21" ht="18" customHeight="1">
      <c r="B11" s="32" t="str">
        <f>'Data Entry'!A11</f>
        <v>6. Cases Petitioned (Charge Filed)</v>
      </c>
      <c r="C11" s="33">
        <f>'Data Entry'!C11</f>
        <v>33</v>
      </c>
      <c r="D11" s="34">
        <f>IF(((AND(C68&gt;0,C11&gt;0))),(C11/(C68)),0)</f>
        <v>27.966101694915256</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2</v>
      </c>
      <c r="P11" s="42">
        <f t="shared" si="2"/>
        <v>33</v>
      </c>
      <c r="Q11" s="42">
        <f>(C$68*L68)-C11</f>
        <v>85</v>
      </c>
      <c r="R11" s="42">
        <f t="shared" si="3"/>
        <v>120</v>
      </c>
      <c r="S11" s="30">
        <f t="shared" si="4"/>
        <v>522720</v>
      </c>
      <c r="T11" s="30">
        <f t="shared" si="5"/>
        <v>677556</v>
      </c>
      <c r="U11" s="31">
        <f t="shared" si="6"/>
        <v>0.77147866744593807</v>
      </c>
    </row>
    <row r="12" spans="2:21" ht="18" customHeight="1">
      <c r="B12" s="32" t="str">
        <f>'Data Entry'!A12</f>
        <v>7. Cases Resulting in Delinquent Findings</v>
      </c>
      <c r="C12" s="33">
        <f>'Data Entry'!C12</f>
        <v>26</v>
      </c>
      <c r="D12" s="34">
        <f>IF(((AND(C69&gt;0,C12&gt;0))),(C12/(C69)),0)</f>
        <v>78.787878787878782</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26</v>
      </c>
      <c r="Q12" s="42">
        <f>(C69*L69)-C12</f>
        <v>7</v>
      </c>
      <c r="R12" s="42">
        <f t="shared" si="3"/>
        <v>33</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26</v>
      </c>
      <c r="R13" s="42">
        <f t="shared" si="3"/>
        <v>26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26</v>
      </c>
      <c r="R14" s="42">
        <f t="shared" si="3"/>
        <v>26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33</v>
      </c>
      <c r="R15" s="42">
        <f t="shared" si="3"/>
        <v>33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4.444</v>
      </c>
      <c r="D42" s="56">
        <f>E6/1000</f>
        <v>0.114</v>
      </c>
      <c r="E42" s="56">
        <f>MAX(C42:D42)</f>
        <v>4.444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1.18</v>
      </c>
      <c r="D44" s="56">
        <f>E8/100</f>
        <v>0.02</v>
      </c>
      <c r="E44" s="56">
        <f>MAX(C44:D44,0)</f>
        <v>1.18</v>
      </c>
      <c r="G44" s="1" t="str">
        <f>B44</f>
        <v>per 100 referrals</v>
      </c>
      <c r="L44" s="57">
        <v>100</v>
      </c>
      <c r="M44" s="57"/>
      <c r="R44" s="49"/>
    </row>
    <row r="45" spans="2:18" ht="15" hidden="1" customHeight="1">
      <c r="B45" s="49" t="s">
        <v>89</v>
      </c>
      <c r="C45" s="49">
        <f>C11/100</f>
        <v>0.33</v>
      </c>
      <c r="D45" s="49">
        <f>E11/100</f>
        <v>0</v>
      </c>
      <c r="E45" s="56">
        <f>MAX(C45:D45,0)</f>
        <v>0.33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4.444</v>
      </c>
      <c r="D48" s="56">
        <f>D42</f>
        <v>0.114</v>
      </c>
      <c r="E48" s="56">
        <f>MAX(C48:D48)</f>
        <v>4.444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1.18</v>
      </c>
      <c r="D50" s="49">
        <f t="shared" si="9"/>
        <v>0.02</v>
      </c>
      <c r="E50" s="49">
        <f>MAX(C50:D50)</f>
        <v>1.18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0.33</v>
      </c>
      <c r="D51" s="49">
        <f>IF(($E45&gt;0),D45,D44)</f>
        <v>0</v>
      </c>
      <c r="E51" s="49">
        <f>MAX(C51:D51)</f>
        <v>0.33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4.444</v>
      </c>
      <c r="D54" s="56">
        <f>D48</f>
        <v>0.114</v>
      </c>
      <c r="E54" s="56">
        <f>MAX(C54:D54)</f>
        <v>4.444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1.18</v>
      </c>
      <c r="D56" s="49">
        <f t="shared" si="10"/>
        <v>0.02</v>
      </c>
      <c r="E56" s="49">
        <f>MAX(C56:D56)</f>
        <v>1.18</v>
      </c>
      <c r="G56" s="1" t="str">
        <f>G50</f>
        <v>per 100 referrals</v>
      </c>
      <c r="L56" s="58">
        <f>IF(($E50&gt;0),L50,L49)</f>
        <v>100</v>
      </c>
      <c r="M56" s="58"/>
    </row>
    <row r="57" spans="2:18" ht="15" hidden="1" customHeight="1">
      <c r="B57" s="49" t="str">
        <f>IF(($E51&gt;0),B51,B49)</f>
        <v>per 100 youth petitioned</v>
      </c>
      <c r="C57" s="49">
        <f>IF(($E51&gt;0),C51,C50)</f>
        <v>0.33</v>
      </c>
      <c r="D57" s="49">
        <f>IF(($E51&gt;0),D51,D50)</f>
        <v>0</v>
      </c>
      <c r="E57" s="49">
        <f>MAX(C57:D57)</f>
        <v>0.33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4.444</v>
      </c>
      <c r="D60" s="56">
        <f>D54</f>
        <v>0.114</v>
      </c>
      <c r="E60" s="56">
        <f>MAX(C60:D60)</f>
        <v>4.444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1.18</v>
      </c>
      <c r="D62" s="49">
        <f t="shared" si="11"/>
        <v>0.02</v>
      </c>
      <c r="E62" s="49">
        <f>MAX(C62:D62)</f>
        <v>1.18</v>
      </c>
      <c r="G62" s="1" t="str">
        <f>G56</f>
        <v>per 100 referrals</v>
      </c>
      <c r="L62" s="58">
        <f>IF(($E56&gt;0),L56,L55)</f>
        <v>100</v>
      </c>
      <c r="M62" s="58"/>
    </row>
    <row r="63" spans="2:18" ht="15" hidden="1" customHeight="1">
      <c r="B63" s="49" t="str">
        <f>IF(($E57&gt;0),B57,B55)</f>
        <v>per 100 youth petitioned</v>
      </c>
      <c r="C63" s="49">
        <f>IF(($E57&gt;0),C57,C56)</f>
        <v>0.33</v>
      </c>
      <c r="D63" s="49">
        <f>IF(($E57&gt;0),D57,D56)</f>
        <v>0</v>
      </c>
      <c r="E63" s="49">
        <f>MAX(C63:D63)</f>
        <v>0.33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4.444</v>
      </c>
      <c r="D66" s="56">
        <f>D60</f>
        <v>0.114</v>
      </c>
      <c r="E66" s="56">
        <f>MAX(C66:D66)</f>
        <v>4.444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1.18</v>
      </c>
      <c r="D68" s="49">
        <f t="shared" si="12"/>
        <v>0.02</v>
      </c>
      <c r="E68" s="49">
        <f>MAX(C68:D68)</f>
        <v>1.18</v>
      </c>
      <c r="G68" s="1" t="str">
        <f>G62</f>
        <v>per 100 referrals</v>
      </c>
      <c r="L68" s="58">
        <f>IF(($E62&gt;0),L62,L61)</f>
        <v>100</v>
      </c>
      <c r="M68" s="58">
        <f>IF((B68=G68),1,2)</f>
        <v>1</v>
      </c>
    </row>
    <row r="69" spans="2:13" ht="15" hidden="1" customHeight="1">
      <c r="B69" s="49" t="str">
        <f>IF(($E63&gt;0),B63,B61)</f>
        <v>per 100 youth petitioned</v>
      </c>
      <c r="C69" s="49">
        <f>IF(($E63&gt;0),C63,C62)</f>
        <v>0.33</v>
      </c>
      <c r="D69" s="49">
        <f>IF(($E63&gt;0),D63,D62)</f>
        <v>0</v>
      </c>
      <c r="E69" s="49">
        <f>MAX(C69:D69)</f>
        <v>0.33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4444</v>
      </c>
      <c r="D6" s="34"/>
      <c r="E6" s="33">
        <f>'Data Entry'!F6</f>
        <v>33</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3.3753375337533753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33</v>
      </c>
      <c r="P7" s="42">
        <f t="shared" ref="P7:P15" si="4">C7</f>
        <v>15</v>
      </c>
      <c r="Q7" s="42">
        <f>C6-C7</f>
        <v>4429</v>
      </c>
      <c r="R7" s="42">
        <f t="shared" ref="R7:R15" si="5">SUM(N7:Q7)</f>
        <v>4477</v>
      </c>
      <c r="S7" s="30">
        <f t="shared" ref="S7:S15" si="6">R7*((((N7*Q7)-(O7*P7))^2))</f>
        <v>1096976925</v>
      </c>
      <c r="T7" s="30">
        <f t="shared" ref="T7:T15" si="7">(N7+O7)*(P7+Q7)*(N7+P7)*(O7+Q7)</f>
        <v>9815418360</v>
      </c>
      <c r="U7" s="31">
        <f t="shared" ref="U7:U15" si="8">IF((S7&gt;0),S7/T7,"- -")</f>
        <v>0.11176058775756553</v>
      </c>
    </row>
    <row r="8" spans="2:21" ht="18" customHeight="1">
      <c r="B8" s="32" t="str">
        <f>'Data Entry'!A8</f>
        <v>3. Refer to Juvenile Court</v>
      </c>
      <c r="C8" s="33">
        <f>'Data Entry'!C8</f>
        <v>118</v>
      </c>
      <c r="D8" s="34">
        <f>IF((AND(C67&gt;0,C8&gt;0)),(C8/C67),0)</f>
        <v>786.66666666666674</v>
      </c>
      <c r="E8" s="33">
        <f>'Data Entry'!F8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118</v>
      </c>
      <c r="Q8" s="42">
        <f>(C$67*L67)-C8</f>
        <v>-103</v>
      </c>
      <c r="R8" s="42">
        <f t="shared" si="5"/>
        <v>15.049999999999997</v>
      </c>
      <c r="S8" s="30">
        <f t="shared" si="6"/>
        <v>1246.2904999999982</v>
      </c>
      <c r="T8" s="30">
        <f t="shared" si="7"/>
        <v>-9277.5375000000095</v>
      </c>
      <c r="U8" s="31">
        <f t="shared" si="8"/>
        <v>-0.13433419158909321</v>
      </c>
    </row>
    <row r="9" spans="2:21" ht="18" customHeight="1">
      <c r="B9" s="32" t="str">
        <f>'Data Entry'!A9</f>
        <v xml:space="preserve">4. Cases Diverted </v>
      </c>
      <c r="C9" s="33">
        <f>'Data Entry'!C9</f>
        <v>59</v>
      </c>
      <c r="D9" s="34">
        <f>IF((AND(C68&gt;0,C9&gt;0)),((C9/C68)),0)</f>
        <v>50</v>
      </c>
      <c r="E9" s="33">
        <f>'Data Entry'!F9</f>
        <v>1</v>
      </c>
      <c r="F9" s="34">
        <f>IF((AND($E$9&gt;0,$D$68&gt;0)),(($E$9/$D$68)),0)</f>
        <v>100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0</v>
      </c>
      <c r="P9" s="42">
        <f t="shared" si="4"/>
        <v>59</v>
      </c>
      <c r="Q9" s="42">
        <f>(C$68*L68)-C9</f>
        <v>59</v>
      </c>
      <c r="R9" s="42">
        <f t="shared" si="5"/>
        <v>119</v>
      </c>
      <c r="S9" s="30">
        <f t="shared" si="6"/>
        <v>414239</v>
      </c>
      <c r="T9" s="30">
        <f t="shared" si="7"/>
        <v>417720</v>
      </c>
      <c r="U9" s="31">
        <f t="shared" si="8"/>
        <v>0.9916666666666667</v>
      </c>
    </row>
    <row r="10" spans="2:21" ht="18" customHeight="1">
      <c r="B10" s="32" t="str">
        <f>'Data Entry'!A10</f>
        <v>5. Cases Involving Secure Detention</v>
      </c>
      <c r="C10" s="33">
        <f>'Data Entry'!C10</f>
        <v>2</v>
      </c>
      <c r="D10" s="34">
        <f>IF(((AND(C68&gt;0,C10&gt;0))),(C10/(C68)),0)</f>
        <v>1.6949152542372883</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2</v>
      </c>
      <c r="Q10" s="42">
        <f>(C$68*L68)-C10</f>
        <v>116</v>
      </c>
      <c r="R10" s="42">
        <f t="shared" si="5"/>
        <v>119</v>
      </c>
      <c r="S10" s="30">
        <f t="shared" si="6"/>
        <v>476</v>
      </c>
      <c r="T10" s="30">
        <f t="shared" si="7"/>
        <v>27612</v>
      </c>
      <c r="U10" s="31">
        <f t="shared" si="8"/>
        <v>1.7238881645661307E-2</v>
      </c>
    </row>
    <row r="11" spans="2:21" ht="18" customHeight="1">
      <c r="B11" s="32" t="str">
        <f>'Data Entry'!A11</f>
        <v>6. Cases Petitioned (Charge Filed)</v>
      </c>
      <c r="C11" s="33">
        <f>'Data Entry'!C11</f>
        <v>33</v>
      </c>
      <c r="D11" s="34">
        <f>IF(((AND(C68&gt;0,C11&gt;0))),(C11/(C68)),0)</f>
        <v>27.966101694915256</v>
      </c>
      <c r="E11" s="33">
        <f>'Data Entry'!F11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33</v>
      </c>
      <c r="Q11" s="42">
        <f>(C$68*L68)-C11</f>
        <v>85</v>
      </c>
      <c r="R11" s="42">
        <f t="shared" si="5"/>
        <v>119</v>
      </c>
      <c r="S11" s="30">
        <f t="shared" si="6"/>
        <v>129591</v>
      </c>
      <c r="T11" s="30">
        <f t="shared" si="7"/>
        <v>334884</v>
      </c>
      <c r="U11" s="31">
        <f t="shared" si="8"/>
        <v>0.38697280252266458</v>
      </c>
    </row>
    <row r="12" spans="2:21" ht="18" customHeight="1">
      <c r="B12" s="32" t="str">
        <f>'Data Entry'!A12</f>
        <v>7. Cases Resulting in Delinquent Findings</v>
      </c>
      <c r="C12" s="33">
        <f>'Data Entry'!C12</f>
        <v>26</v>
      </c>
      <c r="D12" s="34">
        <f>IF(((AND(C69&gt;0,C12&gt;0))),(C12/(C69)),0)</f>
        <v>78.787878787878782</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7</v>
      </c>
      <c r="R12" s="42">
        <f t="shared" si="5"/>
        <v>33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26</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4.444</v>
      </c>
      <c r="D42" s="56">
        <f>E6/1000</f>
        <v>3.3000000000000002E-2</v>
      </c>
      <c r="E42" s="56">
        <f>MAX(C42:D42)</f>
        <v>4.444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1.18</v>
      </c>
      <c r="D44" s="56">
        <f>E8/100</f>
        <v>0.01</v>
      </c>
      <c r="E44" s="56">
        <f>MAX(C44:D44,0)</f>
        <v>1.18</v>
      </c>
      <c r="G44" s="1" t="str">
        <f>B44</f>
        <v>per 100 referrals</v>
      </c>
      <c r="L44" s="57">
        <v>100</v>
      </c>
      <c r="M44" s="57"/>
      <c r="R44" s="49"/>
    </row>
    <row r="45" spans="2:18" ht="15" hidden="1" customHeight="1">
      <c r="B45" s="49" t="s">
        <v>89</v>
      </c>
      <c r="C45" s="49">
        <f>C11/100</f>
        <v>0.33</v>
      </c>
      <c r="D45" s="49">
        <f>E11/100</f>
        <v>0</v>
      </c>
      <c r="E45" s="56">
        <f>MAX(C45:D45,0)</f>
        <v>0.33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4.444</v>
      </c>
      <c r="D48" s="56">
        <f>D42</f>
        <v>3.3000000000000002E-2</v>
      </c>
      <c r="E48" s="56">
        <f>MAX(C48:D48)</f>
        <v>4.444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1.18</v>
      </c>
      <c r="D50" s="49">
        <f t="shared" si="9"/>
        <v>0.01</v>
      </c>
      <c r="E50" s="49">
        <f>MAX(C50:D50)</f>
        <v>1.18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0.33</v>
      </c>
      <c r="D51" s="49">
        <f>IF(($E45&gt;0),D45,D44)</f>
        <v>0</v>
      </c>
      <c r="E51" s="49">
        <f>MAX(C51:D51)</f>
        <v>0.33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4.444</v>
      </c>
      <c r="D54" s="56">
        <f>D48</f>
        <v>3.3000000000000002E-2</v>
      </c>
      <c r="E54" s="56">
        <f>MAX(C54:D54)</f>
        <v>4.444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1.18</v>
      </c>
      <c r="D56" s="49">
        <f t="shared" si="10"/>
        <v>0.01</v>
      </c>
      <c r="E56" s="49">
        <f>MAX(C56:D56)</f>
        <v>1.18</v>
      </c>
      <c r="G56" s="1" t="str">
        <f>G50</f>
        <v>per 100 referrals</v>
      </c>
      <c r="L56" s="58">
        <f>IF(($E50&gt;0),L50,L49)</f>
        <v>100</v>
      </c>
      <c r="M56" s="58"/>
    </row>
    <row r="57" spans="2:18" ht="15" hidden="1" customHeight="1">
      <c r="B57" s="49" t="str">
        <f>IF(($E51&gt;0),B51,B49)</f>
        <v>per 100 youth petitioned</v>
      </c>
      <c r="C57" s="49">
        <f>IF(($E51&gt;0),C51,C50)</f>
        <v>0.33</v>
      </c>
      <c r="D57" s="49">
        <f>IF(($E51&gt;0),D51,D50)</f>
        <v>0</v>
      </c>
      <c r="E57" s="49">
        <f>MAX(C57:D57)</f>
        <v>0.33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4.444</v>
      </c>
      <c r="D60" s="56">
        <f>D54</f>
        <v>3.3000000000000002E-2</v>
      </c>
      <c r="E60" s="56">
        <f>MAX(C60:D60)</f>
        <v>4.444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1.18</v>
      </c>
      <c r="D62" s="49">
        <f t="shared" si="11"/>
        <v>0.01</v>
      </c>
      <c r="E62" s="49">
        <f>MAX(C62:D62)</f>
        <v>1.18</v>
      </c>
      <c r="G62" s="1" t="str">
        <f>G56</f>
        <v>per 100 referrals</v>
      </c>
      <c r="L62" s="58">
        <f>IF(($E56&gt;0),L56,L55)</f>
        <v>100</v>
      </c>
      <c r="M62" s="58"/>
    </row>
    <row r="63" spans="2:18" ht="15" hidden="1" customHeight="1">
      <c r="B63" s="49" t="str">
        <f>IF(($E57&gt;0),B57,B55)</f>
        <v>per 100 youth petitioned</v>
      </c>
      <c r="C63" s="49">
        <f>IF(($E57&gt;0),C57,C56)</f>
        <v>0.33</v>
      </c>
      <c r="D63" s="49">
        <f>IF(($E57&gt;0),D57,D56)</f>
        <v>0</v>
      </c>
      <c r="E63" s="49">
        <f>MAX(C63:D63)</f>
        <v>0.33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4.444</v>
      </c>
      <c r="D66" s="56">
        <f>D60</f>
        <v>3.3000000000000002E-2</v>
      </c>
      <c r="E66" s="56">
        <f>MAX(C66:D66)</f>
        <v>4.444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1.18</v>
      </c>
      <c r="D68" s="49">
        <f t="shared" si="12"/>
        <v>0.01</v>
      </c>
      <c r="E68" s="49">
        <f>MAX(C68:D68)</f>
        <v>1.18</v>
      </c>
      <c r="G68" s="1" t="str">
        <f>G62</f>
        <v>per 100 referrals</v>
      </c>
      <c r="L68" s="58">
        <f>IF(($E62&gt;0),L62,L61)</f>
        <v>100</v>
      </c>
      <c r="M68" s="58">
        <f>IF((B68=G68),1,2)</f>
        <v>1</v>
      </c>
    </row>
    <row r="69" spans="2:13" ht="15" hidden="1" customHeight="1">
      <c r="B69" s="49" t="str">
        <f>IF(($E63&gt;0),B63,B61)</f>
        <v>per 100 youth petitioned</v>
      </c>
      <c r="C69" s="49">
        <f>IF(($E63&gt;0),C63,C62)</f>
        <v>0.33</v>
      </c>
      <c r="D69" s="49">
        <f>IF(($E63&gt;0),D63,D62)</f>
        <v>0</v>
      </c>
      <c r="E69" s="49">
        <f>MAX(C69:D69)</f>
        <v>0.33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4444</v>
      </c>
      <c r="D6" s="34"/>
      <c r="E6" s="33">
        <f>'Data Entry'!E6</f>
        <v>542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3.3753375337533753</v>
      </c>
      <c r="E7" s="33">
        <f>'Data Entry'!E7</f>
        <v>1</v>
      </c>
      <c r="F7" s="34">
        <f>IF((AND($E$7&gt;0,$D$66&gt;0)),($E$7/$D$66),0)</f>
        <v>1.8450184501845017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541</v>
      </c>
      <c r="P7" s="42">
        <f t="shared" ref="P7:P15" si="4">C7</f>
        <v>15</v>
      </c>
      <c r="Q7" s="42">
        <f>C6-C7</f>
        <v>4429</v>
      </c>
      <c r="R7" s="42">
        <f t="shared" ref="R7:R15" si="5">SUM(N7:Q7)</f>
        <v>4986</v>
      </c>
      <c r="S7" s="30">
        <f t="shared" ref="S7:S15" si="6">R7*((((N7*Q7)-(O7*P7))^2))</f>
        <v>67742767656</v>
      </c>
      <c r="T7" s="30">
        <f t="shared" ref="T7:T15" si="7">(N7+O7)*(P7+Q7)*(N7+P7)*(O7+Q7)</f>
        <v>191535688960</v>
      </c>
      <c r="U7" s="31">
        <f t="shared" ref="U7:U15" si="8">IF((S7&gt;0),S7/T7,"- -")</f>
        <v>0.35368221987155246</v>
      </c>
    </row>
    <row r="8" spans="2:21" ht="18" customHeight="1">
      <c r="B8" s="32" t="str">
        <f>'Data Entry'!A8</f>
        <v>3. Refer to Juvenile Court</v>
      </c>
      <c r="C8" s="33">
        <f>'Data Entry'!C8</f>
        <v>118</v>
      </c>
      <c r="D8" s="34">
        <f>IF((AND(C67&gt;0,C8&gt;0)),(C8/C67),0)</f>
        <v>786.66666666666674</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118</v>
      </c>
      <c r="Q8" s="42">
        <f>(C$67*L67)-C8</f>
        <v>-103</v>
      </c>
      <c r="R8" s="42">
        <f t="shared" si="5"/>
        <v>16.049999999999997</v>
      </c>
      <c r="S8" s="30">
        <f t="shared" si="6"/>
        <v>246386.92049999998</v>
      </c>
      <c r="T8" s="30">
        <f t="shared" si="7"/>
        <v>-189474.07500000001</v>
      </c>
      <c r="U8" s="31">
        <f t="shared" si="8"/>
        <v>-1.3003727317312406</v>
      </c>
    </row>
    <row r="9" spans="2:21" ht="18" customHeight="1">
      <c r="B9" s="32" t="str">
        <f>'Data Entry'!A9</f>
        <v xml:space="preserve">4. Cases Diverted </v>
      </c>
      <c r="C9" s="33">
        <f>'Data Entry'!C9</f>
        <v>59</v>
      </c>
      <c r="D9" s="34">
        <f>IF((AND(C68&gt;0,C9&gt;0)),((C9/C68)),0)</f>
        <v>50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59</v>
      </c>
      <c r="Q9" s="42">
        <f>(C$68*L68)-C9</f>
        <v>59</v>
      </c>
      <c r="R9" s="42">
        <f t="shared" si="5"/>
        <v>118</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1.6949152542372883</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116</v>
      </c>
      <c r="R10" s="42">
        <f t="shared" si="5"/>
        <v>118</v>
      </c>
      <c r="S10" s="30">
        <f t="shared" si="6"/>
        <v>0</v>
      </c>
      <c r="T10" s="30">
        <f t="shared" si="7"/>
        <v>0</v>
      </c>
      <c r="U10" s="31" t="str">
        <f t="shared" si="8"/>
        <v>- -</v>
      </c>
    </row>
    <row r="11" spans="2:21" ht="18" customHeight="1">
      <c r="B11" s="32" t="str">
        <f>'Data Entry'!A11</f>
        <v>6. Cases Petitioned (Charge Filed)</v>
      </c>
      <c r="C11" s="33">
        <f>'Data Entry'!C11</f>
        <v>33</v>
      </c>
      <c r="D11" s="34">
        <f>IF(((AND(C68&gt;0,C11&gt;0))),(C11/(C68)),0)</f>
        <v>27.966101694915256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33</v>
      </c>
      <c r="Q11" s="42">
        <f>(C$68*L68)-C11</f>
        <v>85</v>
      </c>
      <c r="R11" s="42">
        <f t="shared" si="5"/>
        <v>118</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78.787878787878782</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7</v>
      </c>
      <c r="R12" s="42">
        <f t="shared" si="5"/>
        <v>33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26</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4.444</v>
      </c>
      <c r="D42" s="56">
        <f>E6/1000</f>
        <v>0.54200000000000004</v>
      </c>
      <c r="E42" s="56">
        <f>MAX(C42:D42)</f>
        <v>4.444</v>
      </c>
      <c r="G42" s="1" t="str">
        <f>B42</f>
        <v>per 1000 youth</v>
      </c>
      <c r="L42" s="57">
        <v>1000</v>
      </c>
      <c r="M42" s="57"/>
      <c r="R42" s="49"/>
    </row>
    <row r="43" spans="2:18" ht="15" hidden="1" customHeight="1">
      <c r="B43" s="49" t="s">
        <v>87</v>
      </c>
      <c r="C43" s="56">
        <f>C7/100</f>
        <v>0.15</v>
      </c>
      <c r="D43" s="56">
        <f>E7/100</f>
        <v>0.01</v>
      </c>
      <c r="E43" s="56">
        <f>MAX(C43:D43,0)</f>
        <v>0.15</v>
      </c>
      <c r="G43" s="1" t="str">
        <f>B43</f>
        <v>per 100 arrests</v>
      </c>
      <c r="L43" s="57">
        <v>100</v>
      </c>
      <c r="M43" s="57"/>
      <c r="R43" s="49"/>
    </row>
    <row r="44" spans="2:18" ht="15" hidden="1" customHeight="1">
      <c r="B44" s="49" t="s">
        <v>88</v>
      </c>
      <c r="C44" s="56">
        <f>C8/100</f>
        <v>1.18</v>
      </c>
      <c r="D44" s="56">
        <f>E8/100</f>
        <v>0</v>
      </c>
      <c r="E44" s="56">
        <f>MAX(C44:D44,0)</f>
        <v>1.18</v>
      </c>
      <c r="G44" s="1" t="str">
        <f>B44</f>
        <v>per 100 referrals</v>
      </c>
      <c r="L44" s="57">
        <v>100</v>
      </c>
      <c r="M44" s="57"/>
      <c r="R44" s="49"/>
    </row>
    <row r="45" spans="2:18" ht="15" hidden="1" customHeight="1">
      <c r="B45" s="49" t="s">
        <v>89</v>
      </c>
      <c r="C45" s="49">
        <f>C11/100</f>
        <v>0.33</v>
      </c>
      <c r="D45" s="49">
        <f>E11/100</f>
        <v>0</v>
      </c>
      <c r="E45" s="56">
        <f>MAX(C45:D45,0)</f>
        <v>0.33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4.444</v>
      </c>
      <c r="D48" s="56">
        <f>D42</f>
        <v>0.54200000000000004</v>
      </c>
      <c r="E48" s="56">
        <f>MAX(C48:D48)</f>
        <v>4.444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0.01</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1.18</v>
      </c>
      <c r="D50" s="49">
        <f t="shared" si="9"/>
        <v>0</v>
      </c>
      <c r="E50" s="49">
        <f>MAX(C50:D50)</f>
        <v>1.18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0.33</v>
      </c>
      <c r="D51" s="49">
        <f>IF(($E45&gt;0),D45,D44)</f>
        <v>0</v>
      </c>
      <c r="E51" s="49">
        <f>MAX(C51:D51)</f>
        <v>0.33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4.444</v>
      </c>
      <c r="D54" s="56">
        <f>D48</f>
        <v>0.54200000000000004</v>
      </c>
      <c r="E54" s="56">
        <f>MAX(C54:D54)</f>
        <v>4.444</v>
      </c>
      <c r="G54" s="1" t="str">
        <f>G48</f>
        <v>per 1000 youth</v>
      </c>
      <c r="L54" s="58">
        <f>L48</f>
        <v>1000</v>
      </c>
      <c r="M54" s="58"/>
    </row>
    <row r="55" spans="2:18" ht="15" hidden="1" customHeight="1">
      <c r="B55" s="49" t="str">
        <f t="shared" ref="B55:D56" si="10">IF(($E49&gt;0),B49,B48)</f>
        <v>per 100 arrests</v>
      </c>
      <c r="C55" s="49">
        <f t="shared" si="10"/>
        <v>0.15</v>
      </c>
      <c r="D55" s="49">
        <f t="shared" si="10"/>
        <v>0.01</v>
      </c>
      <c r="E55" s="49">
        <f>MAX(C55:D55)</f>
        <v>0.15</v>
      </c>
      <c r="G55" s="1" t="str">
        <f>G49</f>
        <v>per 100 arrests</v>
      </c>
      <c r="L55" s="58">
        <f>IF(($E49&gt;0),L49,L48)</f>
        <v>100</v>
      </c>
      <c r="M55" s="58"/>
    </row>
    <row r="56" spans="2:18" ht="15" hidden="1" customHeight="1">
      <c r="B56" s="49" t="str">
        <f t="shared" si="10"/>
        <v>per 100 referrals</v>
      </c>
      <c r="C56" s="49">
        <f t="shared" si="10"/>
        <v>1.18</v>
      </c>
      <c r="D56" s="49">
        <f t="shared" si="10"/>
        <v>0</v>
      </c>
      <c r="E56" s="49">
        <f>MAX(C56:D56)</f>
        <v>1.18</v>
      </c>
      <c r="G56" s="1" t="str">
        <f>G50</f>
        <v>per 100 referrals</v>
      </c>
      <c r="L56" s="58">
        <f>IF(($E50&gt;0),L50,L49)</f>
        <v>100</v>
      </c>
      <c r="M56" s="58"/>
    </row>
    <row r="57" spans="2:18" ht="15" hidden="1" customHeight="1">
      <c r="B57" s="49" t="str">
        <f>IF(($E51&gt;0),B51,B49)</f>
        <v>per 100 youth petitioned</v>
      </c>
      <c r="C57" s="49">
        <f>IF(($E51&gt;0),C51,C50)</f>
        <v>0.33</v>
      </c>
      <c r="D57" s="49">
        <f>IF(($E51&gt;0),D51,D50)</f>
        <v>0</v>
      </c>
      <c r="E57" s="49">
        <f>MAX(C57:D57)</f>
        <v>0.33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4.444</v>
      </c>
      <c r="D60" s="56">
        <f>D54</f>
        <v>0.54200000000000004</v>
      </c>
      <c r="E60" s="56">
        <f>MAX(C60:D60)</f>
        <v>4.444</v>
      </c>
      <c r="G60" s="1" t="str">
        <f>G54</f>
        <v>per 1000 youth</v>
      </c>
      <c r="L60" s="58">
        <f>L54</f>
        <v>1000</v>
      </c>
      <c r="M60" s="58"/>
    </row>
    <row r="61" spans="2:18" ht="15" hidden="1" customHeight="1">
      <c r="B61" s="49" t="str">
        <f t="shared" ref="B61:D62" si="11">IF(($E55&gt;0),B55,B54)</f>
        <v>per 100 arrests</v>
      </c>
      <c r="C61" s="49">
        <f t="shared" si="11"/>
        <v>0.15</v>
      </c>
      <c r="D61" s="49">
        <f t="shared" si="11"/>
        <v>0.01</v>
      </c>
      <c r="E61" s="49">
        <f>MAX(C61:D61)</f>
        <v>0.15</v>
      </c>
      <c r="G61" s="1" t="str">
        <f>G55</f>
        <v>per 100 arrests</v>
      </c>
      <c r="L61" s="58">
        <f>IF(($E55&gt;0),L55,L54)</f>
        <v>100</v>
      </c>
      <c r="M61" s="58"/>
    </row>
    <row r="62" spans="2:18" ht="15" hidden="1" customHeight="1">
      <c r="B62" s="49" t="str">
        <f t="shared" si="11"/>
        <v>per 100 referrals</v>
      </c>
      <c r="C62" s="49">
        <f t="shared" si="11"/>
        <v>1.18</v>
      </c>
      <c r="D62" s="49">
        <f t="shared" si="11"/>
        <v>0</v>
      </c>
      <c r="E62" s="49">
        <f>MAX(C62:D62)</f>
        <v>1.18</v>
      </c>
      <c r="G62" s="1" t="str">
        <f>G56</f>
        <v>per 100 referrals</v>
      </c>
      <c r="L62" s="58">
        <f>IF(($E56&gt;0),L56,L55)</f>
        <v>100</v>
      </c>
      <c r="M62" s="58"/>
    </row>
    <row r="63" spans="2:18" ht="15" hidden="1" customHeight="1">
      <c r="B63" s="49" t="str">
        <f>IF(($E57&gt;0),B57,B55)</f>
        <v>per 100 youth petitioned</v>
      </c>
      <c r="C63" s="49">
        <f>IF(($E57&gt;0),C57,C56)</f>
        <v>0.33</v>
      </c>
      <c r="D63" s="49">
        <f>IF(($E57&gt;0),D57,D56)</f>
        <v>0</v>
      </c>
      <c r="E63" s="49">
        <f>MAX(C63:D63)</f>
        <v>0.33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4.444</v>
      </c>
      <c r="D66" s="56">
        <f>D60</f>
        <v>0.54200000000000004</v>
      </c>
      <c r="E66" s="56">
        <f>MAX(C66:D66)</f>
        <v>4.444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0.01</v>
      </c>
      <c r="E67" s="49">
        <f>MAX(C67:D67)</f>
        <v>0.15</v>
      </c>
      <c r="G67" s="1" t="str">
        <f>G61</f>
        <v>per 100 arrests</v>
      </c>
      <c r="L67" s="58">
        <f>IF(($E61&gt;0),L61,L60)</f>
        <v>100</v>
      </c>
      <c r="M67" s="58">
        <f>IF((B67=G67),1,2)</f>
        <v>1</v>
      </c>
    </row>
    <row r="68" spans="2:13" ht="15" hidden="1" customHeight="1">
      <c r="B68" s="49" t="str">
        <f t="shared" si="12"/>
        <v>per 100 referrals</v>
      </c>
      <c r="C68" s="49">
        <f t="shared" si="12"/>
        <v>1.18</v>
      </c>
      <c r="D68" s="49">
        <f t="shared" si="12"/>
        <v>0</v>
      </c>
      <c r="E68" s="49">
        <f>MAX(C68:D68)</f>
        <v>1.18</v>
      </c>
      <c r="G68" s="1" t="str">
        <f>G62</f>
        <v>per 100 referrals</v>
      </c>
      <c r="L68" s="58">
        <f>IF(($E62&gt;0),L62,L61)</f>
        <v>100</v>
      </c>
      <c r="M68" s="58">
        <f>IF((B68=G68),1,2)</f>
        <v>1</v>
      </c>
    </row>
    <row r="69" spans="2:13" ht="15" hidden="1" customHeight="1">
      <c r="B69" s="49" t="str">
        <f>IF(($E63&gt;0),B63,B61)</f>
        <v>per 100 youth petitioned</v>
      </c>
      <c r="C69" s="49">
        <f>IF(($E63&gt;0),C63,C62)</f>
        <v>0.33</v>
      </c>
      <c r="D69" s="49">
        <f>IF(($E63&gt;0),D63,D62)</f>
        <v>0</v>
      </c>
      <c r="E69" s="49">
        <f>MAX(C69:D69)</f>
        <v>0.33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4444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3.3753375337533753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4429</v>
      </c>
      <c r="R7" s="42">
        <f t="shared" ref="R7:R15" si="5">SUM(N7:Q7)</f>
        <v>4444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118</v>
      </c>
      <c r="D8" s="34">
        <f>IF((AND(C67&gt;0,C8&gt;0)),(C8/C67),0)</f>
        <v>786.66666666666674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118</v>
      </c>
      <c r="Q8" s="42">
        <f>(C$67*L67)-C8</f>
        <v>-103</v>
      </c>
      <c r="R8" s="42">
        <f t="shared" si="5"/>
        <v>15.049999999999997</v>
      </c>
      <c r="S8" s="30">
        <f t="shared" si="6"/>
        <v>523.89049999999997</v>
      </c>
      <c r="T8" s="30">
        <f t="shared" si="7"/>
        <v>-9111.0750000000007</v>
      </c>
      <c r="U8" s="31">
        <f t="shared" si="8"/>
        <v>-5.750040472721385E-2</v>
      </c>
    </row>
    <row r="9" spans="2:21" ht="18" customHeight="1">
      <c r="B9" s="32" t="str">
        <f>'Data Entry'!A9</f>
        <v xml:space="preserve">4. Cases Diverted </v>
      </c>
      <c r="C9" s="33">
        <f>'Data Entry'!C9</f>
        <v>59</v>
      </c>
      <c r="D9" s="34">
        <f>IF((AND(C68&gt;0,C9&gt;0)),((C9/C68)),0)</f>
        <v>50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59</v>
      </c>
      <c r="Q9" s="42">
        <f>(C$68*L68)-C9</f>
        <v>59</v>
      </c>
      <c r="R9" s="42">
        <f t="shared" si="5"/>
        <v>118</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1.6949152542372883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116</v>
      </c>
      <c r="R10" s="42">
        <f t="shared" si="5"/>
        <v>118</v>
      </c>
      <c r="S10" s="30">
        <f t="shared" si="6"/>
        <v>0</v>
      </c>
      <c r="T10" s="30">
        <f t="shared" si="7"/>
        <v>0</v>
      </c>
      <c r="U10" s="31" t="str">
        <f t="shared" si="8"/>
        <v>- -</v>
      </c>
    </row>
    <row r="11" spans="2:21" ht="18" customHeight="1">
      <c r="B11" s="32" t="str">
        <f>'Data Entry'!A11</f>
        <v>6. Cases Petitioned (Charge Filed)</v>
      </c>
      <c r="C11" s="33">
        <f>'Data Entry'!C11</f>
        <v>33</v>
      </c>
      <c r="D11" s="34">
        <f>IF(((AND(C68&gt;0,C11&gt;0))),(C11/(C68)),0)</f>
        <v>27.966101694915256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33</v>
      </c>
      <c r="Q11" s="42">
        <f>(C$68*L68)-C11</f>
        <v>85</v>
      </c>
      <c r="R11" s="42">
        <f t="shared" si="5"/>
        <v>118</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78.787878787878782</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7</v>
      </c>
      <c r="R12" s="42">
        <f t="shared" si="5"/>
        <v>33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26</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4.444</v>
      </c>
      <c r="D42" s="56">
        <f>E6/1000</f>
        <v>0</v>
      </c>
      <c r="E42" s="56">
        <f>MAX(C42:D42)</f>
        <v>4.444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1.18</v>
      </c>
      <c r="D44" s="56">
        <f>E8/100</f>
        <v>0</v>
      </c>
      <c r="E44" s="56">
        <f>MAX(C44:D44,0)</f>
        <v>1.18</v>
      </c>
      <c r="G44" s="1" t="str">
        <f>B44</f>
        <v>per 100 referrals</v>
      </c>
      <c r="L44" s="57">
        <v>100</v>
      </c>
      <c r="M44" s="57"/>
      <c r="R44" s="49"/>
    </row>
    <row r="45" spans="2:18" ht="15" hidden="1" customHeight="1">
      <c r="B45" s="49" t="s">
        <v>89</v>
      </c>
      <c r="C45" s="49">
        <f>C11/100</f>
        <v>0.33</v>
      </c>
      <c r="D45" s="49">
        <f>E11/100</f>
        <v>0</v>
      </c>
      <c r="E45" s="56">
        <f>MAX(C45:D45,0)</f>
        <v>0.33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4.444</v>
      </c>
      <c r="D48" s="56">
        <f>D42</f>
        <v>0</v>
      </c>
      <c r="E48" s="56">
        <f>MAX(C48:D48)</f>
        <v>4.444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1.18</v>
      </c>
      <c r="D50" s="49">
        <f t="shared" si="9"/>
        <v>0</v>
      </c>
      <c r="E50" s="49">
        <f>MAX(C50:D50)</f>
        <v>1.18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0.33</v>
      </c>
      <c r="D51" s="49">
        <f>IF(($E45&gt;0),D45,D44)</f>
        <v>0</v>
      </c>
      <c r="E51" s="49">
        <f>MAX(C51:D51)</f>
        <v>0.33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4.444</v>
      </c>
      <c r="D54" s="56">
        <f>D48</f>
        <v>0</v>
      </c>
      <c r="E54" s="56">
        <f>MAX(C54:D54)</f>
        <v>4.444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1.18</v>
      </c>
      <c r="D56" s="49">
        <f t="shared" si="10"/>
        <v>0</v>
      </c>
      <c r="E56" s="49">
        <f>MAX(C56:D56)</f>
        <v>1.18</v>
      </c>
      <c r="G56" s="1" t="str">
        <f>G50</f>
        <v>per 100 referrals</v>
      </c>
      <c r="L56" s="58">
        <f>IF(($E50&gt;0),L50,L49)</f>
        <v>100</v>
      </c>
      <c r="M56" s="58"/>
    </row>
    <row r="57" spans="2:18" ht="15" hidden="1" customHeight="1">
      <c r="B57" s="49" t="str">
        <f>IF(($E51&gt;0),B51,B49)</f>
        <v>per 100 youth petitioned</v>
      </c>
      <c r="C57" s="49">
        <f>IF(($E51&gt;0),C51,C50)</f>
        <v>0.33</v>
      </c>
      <c r="D57" s="49">
        <f>IF(($E51&gt;0),D51,D50)</f>
        <v>0</v>
      </c>
      <c r="E57" s="49">
        <f>MAX(C57:D57)</f>
        <v>0.33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4.444</v>
      </c>
      <c r="D60" s="56">
        <f>D54</f>
        <v>0</v>
      </c>
      <c r="E60" s="56">
        <f>MAX(C60:D60)</f>
        <v>4.444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1.18</v>
      </c>
      <c r="D62" s="49">
        <f t="shared" si="11"/>
        <v>0</v>
      </c>
      <c r="E62" s="49">
        <f>MAX(C62:D62)</f>
        <v>1.18</v>
      </c>
      <c r="G62" s="1" t="str">
        <f>G56</f>
        <v>per 100 referrals</v>
      </c>
      <c r="L62" s="58">
        <f>IF(($E56&gt;0),L56,L55)</f>
        <v>100</v>
      </c>
      <c r="M62" s="58"/>
    </row>
    <row r="63" spans="2:18" ht="15" hidden="1" customHeight="1">
      <c r="B63" s="49" t="str">
        <f>IF(($E57&gt;0),B57,B55)</f>
        <v>per 100 youth petitioned</v>
      </c>
      <c r="C63" s="49">
        <f>IF(($E57&gt;0),C57,C56)</f>
        <v>0.33</v>
      </c>
      <c r="D63" s="49">
        <f>IF(($E57&gt;0),D57,D56)</f>
        <v>0</v>
      </c>
      <c r="E63" s="49">
        <f>MAX(C63:D63)</f>
        <v>0.33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4.444</v>
      </c>
      <c r="D66" s="56">
        <f>D60</f>
        <v>0</v>
      </c>
      <c r="E66" s="56">
        <f>MAX(C66:D66)</f>
        <v>4.444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1.18</v>
      </c>
      <c r="D68" s="49">
        <f t="shared" si="12"/>
        <v>0</v>
      </c>
      <c r="E68" s="49">
        <f>MAX(C68:D68)</f>
        <v>1.18</v>
      </c>
      <c r="G68" s="1" t="str">
        <f>G62</f>
        <v>per 100 referrals</v>
      </c>
      <c r="L68" s="58">
        <f>IF(($E62&gt;0),L62,L61)</f>
        <v>100</v>
      </c>
      <c r="M68" s="58">
        <f>IF((B68=G68),1,2)</f>
        <v>1</v>
      </c>
    </row>
    <row r="69" spans="2:13" ht="15" hidden="1" customHeight="1">
      <c r="B69" s="49" t="str">
        <f>IF(($E63&gt;0),B63,B61)</f>
        <v>per 100 youth petitioned</v>
      </c>
      <c r="C69" s="49">
        <f>IF(($E63&gt;0),C63,C62)</f>
        <v>0.33</v>
      </c>
      <c r="D69" s="49">
        <f>IF(($E63&gt;0),D63,D62)</f>
        <v>0</v>
      </c>
      <c r="E69" s="49">
        <f>MAX(C69:D69)</f>
        <v>0.33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4444</v>
      </c>
      <c r="D6" s="34"/>
      <c r="E6" s="33">
        <f>'Data Entry'!H6</f>
        <v>37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3.3753375337533753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37</v>
      </c>
      <c r="P7" s="42">
        <f t="shared" ref="P7:P15" si="4">C7</f>
        <v>15</v>
      </c>
      <c r="Q7" s="42">
        <f>C6-C7</f>
        <v>4429</v>
      </c>
      <c r="R7" s="42">
        <f t="shared" ref="R7:R15" si="5">SUM(N7:Q7)</f>
        <v>4481</v>
      </c>
      <c r="S7" s="30">
        <f t="shared" ref="S7:S15" si="6">R7*((((N7*Q7)-(O7*P7))^2))</f>
        <v>1380260025</v>
      </c>
      <c r="T7" s="30">
        <f t="shared" ref="T7:T15" si="7">(N7+O7)*(P7+Q7)*(N7+P7)*(O7+Q7)</f>
        <v>11015031720</v>
      </c>
      <c r="U7" s="31">
        <f t="shared" ref="U7:U15" si="8">IF((S7&gt;0),S7/T7,"- -")</f>
        <v>0.12530694963808964</v>
      </c>
    </row>
    <row r="8" spans="2:21" ht="18" customHeight="1">
      <c r="B8" s="32" t="str">
        <f>'Data Entry'!A8</f>
        <v>3. Refer to Juvenile Court</v>
      </c>
      <c r="C8" s="33">
        <f>'Data Entry'!C8</f>
        <v>118</v>
      </c>
      <c r="D8" s="34">
        <f>IF((AND(C67&gt;0,C8&gt;0)),(C8/C67),0)</f>
        <v>786.66666666666674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118</v>
      </c>
      <c r="Q8" s="42">
        <f>(C$67*L67)-C8</f>
        <v>-103</v>
      </c>
      <c r="R8" s="42">
        <f t="shared" si="5"/>
        <v>15.049999999999997</v>
      </c>
      <c r="S8" s="30">
        <f t="shared" si="6"/>
        <v>523.89049999999997</v>
      </c>
      <c r="T8" s="30">
        <f t="shared" si="7"/>
        <v>-9111.0750000000007</v>
      </c>
      <c r="U8" s="31">
        <f t="shared" si="8"/>
        <v>-5.750040472721385E-2</v>
      </c>
    </row>
    <row r="9" spans="2:21" ht="18" customHeight="1">
      <c r="B9" s="32" t="str">
        <f>'Data Entry'!A9</f>
        <v xml:space="preserve">4. Cases Diverted </v>
      </c>
      <c r="C9" s="33">
        <f>'Data Entry'!C9</f>
        <v>59</v>
      </c>
      <c r="D9" s="34">
        <f>IF((AND(C68&gt;0,C9&gt;0)),((C9/C68)),0)</f>
        <v>50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59</v>
      </c>
      <c r="Q9" s="42">
        <f>(C$68*L68)-C9</f>
        <v>59</v>
      </c>
      <c r="R9" s="42">
        <f t="shared" si="5"/>
        <v>118</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1.6949152542372883</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116</v>
      </c>
      <c r="R10" s="42">
        <f t="shared" si="5"/>
        <v>118</v>
      </c>
      <c r="S10" s="30">
        <f t="shared" si="6"/>
        <v>0</v>
      </c>
      <c r="T10" s="30">
        <f t="shared" si="7"/>
        <v>0</v>
      </c>
      <c r="U10" s="31" t="str">
        <f t="shared" si="8"/>
        <v>- -</v>
      </c>
    </row>
    <row r="11" spans="2:21" ht="18" customHeight="1">
      <c r="B11" s="32" t="str">
        <f>'Data Entry'!A11</f>
        <v>6. Cases Petitioned (Charge Filed)</v>
      </c>
      <c r="C11" s="33">
        <f>'Data Entry'!C11</f>
        <v>33</v>
      </c>
      <c r="D11" s="34">
        <f>IF(((AND(C68&gt;0,C11&gt;0))),(C11/(C68)),0)</f>
        <v>27.966101694915256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33</v>
      </c>
      <c r="Q11" s="42">
        <f>(C$68*L68)-C11</f>
        <v>85</v>
      </c>
      <c r="R11" s="42">
        <f t="shared" si="5"/>
        <v>118</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78.787878787878782</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7</v>
      </c>
      <c r="R12" s="42">
        <f t="shared" si="5"/>
        <v>33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26</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4.444</v>
      </c>
      <c r="D42" s="56">
        <f>E6/1000</f>
        <v>3.6999999999999998E-2</v>
      </c>
      <c r="E42" s="56">
        <f>MAX(C42:D42)</f>
        <v>4.444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1.18</v>
      </c>
      <c r="D44" s="56">
        <f>E8/100</f>
        <v>0</v>
      </c>
      <c r="E44" s="56">
        <f>MAX(C44:D44,0)</f>
        <v>1.18</v>
      </c>
      <c r="G44" s="1" t="str">
        <f>B44</f>
        <v>per 100 referrals</v>
      </c>
      <c r="L44" s="57">
        <v>100</v>
      </c>
      <c r="M44" s="57"/>
      <c r="R44" s="49"/>
    </row>
    <row r="45" spans="2:18" ht="15" hidden="1" customHeight="1">
      <c r="B45" s="49" t="s">
        <v>89</v>
      </c>
      <c r="C45" s="49">
        <f>C11/100</f>
        <v>0.33</v>
      </c>
      <c r="D45" s="49">
        <f>E11/100</f>
        <v>0</v>
      </c>
      <c r="E45" s="56">
        <f>MAX(C45:D45,0)</f>
        <v>0.33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4.444</v>
      </c>
      <c r="D48" s="56">
        <f>D42</f>
        <v>3.6999999999999998E-2</v>
      </c>
      <c r="E48" s="56">
        <f>MAX(C48:D48)</f>
        <v>4.444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1.18</v>
      </c>
      <c r="D50" s="49">
        <f t="shared" si="9"/>
        <v>0</v>
      </c>
      <c r="E50" s="49">
        <f>MAX(C50:D50)</f>
        <v>1.18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0.33</v>
      </c>
      <c r="D51" s="49">
        <f>IF(($E45&gt;0),D45,D44)</f>
        <v>0</v>
      </c>
      <c r="E51" s="49">
        <f>MAX(C51:D51)</f>
        <v>0.33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4.444</v>
      </c>
      <c r="D54" s="56">
        <f>D48</f>
        <v>3.6999999999999998E-2</v>
      </c>
      <c r="E54" s="56">
        <f>MAX(C54:D54)</f>
        <v>4.444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1.18</v>
      </c>
      <c r="D56" s="49">
        <f t="shared" si="10"/>
        <v>0</v>
      </c>
      <c r="E56" s="49">
        <f>MAX(C56:D56)</f>
        <v>1.18</v>
      </c>
      <c r="G56" s="1" t="str">
        <f>G50</f>
        <v>per 100 referrals</v>
      </c>
      <c r="L56" s="58">
        <f>IF(($E50&gt;0),L50,L49)</f>
        <v>100</v>
      </c>
      <c r="M56" s="58"/>
    </row>
    <row r="57" spans="2:18" ht="15" hidden="1" customHeight="1">
      <c r="B57" s="49" t="str">
        <f>IF(($E51&gt;0),B51,B49)</f>
        <v>per 100 youth petitioned</v>
      </c>
      <c r="C57" s="49">
        <f>IF(($E51&gt;0),C51,C50)</f>
        <v>0.33</v>
      </c>
      <c r="D57" s="49">
        <f>IF(($E51&gt;0),D51,D50)</f>
        <v>0</v>
      </c>
      <c r="E57" s="49">
        <f>MAX(C57:D57)</f>
        <v>0.33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4.444</v>
      </c>
      <c r="D60" s="56">
        <f>D54</f>
        <v>3.6999999999999998E-2</v>
      </c>
      <c r="E60" s="56">
        <f>MAX(C60:D60)</f>
        <v>4.444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1.18</v>
      </c>
      <c r="D62" s="49">
        <f t="shared" si="11"/>
        <v>0</v>
      </c>
      <c r="E62" s="49">
        <f>MAX(C62:D62)</f>
        <v>1.18</v>
      </c>
      <c r="G62" s="1" t="str">
        <f>G56</f>
        <v>per 100 referrals</v>
      </c>
      <c r="L62" s="58">
        <f>IF(($E56&gt;0),L56,L55)</f>
        <v>100</v>
      </c>
      <c r="M62" s="58"/>
    </row>
    <row r="63" spans="2:18" ht="15" hidden="1" customHeight="1">
      <c r="B63" s="49" t="str">
        <f>IF(($E57&gt;0),B57,B55)</f>
        <v>per 100 youth petitioned</v>
      </c>
      <c r="C63" s="49">
        <f>IF(($E57&gt;0),C57,C56)</f>
        <v>0.33</v>
      </c>
      <c r="D63" s="49">
        <f>IF(($E57&gt;0),D57,D56)</f>
        <v>0</v>
      </c>
      <c r="E63" s="49">
        <f>MAX(C63:D63)</f>
        <v>0.33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4.444</v>
      </c>
      <c r="D66" s="56">
        <f>D60</f>
        <v>3.6999999999999998E-2</v>
      </c>
      <c r="E66" s="56">
        <f>MAX(C66:D66)</f>
        <v>4.444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1.18</v>
      </c>
      <c r="D68" s="49">
        <f t="shared" si="12"/>
        <v>0</v>
      </c>
      <c r="E68" s="49">
        <f>MAX(C68:D68)</f>
        <v>1.18</v>
      </c>
      <c r="G68" s="1" t="str">
        <f>G62</f>
        <v>per 100 referrals</v>
      </c>
      <c r="L68" s="58">
        <f>IF(($E62&gt;0),L62,L61)</f>
        <v>100</v>
      </c>
      <c r="M68" s="58">
        <f>IF((B68=G68),1,2)</f>
        <v>1</v>
      </c>
    </row>
    <row r="69" spans="2:13" ht="15" hidden="1" customHeight="1">
      <c r="B69" s="49" t="str">
        <f>IF(($E63&gt;0),B63,B61)</f>
        <v>per 100 youth petitioned</v>
      </c>
      <c r="C69" s="49">
        <f>IF(($E63&gt;0),C63,C62)</f>
        <v>0.33</v>
      </c>
      <c r="D69" s="49">
        <f>IF(($E63&gt;0),D63,D62)</f>
        <v>0</v>
      </c>
      <c r="E69" s="49">
        <f>MAX(C69:D69)</f>
        <v>0.33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U47JMPN4QEAR-1806752177-30491</_dlc_DocId>
    <_dlc_DocIdUrl xmlns="ac3811b5-0f3e-49e2-ba69-f2ffa0c782af">
      <Url>https://michiganphi.sharepoint.com/sites/CMDMC/_layouts/15/DocIdRedir.aspx?ID=U47JMPN4QEAR-1806752177-30491</Url>
      <Description>U47JMPN4QEAR-1806752177-30491</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7147203-8515-4B40-A0BF-A5CB55BE274D}"/>
</file>

<file path=customXml/itemProps2.xml><?xml version="1.0" encoding="utf-8"?>
<ds:datastoreItem xmlns:ds="http://schemas.openxmlformats.org/officeDocument/2006/customXml" ds:itemID="{431D905F-760F-48D0-B90A-7B6E5E1739BC}">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D67603FD-7BF6-4375-A5C2-0C41F61825C1}">
  <ds:schemaRefs>
    <ds:schemaRef ds:uri="http://schemas.microsoft.com/sharepoint/v3/contenttype/forms"/>
  </ds:schemaRefs>
</ds:datastoreItem>
</file>

<file path=customXml/itemProps4.xml><?xml version="1.0" encoding="utf-8"?>
<ds:datastoreItem xmlns:ds="http://schemas.openxmlformats.org/officeDocument/2006/customXml" ds:itemID="{B66886D9-1165-4009-B5A9-85AFC53CD1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6047c820-61bf-4cc1-8312-d6644f6a5e65</vt:lpwstr>
  </property>
</Properties>
</file>