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72800FD8-9F7B-4D10-8768-3097D833E106}" xr6:coauthVersionLast="47" xr6:coauthVersionMax="47" xr10:uidLastSave="{FC17C638-AC09-4769-AFAF-0076821C54E8}"/>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J12" i="1" l="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2"/>
  <c r="M66" i="2"/>
  <c r="M66" i="7"/>
  <c r="F27" i="7"/>
  <c r="M66" i="4"/>
  <c r="F27" i="4"/>
  <c r="F27" i="6"/>
  <c r="M66" i="6"/>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3" i="16"/>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O25" i="5" s="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D52" i="3" s="1"/>
  <c r="E44" i="6"/>
  <c r="C50" i="6" s="1"/>
  <c r="E43" i="7"/>
  <c r="L49" i="7" s="1"/>
  <c r="E43" i="6"/>
  <c r="C49"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L52" i="7"/>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D49" i="6"/>
  <c r="D23" i="10"/>
  <c r="C48" i="7"/>
  <c r="E42" i="7"/>
  <c r="C54" i="8"/>
  <c r="E48" i="8"/>
  <c r="H26" i="10"/>
  <c r="D26" i="10"/>
  <c r="I26" i="10"/>
  <c r="C26" i="10"/>
  <c r="E20" i="10"/>
  <c r="C20" i="10"/>
  <c r="G20" i="10"/>
  <c r="H20" i="10"/>
  <c r="D20" i="10"/>
  <c r="G23" i="10"/>
  <c r="G19" i="10"/>
  <c r="E44" i="7"/>
  <c r="H23" i="10"/>
  <c r="E22" i="10"/>
  <c r="E25" i="10"/>
  <c r="F20" i="10"/>
  <c r="D50" i="6" l="1"/>
  <c r="L50" i="6"/>
  <c r="D50" i="5"/>
  <c r="E50" i="5" s="1"/>
  <c r="B50" i="6"/>
  <c r="C49" i="7"/>
  <c r="B49" i="7"/>
  <c r="D49" i="7"/>
  <c r="B49" i="6"/>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L56" i="5" l="1"/>
  <c r="E49" i="5"/>
  <c r="L55" i="5" s="1"/>
  <c r="L51" i="2"/>
  <c r="D51" i="2"/>
  <c r="E51" i="2"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D55" i="5" l="1"/>
  <c r="C55" i="5"/>
  <c r="B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5" i="5" l="1"/>
  <c r="D61" i="5" s="1"/>
  <c r="E58" i="8"/>
  <c r="C64" i="5"/>
  <c r="L56" i="8"/>
  <c r="D64" i="5"/>
  <c r="L64" i="3"/>
  <c r="B56" i="8"/>
  <c r="C57"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L64" i="8"/>
  <c r="C64" i="8"/>
  <c r="E64" i="5"/>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L70" i="5" s="1"/>
  <c r="F8" i="5"/>
  <c r="E64" i="8" l="1"/>
  <c r="C70" i="5"/>
  <c r="Q14" i="5" s="1"/>
  <c r="D70" i="5"/>
  <c r="F14" i="5" s="1"/>
  <c r="B70" i="5"/>
  <c r="F33" i="5" s="1"/>
  <c r="D63" i="8"/>
  <c r="D70" i="8" s="1"/>
  <c r="F13" i="8" s="1"/>
  <c r="B70" i="3"/>
  <c r="M70" i="3" s="1"/>
  <c r="D70" i="6"/>
  <c r="F13" i="6" s="1"/>
  <c r="L69" i="7"/>
  <c r="C69" i="7"/>
  <c r="D12" i="7" s="1"/>
  <c r="C63" i="8"/>
  <c r="C70" i="8" s="1"/>
  <c r="L63" i="8"/>
  <c r="L70" i="8" s="1"/>
  <c r="E63" i="3"/>
  <c r="C69" i="3" s="1"/>
  <c r="D12"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Q13" i="5"/>
  <c r="D13"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4" i="5" l="1"/>
  <c r="R14" i="5" s="1"/>
  <c r="S14" i="5" s="1"/>
  <c r="U14" i="5" s="1"/>
  <c r="J14" i="5" s="1"/>
  <c r="M14" i="5" s="1"/>
  <c r="F13" i="5"/>
  <c r="O13" i="5"/>
  <c r="R13" i="5" s="1"/>
  <c r="S13" i="5" s="1"/>
  <c r="U13" i="5" s="1"/>
  <c r="J13" i="5" s="1"/>
  <c r="M13" i="5" s="1"/>
  <c r="D14" i="5"/>
  <c r="E70" i="5"/>
  <c r="F34" i="5"/>
  <c r="F34" i="3"/>
  <c r="F33" i="3"/>
  <c r="B69" i="6"/>
  <c r="M69" i="6" s="1"/>
  <c r="O13" i="6"/>
  <c r="O14" i="6"/>
  <c r="F14" i="6"/>
  <c r="E63" i="8"/>
  <c r="D69" i="8" s="1"/>
  <c r="F15" i="8" s="1"/>
  <c r="Q13" i="8"/>
  <c r="Q15" i="7"/>
  <c r="E70" i="6"/>
  <c r="D15" i="3"/>
  <c r="D13" i="6"/>
  <c r="E69" i="7"/>
  <c r="D13" i="3"/>
  <c r="D15" i="7"/>
  <c r="D69" i="3"/>
  <c r="E69" i="3" s="1"/>
  <c r="Q12" i="7"/>
  <c r="E70" i="3"/>
  <c r="L69" i="3"/>
  <c r="Q12" i="3" s="1"/>
  <c r="F14" i="3"/>
  <c r="O13" i="3"/>
  <c r="B69" i="3"/>
  <c r="M69" i="3" s="1"/>
  <c r="C69" i="6"/>
  <c r="D12" i="6" s="1"/>
  <c r="Q14" i="3"/>
  <c r="F12" i="7"/>
  <c r="O12" i="7"/>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F33" i="8"/>
  <c r="C70" i="2"/>
  <c r="D14" i="2" s="1"/>
  <c r="T14" i="5"/>
  <c r="D13" i="8"/>
  <c r="K14" i="5"/>
  <c r="D70" i="2"/>
  <c r="O14" i="2" s="1"/>
  <c r="D14" i="8"/>
  <c r="E70" i="8"/>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10" i="3" l="1"/>
  <c r="J10" i="3" s="1"/>
  <c r="M10" i="3" s="1"/>
  <c r="G10" i="3" s="1"/>
  <c r="I11" i="16" s="1"/>
  <c r="K13" i="3"/>
  <c r="F32" i="6"/>
  <c r="C69" i="8"/>
  <c r="E69" i="8" s="1"/>
  <c r="F35" i="6"/>
  <c r="U9" i="4"/>
  <c r="J9" i="4" s="1"/>
  <c r="M9" i="4" s="1"/>
  <c r="G9" i="4" s="1"/>
  <c r="G10" i="16" s="1"/>
  <c r="F12" i="8"/>
  <c r="B69" i="8"/>
  <c r="M69" i="8" s="1"/>
  <c r="F12" i="3"/>
  <c r="R14" i="3"/>
  <c r="S14" i="3" s="1"/>
  <c r="U14" i="3" s="1"/>
  <c r="J14" i="3" s="1"/>
  <c r="M14" i="3" s="1"/>
  <c r="G14" i="3" s="1"/>
  <c r="I15" i="16" s="1"/>
  <c r="T14" i="6"/>
  <c r="R13" i="6"/>
  <c r="S13" i="6" s="1"/>
  <c r="L69" i="8"/>
  <c r="O15" i="8" s="1"/>
  <c r="T12" i="7"/>
  <c r="R13" i="8"/>
  <c r="S13" i="8" s="1"/>
  <c r="T15" i="7"/>
  <c r="T13" i="6"/>
  <c r="F35" i="3"/>
  <c r="F15" i="3"/>
  <c r="R15" i="7"/>
  <c r="S15" i="7" s="1"/>
  <c r="U15" i="7" s="1"/>
  <c r="J15" i="7" s="1"/>
  <c r="U10" i="4"/>
  <c r="J10" i="4" s="1"/>
  <c r="M10" i="4" s="1"/>
  <c r="G10" i="4" s="1"/>
  <c r="G11" i="16" s="1"/>
  <c r="U13" i="4"/>
  <c r="J13" i="4" s="1"/>
  <c r="M13" i="4" s="1"/>
  <c r="G13" i="4" s="1"/>
  <c r="G14" i="16" s="1"/>
  <c r="T13" i="8"/>
  <c r="K14" i="6"/>
  <c r="K12" i="7"/>
  <c r="R12" i="7"/>
  <c r="S12" i="7" s="1"/>
  <c r="K13" i="6"/>
  <c r="R14" i="6"/>
  <c r="S14" i="6" s="1"/>
  <c r="D15" i="6"/>
  <c r="O15" i="3"/>
  <c r="O12" i="6"/>
  <c r="O12" i="3"/>
  <c r="R12" i="3" s="1"/>
  <c r="S12" i="3" s="1"/>
  <c r="Q15" i="3"/>
  <c r="F32" i="3"/>
  <c r="R14" i="8"/>
  <c r="S14" i="8" s="1"/>
  <c r="E69" i="6"/>
  <c r="T13" i="3"/>
  <c r="K14" i="3"/>
  <c r="T14" i="3"/>
  <c r="K15" i="7"/>
  <c r="R13" i="3"/>
  <c r="S13" i="3" s="1"/>
  <c r="O15" i="6"/>
  <c r="Q12" i="6"/>
  <c r="Q15" i="6"/>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Q13" i="2"/>
  <c r="U9" i="3"/>
  <c r="J9" i="3" s="1"/>
  <c r="L9" i="3" s="1"/>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3" i="3" l="1"/>
  <c r="J13" i="3" s="1"/>
  <c r="M13" i="3" s="1"/>
  <c r="G13" i="3" s="1"/>
  <c r="I14" i="13" s="1"/>
  <c r="U13" i="6"/>
  <c r="J13" i="6" s="1"/>
  <c r="M13" i="6" s="1"/>
  <c r="G13" i="6" s="1"/>
  <c r="G13" i="9" s="1"/>
  <c r="U12" i="7"/>
  <c r="J12" i="7" s="1"/>
  <c r="M12" i="7" s="1"/>
  <c r="D15" i="8"/>
  <c r="D12" i="8"/>
  <c r="U14" i="6"/>
  <c r="J14" i="6" s="1"/>
  <c r="M14" i="6" s="1"/>
  <c r="G14" i="6" s="1"/>
  <c r="M15" i="13" s="1"/>
  <c r="I15" i="13"/>
  <c r="L13" i="4"/>
  <c r="O14" i="16" s="1"/>
  <c r="T12" i="6"/>
  <c r="D9" i="9"/>
  <c r="G10" i="13"/>
  <c r="L9" i="4"/>
  <c r="O10" i="16" s="1"/>
  <c r="F35" i="8"/>
  <c r="N30" i="3"/>
  <c r="Q15" i="8"/>
  <c r="R15" i="8" s="1"/>
  <c r="S15" i="8" s="1"/>
  <c r="F32" i="8"/>
  <c r="Q12" i="8"/>
  <c r="E14" i="9"/>
  <c r="L14" i="3"/>
  <c r="P15" i="16" s="1"/>
  <c r="U13" i="8"/>
  <c r="J13" i="8" s="1"/>
  <c r="M13" i="8" s="1"/>
  <c r="G13" i="8" s="1"/>
  <c r="I13" i="9" s="1"/>
  <c r="O12" i="8"/>
  <c r="L13" i="6"/>
  <c r="R14" i="16" s="1"/>
  <c r="U13" i="7"/>
  <c r="J13" i="7" s="1"/>
  <c r="M13" i="7" s="1"/>
  <c r="L15" i="7"/>
  <c r="S16" i="16" s="1"/>
  <c r="M15" i="7"/>
  <c r="T12" i="3"/>
  <c r="U12" i="3" s="1"/>
  <c r="J12" i="3" s="1"/>
  <c r="M12" i="3" s="1"/>
  <c r="G12" i="3" s="1"/>
  <c r="I13" i="16" s="1"/>
  <c r="D10" i="9"/>
  <c r="G11" i="13"/>
  <c r="L10" i="4"/>
  <c r="O11" i="16" s="1"/>
  <c r="R15" i="3"/>
  <c r="S15" i="3" s="1"/>
  <c r="U15" i="3" s="1"/>
  <c r="J15" i="3" s="1"/>
  <c r="M15" i="3" s="1"/>
  <c r="G15" i="3" s="1"/>
  <c r="I16" i="16" s="1"/>
  <c r="R12" i="6"/>
  <c r="S12" i="6" s="1"/>
  <c r="K12" i="6"/>
  <c r="T15" i="3"/>
  <c r="K15" i="3"/>
  <c r="K12" i="3"/>
  <c r="K15" i="6"/>
  <c r="L13" i="3"/>
  <c r="P14" i="16" s="1"/>
  <c r="U14" i="8"/>
  <c r="J14" i="8" s="1"/>
  <c r="N30" i="8" s="1"/>
  <c r="R15" i="6"/>
  <c r="S15" i="6" s="1"/>
  <c r="U15" i="6" s="1"/>
  <c r="J15" i="6" s="1"/>
  <c r="T15" i="6"/>
  <c r="U12" i="13"/>
  <c r="M11" i="9"/>
  <c r="T13" i="2"/>
  <c r="U8" i="6"/>
  <c r="J8" i="6" s="1"/>
  <c r="M8" i="6" s="1"/>
  <c r="G8" i="6" s="1"/>
  <c r="M9" i="13" s="1"/>
  <c r="R13" i="2"/>
  <c r="S13" i="2" s="1"/>
  <c r="V11" i="13"/>
  <c r="R10" i="7"/>
  <c r="S10" i="7" s="1"/>
  <c r="T11" i="7"/>
  <c r="T10" i="7"/>
  <c r="L8" i="2"/>
  <c r="N9" i="16" s="1"/>
  <c r="K13" i="2"/>
  <c r="R15" i="5"/>
  <c r="S15" i="5" s="1"/>
  <c r="U15" i="5" s="1"/>
  <c r="J15" i="5" s="1"/>
  <c r="M15" i="5" s="1"/>
  <c r="K11" i="7"/>
  <c r="T9" i="7"/>
  <c r="U9" i="7" s="1"/>
  <c r="J9" i="7" s="1"/>
  <c r="M9" i="7" s="1"/>
  <c r="N10" i="9"/>
  <c r="R11" i="7"/>
  <c r="S11" i="7" s="1"/>
  <c r="K12" i="5"/>
  <c r="L12" i="5" s="1"/>
  <c r="Q13" i="16" s="1"/>
  <c r="T12" i="5"/>
  <c r="K10" i="7"/>
  <c r="R14" i="2"/>
  <c r="S14" i="2" s="1"/>
  <c r="D13" i="9"/>
  <c r="G14" i="13"/>
  <c r="K9" i="7"/>
  <c r="T14" i="2"/>
  <c r="V12" i="13"/>
  <c r="N11" i="9"/>
  <c r="T15" i="5"/>
  <c r="W14" i="13"/>
  <c r="M9" i="3"/>
  <c r="G9" i="3" s="1"/>
  <c r="I10" i="13" s="1"/>
  <c r="G12" i="13"/>
  <c r="G12" i="16"/>
  <c r="N9" i="9"/>
  <c r="P10" i="16"/>
  <c r="M14" i="7"/>
  <c r="N30" i="7"/>
  <c r="L14" i="7"/>
  <c r="S15" i="16" s="1"/>
  <c r="L8" i="7"/>
  <c r="S9" i="16" s="1"/>
  <c r="O13" i="9"/>
  <c r="O14" i="9"/>
  <c r="V10" i="13"/>
  <c r="W15"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I14" i="16" l="1"/>
  <c r="E13" i="9"/>
  <c r="L12" i="3"/>
  <c r="P13" i="16" s="1"/>
  <c r="M14" i="13"/>
  <c r="L12" i="7"/>
  <c r="S13" i="16" s="1"/>
  <c r="U12" i="6"/>
  <c r="J12" i="6" s="1"/>
  <c r="M12" i="6" s="1"/>
  <c r="G12" i="6" s="1"/>
  <c r="G12" i="9" s="1"/>
  <c r="L14" i="6"/>
  <c r="R15" i="16" s="1"/>
  <c r="G14" i="9"/>
  <c r="N30" i="6"/>
  <c r="M9" i="9"/>
  <c r="U10" i="13"/>
  <c r="U14" i="13"/>
  <c r="M13" i="9"/>
  <c r="X14" i="13"/>
  <c r="P13" i="9"/>
  <c r="K15" i="8"/>
  <c r="T15" i="8"/>
  <c r="U15" i="8" s="1"/>
  <c r="J15" i="8" s="1"/>
  <c r="Q15" i="9"/>
  <c r="T12" i="8"/>
  <c r="K12" i="8"/>
  <c r="Q12" i="9"/>
  <c r="R12" i="8"/>
  <c r="S12" i="8" s="1"/>
  <c r="N14" i="9"/>
  <c r="V15" i="13"/>
  <c r="L13" i="8"/>
  <c r="T14" i="16" s="1"/>
  <c r="Y16" i="13"/>
  <c r="L13" i="7"/>
  <c r="S14" i="16" s="1"/>
  <c r="U13" i="2"/>
  <c r="J13" i="2" s="1"/>
  <c r="M13" i="2" s="1"/>
  <c r="G13" i="2" s="1"/>
  <c r="E14" i="16" s="1"/>
  <c r="U11" i="7"/>
  <c r="J11" i="7" s="1"/>
  <c r="M11" i="7" s="1"/>
  <c r="Y13" i="13"/>
  <c r="U11" i="13"/>
  <c r="M10" i="9"/>
  <c r="K14" i="16"/>
  <c r="Q14" i="13"/>
  <c r="I16" i="13"/>
  <c r="E15" i="9"/>
  <c r="L15" i="3"/>
  <c r="P16" i="16" s="1"/>
  <c r="L15" i="6"/>
  <c r="R16" i="16" s="1"/>
  <c r="U14" i="2"/>
  <c r="J14" i="2" s="1"/>
  <c r="M14" i="2" s="1"/>
  <c r="G14" i="2" s="1"/>
  <c r="E15" i="16" s="1"/>
  <c r="N13" i="9"/>
  <c r="L14" i="8"/>
  <c r="T15" i="16" s="1"/>
  <c r="M15" i="6"/>
  <c r="G15" i="6" s="1"/>
  <c r="M16" i="13" s="1"/>
  <c r="U10" i="7"/>
  <c r="J10" i="7" s="1"/>
  <c r="M10" i="7" s="1"/>
  <c r="M14" i="8"/>
  <c r="G14" i="8" s="1"/>
  <c r="K15" i="16" s="1"/>
  <c r="V14" i="13"/>
  <c r="L8" i="6"/>
  <c r="R9" i="16" s="1"/>
  <c r="L15" i="5"/>
  <c r="Q16" i="16" s="1"/>
  <c r="T9" i="13"/>
  <c r="L8" i="9"/>
  <c r="G8" i="9"/>
  <c r="Q14" i="9"/>
  <c r="Y15" i="13"/>
  <c r="E9" i="13"/>
  <c r="L10" i="2"/>
  <c r="N11" i="16" s="1"/>
  <c r="L11" i="6"/>
  <c r="R12" i="16" s="1"/>
  <c r="I10" i="16"/>
  <c r="C8" i="9"/>
  <c r="E9" i="9"/>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M13" i="13" l="1"/>
  <c r="L12" i="6"/>
  <c r="R13" i="16" s="1"/>
  <c r="P14" i="9"/>
  <c r="X15" i="13"/>
  <c r="Q13" i="9"/>
  <c r="L15" i="8"/>
  <c r="T16" i="16" s="1"/>
  <c r="M15" i="8"/>
  <c r="G15" i="8" s="1"/>
  <c r="K16" i="16" s="1"/>
  <c r="U12" i="8"/>
  <c r="J12" i="8" s="1"/>
  <c r="M12" i="8" s="1"/>
  <c r="G12" i="8" s="1"/>
  <c r="K13" i="16" s="1"/>
  <c r="Z14" i="13"/>
  <c r="Y14" i="13"/>
  <c r="R13" i="9"/>
  <c r="L13" i="2"/>
  <c r="N14" i="16" s="1"/>
  <c r="L11" i="7"/>
  <c r="S12" i="16" s="1"/>
  <c r="X13" i="13"/>
  <c r="P12" i="9"/>
  <c r="C13" i="9"/>
  <c r="N30" i="2"/>
  <c r="C14" i="9"/>
  <c r="L14" i="2"/>
  <c r="N15" i="16" s="1"/>
  <c r="L10" i="7"/>
  <c r="S11" i="16" s="1"/>
  <c r="E15" i="13"/>
  <c r="N15" i="9"/>
  <c r="G15" i="9"/>
  <c r="P15" i="9"/>
  <c r="V16" i="13"/>
  <c r="X16" i="13"/>
  <c r="E14" i="13"/>
  <c r="Z15" i="13"/>
  <c r="R14" i="9"/>
  <c r="I14" i="9"/>
  <c r="Q15" i="13"/>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P10" i="9"/>
  <c r="X11" i="13"/>
  <c r="I8" i="9"/>
  <c r="Q9" i="13"/>
  <c r="I9" i="9"/>
  <c r="Q10" i="13"/>
  <c r="D15" i="9"/>
  <c r="G16" i="13"/>
  <c r="M10" i="8"/>
  <c r="G10" i="8" s="1"/>
  <c r="K11" i="16" s="1"/>
  <c r="L10" i="8"/>
  <c r="T11" i="16" s="1"/>
  <c r="L11" i="8"/>
  <c r="T12" i="16" s="1"/>
  <c r="M11" i="8"/>
  <c r="G11" i="8" s="1"/>
  <c r="K12" i="16" s="1"/>
  <c r="I15" i="9" l="1"/>
  <c r="Z16" i="13"/>
  <c r="R15" i="9"/>
  <c r="I12" i="9"/>
  <c r="L12" i="8"/>
  <c r="T13" i="16" s="1"/>
  <c r="Q16" i="13"/>
  <c r="Q13" i="13"/>
  <c r="Y12" i="13"/>
  <c r="Q11" i="9"/>
  <c r="T14" i="13"/>
  <c r="L13" i="9"/>
  <c r="Y11" i="13"/>
  <c r="Q10" i="9"/>
  <c r="L14" i="9"/>
  <c r="T15" i="13"/>
  <c r="R9" i="9"/>
  <c r="Z10" i="13"/>
  <c r="R10" i="9"/>
  <c r="Z11" i="13"/>
  <c r="I11" i="9"/>
  <c r="Q12" i="13"/>
  <c r="I10" i="9"/>
  <c r="Q11" i="13"/>
  <c r="R11" i="9"/>
  <c r="Z12" i="13"/>
  <c r="Z13" i="13" l="1"/>
  <c r="R12" i="9"/>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<sst xmlns="http://schemas.openxmlformats.org/spreadsheetml/2006/main" count="654" uniqueCount="141">
  <si>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</si>
  <si>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</si>
  <si>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</si>
  <si>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</si>
  <si>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</si>
  <si>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</si>
  <si>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</si>
  <si>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</si>
  <si>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</si>
  <si>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</si>
  <si>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</si>
  <si>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</si>
  <si>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</si>
  <si>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</si>
  <si>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</si>
  <si>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</si>
  <si>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</si>
  <si>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</si>
  <si>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</si>
  <si>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</si>
  <si>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</si>
  <si>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</si>
  <si>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</si>
  <si>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</si>
  <si>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</si>
  <si>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</si>
  <si>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</si>
  <si>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</si>
  <si>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</si>
  <si>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</si>
  <si>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</si>
  <si>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</si>
  <si>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</si>
  <si>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</si>
  <si>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</si>
  <si>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</si>
  <si>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</si>
  <si>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</si>
  <si>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</si>
  <si>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</si>
  <si>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</si>
  <si>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</si>
  <si>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</si>
  <si>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</si>
  <si>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</si>
  <si>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</si>
  <si>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</si>
  <si>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</si>
  <si>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</si>
  <si>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</si>
  <si>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</si>
  <si>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</si>
  <si>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</si>
  <si>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</si>
  <si>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</si>
  <si>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</si>
  <si>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</si>
  <si>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</si>
  <si>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</si>
  <si>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</si>
  <si>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</si>
  <si>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</si>
  <si>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</si>
  <si>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</si>
  <si>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</si>
  <si>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</si>
  <si>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</si>
  <si>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</si>
  <si>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</si>
  <si>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</si>
  <si>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</si>
  <si>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</si>
  <si>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</si>
  <si>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</si>
  <si>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</si>
  <si>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</si>
  <si>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</si>
  <si>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</si>
  <si>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</si>
  <si>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</si>
  <si>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</si>
  <si>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</si>
  <si>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</si>
  <si>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</si>
  <si>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</si>
  <si>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</si>
  <si>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</si>
  <si>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</si>
  <si>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</si>
  <si>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</si>
  <si>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</si>
  <si>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</si>
  <si>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</si>
  <si>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</si>
  <si>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</si>
  <si>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</si>
  <si>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</si>
  <si>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</si>
  <si>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</si>
  <si>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</si>
  <si>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</si>
  <si>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</si>
  <si>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</si>
  <si>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</si>
  <si>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</si>
  <si>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</si>
  <si>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</si>
  <si>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</si>
  <si>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</si>
  <si>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</si>
  <si>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</si>
  <si>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</si>
  <si>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</si>
  <si>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</si>
  <si>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</si>
  <si>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</si>
  <si>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</si>
  <si>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</si>
  <si>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</si>
  <si>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</si>
  <si>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</si>
  <si>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</si>
  <si>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</si>
  <si>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</si>
  <si>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</si>
  <si>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</si>
  <si>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</si>
  <si>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</si>
  <si>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</si>
  <si>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</si>
  <si>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</si>
  <si>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</si>
  <si>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</si>
  <si>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</si>
  <si>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</si>
  <si>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</si>
  <si>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Muskegon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</si>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</sst>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Muskegon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N=21</c:v>
                </c:pt>
                <c:pt idx="2">
                  <c:v>Delinquent Findings, total N=160</c:v>
                </c:pt>
                <c:pt idx="3">
                  <c:v>Petitions, total N=296</c:v>
                </c:pt>
                <c:pt idx="4">
                  <c:v>Detentions, total N=46</c:v>
                </c:pt>
                <c:pt idx="5">
                  <c:v>Referrals, total N=476</c:v>
                </c:pt>
                <c:pt idx="6">
                  <c:v>Arrests, total N=145</c:v>
                </c:pt>
                <c:pt idx="7">
                  <c:v>Population, total N=18412</c:v>
                </c:pt>
              </c:strCache>
            </c:strRef>
          </c:cat>
          <c:val>
            <c:numRef>
              <c:f>'Stacked 100%'!$B$7:$B$14</c:f>
              <c:numCache>
                <c:formatCode>0%</c:formatCode>
                <c:ptCount val="8"/>
                <c:pt idx="0">
                  <c:v>0</c:v>
                </c:pt>
                <c:pt idx="1">
                  <c:v>0.76190476190476186</c:v>
                </c:pt>
                <c:pt idx="2">
                  <c:v>0.4375</c:v>
                </c:pt>
                <c:pt idx="3">
                  <c:v>0.41216216216216217</c:v>
                </c:pt>
                <c:pt idx="4">
                  <c:v>0.54347826086956519</c:v>
                </c:pt>
                <c:pt idx="5">
                  <c:v>0.44117647058823528</c:v>
                </c:pt>
                <c:pt idx="6">
                  <c:v>0.50344827586206897</c:v>
                </c:pt>
                <c:pt idx="7">
                  <c:v>0.18938735607212687</c:v>
                </c:pt>
              </c:numCache>
            </c:numRef>
          </c:val>
          <c:extLst>
            <c:ext xmlns:c16="http://schemas.microsoft.com/office/drawing/2014/chart" uri="{C3380CC4-5D6E-409C-BE32-E72D297353CC}">
              <c16:uniqueId val="{00000000-CC26-4F36-8D80-C1D33054B544}"/>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N=21</c:v>
                </c:pt>
                <c:pt idx="2">
                  <c:v>Delinquent Findings, total N=160</c:v>
                </c:pt>
                <c:pt idx="3">
                  <c:v>Petitions, total N=296</c:v>
                </c:pt>
                <c:pt idx="4">
                  <c:v>Detentions, total N=46</c:v>
                </c:pt>
                <c:pt idx="5">
                  <c:v>Referrals, total N=476</c:v>
                </c:pt>
                <c:pt idx="6">
                  <c:v>Arrests, total N=145</c:v>
                </c:pt>
                <c:pt idx="7">
                  <c:v>Population, total N=18412</c:v>
                </c:pt>
              </c:strCache>
            </c:strRef>
          </c:cat>
          <c:val>
            <c:numRef>
              <c:f>'Stacked 100%'!$C$7:$C$14</c:f>
              <c:numCache>
                <c:formatCode>0%</c:formatCode>
                <c:ptCount val="8"/>
                <c:pt idx="0">
                  <c:v>0</c:v>
                </c:pt>
                <c:pt idx="1">
                  <c:v>0</c:v>
                </c:pt>
                <c:pt idx="2">
                  <c:v>1.8749999999999999E-2</c:v>
                </c:pt>
                <c:pt idx="3">
                  <c:v>1.0135135135135136E-2</c:v>
                </c:pt>
                <c:pt idx="4">
                  <c:v>2.1739130434782608E-2</c:v>
                </c:pt>
                <c:pt idx="5">
                  <c:v>1.050420168067227E-2</c:v>
                </c:pt>
                <c:pt idx="6">
                  <c:v>2.7586206896551724E-2</c:v>
                </c:pt>
                <c:pt idx="7">
                  <c:v>0.1033565066261134</c:v>
                </c:pt>
              </c:numCache>
            </c:numRef>
          </c:val>
          <c:extLst>
            <c:ext xmlns:c16="http://schemas.microsoft.com/office/drawing/2014/chart" uri="{C3380CC4-5D6E-409C-BE32-E72D297353CC}">
              <c16:uniqueId val="{00000001-CC26-4F36-8D80-C1D33054B544}"/>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N=21</c:v>
                </c:pt>
                <c:pt idx="2">
                  <c:v>Delinquent Findings, total N=160</c:v>
                </c:pt>
                <c:pt idx="3">
                  <c:v>Petitions, total N=296</c:v>
                </c:pt>
                <c:pt idx="4">
                  <c:v>Detentions, total N=46</c:v>
                </c:pt>
                <c:pt idx="5">
                  <c:v>Referrals, total N=476</c:v>
                </c:pt>
                <c:pt idx="6">
                  <c:v>Arrests, total N=145</c:v>
                </c:pt>
                <c:pt idx="7">
                  <c:v>Population, total N=18412</c:v>
                </c:pt>
              </c:strCache>
            </c:strRef>
          </c:cat>
          <c:val>
            <c:numRef>
              <c:f>'Stacked 100%'!$H$7:$H$14</c:f>
              <c:numCache>
                <c:formatCode>0%</c:formatCode>
                <c:ptCount val="8"/>
                <c:pt idx="0">
                  <c:v>0</c:v>
                </c:pt>
                <c:pt idx="1">
                  <c:v>6.8027210884353739E-3</c:v>
                </c:pt>
                <c:pt idx="2">
                  <c:v>1.0937500000000001E-3</c:v>
                </c:pt>
                <c:pt idx="3">
                  <c:v>6.277392257121987E-4</c:v>
                </c:pt>
                <c:pt idx="4">
                  <c:v>1.4177693761814744E-3</c:v>
                </c:pt>
                <c:pt idx="5">
                  <c:v>3.2218769860885532E-4</c:v>
                </c:pt>
                <c:pt idx="6">
                  <c:v>0</c:v>
                </c:pt>
                <c:pt idx="7">
                  <c:v>8.4070363956593683E-7</c:v>
                </c:pt>
              </c:numCache>
            </c:numRef>
          </c:val>
          <c:extLst>
            <c:ext xmlns:c16="http://schemas.microsoft.com/office/drawing/2014/chart" uri="{C3380CC4-5D6E-409C-BE32-E72D297353CC}">
              <c16:uniqueId val="{00000002-CC26-4F36-8D80-C1D33054B544}"/>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N=21</c:v>
                </c:pt>
                <c:pt idx="2">
                  <c:v>Delinquent Findings, total N=160</c:v>
                </c:pt>
                <c:pt idx="3">
                  <c:v>Petitions, total N=296</c:v>
                </c:pt>
                <c:pt idx="4">
                  <c:v>Detentions, total N=46</c:v>
                </c:pt>
                <c:pt idx="5">
                  <c:v>Referrals, total N=476</c:v>
                </c:pt>
                <c:pt idx="6">
                  <c:v>Arrests, total N=145</c:v>
                </c:pt>
                <c:pt idx="7">
                  <c:v>Population, total N=18412</c:v>
                </c:pt>
              </c:strCache>
            </c:strRef>
          </c:cat>
          <c:val>
            <c:numRef>
              <c:f>'Stacked 100%'!$I$7:$I$14</c:f>
              <c:numCache>
                <c:formatCode>0%</c:formatCode>
                <c:ptCount val="8"/>
                <c:pt idx="0">
                  <c:v>0</c:v>
                </c:pt>
                <c:pt idx="1">
                  <c:v>9.5238095238095233E-2</c:v>
                </c:pt>
                <c:pt idx="2">
                  <c:v>0.35625000000000001</c:v>
                </c:pt>
                <c:pt idx="3">
                  <c:v>0.36824324324324326</c:v>
                </c:pt>
                <c:pt idx="4">
                  <c:v>0.34782608695652173</c:v>
                </c:pt>
                <c:pt idx="5">
                  <c:v>0.36344537815126049</c:v>
                </c:pt>
                <c:pt idx="6">
                  <c:v>0.44827586206896552</c:v>
                </c:pt>
                <c:pt idx="7">
                  <c:v>0.69177710189007169</c:v>
                </c:pt>
              </c:numCache>
            </c:numRef>
          </c:val>
          <c:extLst>
            <c:ext xmlns:c16="http://schemas.microsoft.com/office/drawing/2014/chart" uri="{C3380CC4-5D6E-409C-BE32-E72D297353CC}">
              <c16:uniqueId val="{00000003-CC26-4F36-8D80-C1D33054B544}"/>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N=21</c:v>
                </c:pt>
                <c:pt idx="2">
                  <c:v>Delinquent Findings, total N=160</c:v>
                </c:pt>
                <c:pt idx="3">
                  <c:v>Petitions, total N=296</c:v>
                </c:pt>
                <c:pt idx="4">
                  <c:v>Detentions, total N=46</c:v>
                </c:pt>
                <c:pt idx="5">
                  <c:v>Referrals, total N=476</c:v>
                </c:pt>
                <c:pt idx="6">
                  <c:v>Arrests, total N=145</c:v>
                </c:pt>
                <c:pt idx="7">
                  <c:v>Population, total N=18412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C26-4F36-8D80-C1D33054B544}"/>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J14" sqref="J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18412</v>
      </c>
      <c r="C6" s="11">
        <v>12737</v>
      </c>
      <c r="D6" s="11">
        <v>3487</v>
      </c>
      <c r="E6" s="11">
        <v>1903</v>
      </c>
      <c r="F6" s="11">
        <v>136</v>
      </c>
      <c r="G6" s="11"/>
      <c r="H6" s="11">
        <v>149</v>
      </c>
      <c r="I6" s="11"/>
      <c r="J6" s="91">
        <f>SUM(D6:I6)</f>
        <v>5675</v>
      </c>
      <c r="K6" s="92"/>
    </row>
    <row r="7" spans="1:11" ht="15.75" customHeight="1" thickBot="1">
      <c r="A7" s="10" t="s">
        <v>8</v>
      </c>
      <c r="B7" s="11">
        <f t="shared" ref="B7:B15" si="0">SUM(C7:I7)+K7</f>
        <v>145</v>
      </c>
      <c r="C7" s="11">
        <v>65</v>
      </c>
      <c r="D7" s="11">
        <v>73</v>
      </c>
      <c r="E7" s="11">
        <v>4</v>
      </c>
      <c r="F7" s="11">
        <v>0</v>
      </c>
      <c r="G7" s="11">
        <v>0</v>
      </c>
      <c r="H7" s="11">
        <v>0</v>
      </c>
      <c r="I7" s="11"/>
      <c r="J7" s="91">
        <f t="shared" ref="J7:J15" si="1">SUM(D7:I7)</f>
        <v>77</v>
      </c>
      <c r="K7" s="92">
        <v>3</v>
      </c>
    </row>
    <row r="8" spans="1:11" ht="15.75" customHeight="1" thickBot="1">
      <c r="A8" s="10" t="s">
        <v>9</v>
      </c>
      <c r="B8" s="11">
        <f t="shared" si="0"/>
        <v>476</v>
      </c>
      <c r="C8" s="11">
        <v>173</v>
      </c>
      <c r="D8" s="11">
        <v>210</v>
      </c>
      <c r="E8" s="11">
        <v>5</v>
      </c>
      <c r="F8" s="11"/>
      <c r="G8" s="11"/>
      <c r="H8" s="11">
        <v>2</v>
      </c>
      <c r="I8" s="11">
        <v>71</v>
      </c>
      <c r="J8" s="91">
        <f t="shared" si="1"/>
        <v>288</v>
      </c>
      <c r="K8" s="92">
        <v>15</v>
      </c>
    </row>
    <row r="9" spans="1:11" ht="15.75" customHeight="1" thickBot="1">
      <c r="A9" s="10" t="s">
        <v>10</v>
      </c>
      <c r="B9" s="11">
        <f t="shared" si="0"/>
        <v>74</v>
      </c>
      <c r="C9" s="11">
        <v>22</v>
      </c>
      <c r="D9" s="11">
        <v>41</v>
      </c>
      <c r="E9" s="11">
        <v>1</v>
      </c>
      <c r="F9" s="11"/>
      <c r="G9" s="11"/>
      <c r="H9" s="11"/>
      <c r="I9" s="11">
        <v>8</v>
      </c>
      <c r="J9" s="91">
        <f t="shared" si="1"/>
        <v>50</v>
      </c>
      <c r="K9" s="92">
        <v>2</v>
      </c>
    </row>
    <row r="10" spans="1:11" ht="15.75" customHeight="1" thickBot="1">
      <c r="A10" s="10" t="s">
        <v>11</v>
      </c>
      <c r="B10" s="11">
        <f t="shared" si="0"/>
        <v>46</v>
      </c>
      <c r="C10" s="11">
        <v>16</v>
      </c>
      <c r="D10" s="11">
        <v>25</v>
      </c>
      <c r="E10" s="11">
        <v>1</v>
      </c>
      <c r="F10" s="11"/>
      <c r="G10" s="11"/>
      <c r="H10" s="11"/>
      <c r="I10" s="11">
        <v>3</v>
      </c>
      <c r="J10" s="91">
        <f t="shared" si="1"/>
        <v>29</v>
      </c>
      <c r="K10" s="92">
        <v>1</v>
      </c>
    </row>
    <row r="11" spans="1:11" ht="15.75" customHeight="1" thickBot="1">
      <c r="A11" s="10" t="s">
        <v>12</v>
      </c>
      <c r="B11" s="11">
        <f t="shared" si="0"/>
        <v>296</v>
      </c>
      <c r="C11" s="11">
        <v>109</v>
      </c>
      <c r="D11" s="11">
        <v>122</v>
      </c>
      <c r="E11" s="11">
        <v>3</v>
      </c>
      <c r="F11" s="11"/>
      <c r="G11" s="11"/>
      <c r="H11" s="11">
        <v>1</v>
      </c>
      <c r="I11" s="11">
        <v>54</v>
      </c>
      <c r="J11" s="91">
        <f t="shared" si="1"/>
        <v>180</v>
      </c>
      <c r="K11" s="92">
        <v>7</v>
      </c>
    </row>
    <row r="12" spans="1:11" ht="15.75" customHeight="1" thickBot="1">
      <c r="A12" s="10" t="s">
        <v>13</v>
      </c>
      <c r="B12" s="11">
        <f t="shared" si="0"/>
        <v>160</v>
      </c>
      <c r="C12" s="11">
        <v>57</v>
      </c>
      <c r="D12" s="11">
        <v>70</v>
      </c>
      <c r="E12" s="11">
        <v>3</v>
      </c>
      <c r="F12" s="11"/>
      <c r="G12" s="11"/>
      <c r="H12" s="11">
        <v>1</v>
      </c>
      <c r="I12" s="11">
        <v>27</v>
      </c>
      <c r="J12" s="91">
        <f t="shared" si="1"/>
        <v>101</v>
      </c>
      <c r="K12" s="92">
        <v>2</v>
      </c>
    </row>
    <row r="13" spans="1:11" ht="15.75" customHeight="1" thickBot="1">
      <c r="A13" s="10" t="s">
        <v>133</v>
      </c>
      <c r="B13" s="11">
        <f t="shared" si="0"/>
        <v>301</v>
      </c>
      <c r="C13" s="11">
        <v>122</v>
      </c>
      <c r="D13" s="11">
        <v>125</v>
      </c>
      <c r="E13" s="11">
        <v>5</v>
      </c>
      <c r="F13" s="11"/>
      <c r="G13" s="11"/>
      <c r="H13" s="11">
        <v>2</v>
      </c>
      <c r="I13" s="11">
        <v>34</v>
      </c>
      <c r="J13" s="91">
        <f t="shared" si="1"/>
        <v>166</v>
      </c>
      <c r="K13" s="92">
        <v>13</v>
      </c>
    </row>
    <row r="14" spans="1:11" ht="26.25" customHeight="1" thickBot="1">
      <c r="A14" s="10" t="s">
        <v>123</v>
      </c>
      <c r="B14" s="11">
        <f t="shared" si="0"/>
        <v>21</v>
      </c>
      <c r="C14" s="11">
        <v>2</v>
      </c>
      <c r="D14" s="11">
        <v>16</v>
      </c>
      <c r="E14" s="11"/>
      <c r="F14" s="11"/>
      <c r="G14" s="11"/>
      <c r="H14" s="11"/>
      <c r="I14" s="11">
        <v>3</v>
      </c>
      <c r="J14" s="91">
        <f t="shared" si="1"/>
        <v>19</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Muskegon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12737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65</v>
      </c>
      <c r="D7" s="34">
        <f>IF((AND(C66&gt;0,C7&gt;0)),(C7/C66),0)</f>
        <v>5.1032425217869202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65</v>
      </c>
      <c r="Q7" s="42">
        <f>C6-C7</f>
        <v>12672</v>
      </c>
      <c r="R7" s="42">
        <f t="shared" ref="R7:R15" si="5">SUM(N7:Q7)</f>
        <v>12737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173</v>
      </c>
      <c r="D8" s="34">
        <f>IF((AND(C67&gt;0,C8&gt;0)),(C8/C67),0)</f>
        <v>266.15384615384613</v>
      </c>
      <c r="E8" s="33">
        <f>'Data Entry'!I8</f>
        <v>71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71</v>
      </c>
      <c r="O8" s="42">
        <f>((D67*L67)-E8)+0.05</f>
        <v>-70.95</v>
      </c>
      <c r="P8" s="42">
        <f t="shared" si="4"/>
        <v>173</v>
      </c>
      <c r="Q8" s="42">
        <f>(C$67*L67)-C8</f>
        <v>-108</v>
      </c>
      <c r="R8" s="42">
        <f t="shared" si="5"/>
        <v>65.050000000000011</v>
      </c>
      <c r="S8" s="30">
        <f t="shared" si="6"/>
        <v>1380260843.9786253</v>
      </c>
      <c r="T8" s="30">
        <f t="shared" si="7"/>
        <v>-141907.34999999194</v>
      </c>
      <c r="U8" s="31">
        <f t="shared" si="8"/>
        <v>-9726.4929827715314</v>
      </c>
    </row>
    <row r="9" spans="2:21" ht="18" customHeight="1">
      <c r="B9" s="32" t="str">
        <f>'Data Entry'!A9</f>
        <v xml:space="preserve">4. Cases Diverted </v>
      </c>
      <c r="C9" s="33">
        <f>'Data Entry'!C9</f>
        <v>22</v>
      </c>
      <c r="D9" s="34">
        <f>IF((AND(C68&gt;0,C9&gt;0)),((C9/C68)),0)</f>
        <v>12.716763005780347</v>
      </c>
      <c r="E9" s="33">
        <f>'Data Entry'!I9</f>
        <v>8</v>
      </c>
      <c r="F9" s="34">
        <f>IF((AND($E$9&gt;0,$D$68&gt;0)),(($E$9/$D$68)),0)</f>
        <v>11.267605633802818</v>
      </c>
      <c r="G9" s="39" t="str">
        <f t="shared" si="0"/>
        <v>*</v>
      </c>
      <c r="H9" s="40"/>
      <c r="I9" s="41"/>
      <c r="J9" s="40">
        <f>IF((ABS($U9)&gt;Defaults!D$7),1,2)</f>
        <v>2</v>
      </c>
      <c r="K9" s="39">
        <f>IF((AND(N9&gt;Defaults!B$12,(N9+O9)&gt;Defaults!B$13, P9 &gt; Defaults!B$12, (P9+Q9) &gt; Defaults!B$13)),1,20)</f>
        <v>1</v>
      </c>
      <c r="L9" s="1">
        <f t="shared" si="1"/>
        <v>101</v>
      </c>
      <c r="M9" s="1" t="b">
        <f t="shared" si="2"/>
        <v>1</v>
      </c>
      <c r="N9" s="42">
        <f t="shared" si="3"/>
        <v>8</v>
      </c>
      <c r="O9" s="42">
        <f>(D$68*L68)-E9</f>
        <v>63</v>
      </c>
      <c r="P9" s="42">
        <f t="shared" si="4"/>
        <v>22</v>
      </c>
      <c r="Q9" s="42">
        <f>(C$68*L68)-C9</f>
        <v>151</v>
      </c>
      <c r="R9" s="42">
        <f t="shared" si="5"/>
        <v>244</v>
      </c>
      <c r="S9" s="30">
        <f t="shared" si="6"/>
        <v>7730896</v>
      </c>
      <c r="T9" s="30">
        <f t="shared" si="7"/>
        <v>78856860</v>
      </c>
      <c r="U9" s="31">
        <f t="shared" si="8"/>
        <v>9.8037076292411332E-2</v>
      </c>
    </row>
    <row r="10" spans="2:21" ht="18" customHeight="1">
      <c r="B10" s="32" t="str">
        <f>'Data Entry'!A10</f>
        <v>5. Cases Involving Secure Detention</v>
      </c>
      <c r="C10" s="33">
        <f>'Data Entry'!C10</f>
        <v>16</v>
      </c>
      <c r="D10" s="34">
        <f>IF(((AND(C68&gt;0,C10&gt;0))),(C10/(C68)),0)</f>
        <v>9.2485549132947984</v>
      </c>
      <c r="E10" s="33">
        <f>'Data Entry'!I10</f>
        <v>3</v>
      </c>
      <c r="F10" s="34">
        <f>IF(((AND($E$10&gt;0,$D$68&gt;0))),($E$10/($D$68)),0)</f>
        <v>4.2253521126760569</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3</v>
      </c>
      <c r="O10" s="42">
        <f>(D$68*L68)-E10</f>
        <v>68</v>
      </c>
      <c r="P10" s="42">
        <f t="shared" si="4"/>
        <v>16</v>
      </c>
      <c r="Q10" s="42">
        <f>(C$68*L68)-C10</f>
        <v>157</v>
      </c>
      <c r="R10" s="42">
        <f t="shared" si="5"/>
        <v>244</v>
      </c>
      <c r="S10" s="30">
        <f t="shared" si="6"/>
        <v>92888116</v>
      </c>
      <c r="T10" s="30">
        <f t="shared" si="7"/>
        <v>52509825</v>
      </c>
      <c r="U10" s="31">
        <f t="shared" si="8"/>
        <v>1.7689663981931001</v>
      </c>
    </row>
    <row r="11" spans="2:21" ht="18" customHeight="1">
      <c r="B11" s="32" t="str">
        <f>'Data Entry'!A11</f>
        <v>6. Cases Petitioned (Charge Filed)</v>
      </c>
      <c r="C11" s="33">
        <f>'Data Entry'!C11</f>
        <v>109</v>
      </c>
      <c r="D11" s="34">
        <f>IF(((AND(C68&gt;0,C11&gt;0))),(C11/(C68)),0)</f>
        <v>63.005780346820806</v>
      </c>
      <c r="E11" s="33">
        <f>'Data Entry'!I11</f>
        <v>54</v>
      </c>
      <c r="F11" s="34">
        <f>IF(((AND($E$11&gt;0,$D$68&gt;0))),($E$11/($D$68)),0)</f>
        <v>76.056338028169023</v>
      </c>
      <c r="G11" s="39" t="str">
        <f t="shared" si="0"/>
        <v>*</v>
      </c>
      <c r="H11" s="40"/>
      <c r="I11" s="41"/>
      <c r="J11" s="40">
        <f>IF((ABS($U11)&gt;Defaults!D$7),1,2)</f>
        <v>1</v>
      </c>
      <c r="K11" s="39">
        <f>IF((AND(N11&gt;Defaults!B$12,(N11+O11)&gt;Defaults!B$13, P11 &gt; Defaults!B$12, (P11+Q11) &gt; Defaults!B$13)),1,20)</f>
        <v>1</v>
      </c>
      <c r="L11" s="1">
        <f t="shared" si="1"/>
        <v>100</v>
      </c>
      <c r="M11" s="1" t="b">
        <f t="shared" si="2"/>
        <v>1</v>
      </c>
      <c r="N11" s="42">
        <f t="shared" si="3"/>
        <v>54</v>
      </c>
      <c r="O11" s="42">
        <f>(D$68*L68)-E11</f>
        <v>17</v>
      </c>
      <c r="P11" s="42">
        <f t="shared" si="4"/>
        <v>109</v>
      </c>
      <c r="Q11" s="42">
        <f>(C$68*L68)-C11</f>
        <v>64</v>
      </c>
      <c r="R11" s="42">
        <f t="shared" si="5"/>
        <v>244</v>
      </c>
      <c r="S11" s="30">
        <f t="shared" si="6"/>
        <v>626984596</v>
      </c>
      <c r="T11" s="30">
        <f t="shared" si="7"/>
        <v>162172449</v>
      </c>
      <c r="U11" s="31">
        <f t="shared" si="8"/>
        <v>3.8661597568894086</v>
      </c>
    </row>
    <row r="12" spans="2:21" ht="18" customHeight="1">
      <c r="B12" s="32" t="str">
        <f>'Data Entry'!A12</f>
        <v>7. Cases Resulting in Delinquent Findings</v>
      </c>
      <c r="C12" s="33">
        <f>'Data Entry'!C12</f>
        <v>57</v>
      </c>
      <c r="D12" s="34">
        <f>IF(((AND(C69&gt;0,C12&gt;0))),(C12/(C69)),0)</f>
        <v>52.293577981651374</v>
      </c>
      <c r="E12" s="33">
        <f>'Data Entry'!I12</f>
        <v>27</v>
      </c>
      <c r="F12" s="34">
        <f>IF(((AND($D$69&gt;0,$E$12&gt;0))),(E12/(D69)),0)</f>
        <v>50</v>
      </c>
      <c r="G12" s="39" t="str">
        <f t="shared" si="0"/>
        <v>*</v>
      </c>
      <c r="H12" s="40"/>
      <c r="I12" s="41"/>
      <c r="J12" s="40">
        <f>IF((ABS($U12)&gt;Defaults!D$7),1,2)</f>
        <v>2</v>
      </c>
      <c r="K12" s="39">
        <f>IF((AND(N12&gt;Defaults!B$12,(N12+O12)&gt;Defaults!B$13, P12 &gt; Defaults!B$12, (P12+Q12) &gt; Defaults!B$13)),1,20)</f>
        <v>1</v>
      </c>
      <c r="L12" s="1">
        <f t="shared" si="1"/>
        <v>101</v>
      </c>
      <c r="M12" s="1" t="b">
        <f t="shared" si="2"/>
        <v>1</v>
      </c>
      <c r="N12" s="42">
        <f t="shared" si="3"/>
        <v>27</v>
      </c>
      <c r="O12" s="42">
        <f>(D69*L69)-E12</f>
        <v>27</v>
      </c>
      <c r="P12" s="42">
        <f t="shared" si="4"/>
        <v>57</v>
      </c>
      <c r="Q12" s="42">
        <f>(C69*L69)-C12</f>
        <v>52.000000000000014</v>
      </c>
      <c r="R12" s="42">
        <f t="shared" si="5"/>
        <v>163</v>
      </c>
      <c r="S12" s="30">
        <f t="shared" si="6"/>
        <v>2970674.99999998</v>
      </c>
      <c r="T12" s="30">
        <f t="shared" si="7"/>
        <v>39059496.000000015</v>
      </c>
      <c r="U12" s="31">
        <f t="shared" si="8"/>
        <v>7.605512882193817E-2</v>
      </c>
    </row>
    <row r="13" spans="2:21" ht="18" customHeight="1">
      <c r="B13" s="32" t="str">
        <f>'Data Entry'!A13</f>
        <v>8. Cases Resulting in Probation Placement</v>
      </c>
      <c r="C13" s="33">
        <f>'Data Entry'!C13</f>
        <v>122</v>
      </c>
      <c r="D13" s="34">
        <f>IF(((AND(C70&gt;0,C13&gt;0))),(C13/(C70)),0)</f>
        <v>214.03508771929828</v>
      </c>
      <c r="E13" s="33">
        <f>'Data Entry'!I13</f>
        <v>34</v>
      </c>
      <c r="F13" s="34">
        <f>IF(((AND($D$70&gt;0,$E$13&gt;0))),($E$13/($D$70)),0)</f>
        <v>125.92592592592592</v>
      </c>
      <c r="G13" s="39" t="str">
        <f t="shared" si="0"/>
        <v>*</v>
      </c>
      <c r="H13" s="40"/>
      <c r="I13" s="41"/>
      <c r="J13" s="40">
        <f>IF((ABS($U13)&gt;Defaults!D$7),1,2)</f>
        <v>1</v>
      </c>
      <c r="K13" s="39">
        <f>IF((AND(N13&gt;Defaults!B$12,(N13+O13)&gt;Defaults!B$13, P13 &gt; Defaults!B$12, (P13+Q13) &gt; Defaults!B$13)),1,20)</f>
        <v>20</v>
      </c>
      <c r="L13" s="1">
        <f t="shared" si="1"/>
        <v>119</v>
      </c>
      <c r="M13" s="1" t="b">
        <f t="shared" si="2"/>
        <v>1</v>
      </c>
      <c r="N13" s="42">
        <f t="shared" si="3"/>
        <v>34</v>
      </c>
      <c r="O13" s="42">
        <f>(D70*L70)-E13</f>
        <v>-7</v>
      </c>
      <c r="P13" s="42">
        <f t="shared" si="4"/>
        <v>122</v>
      </c>
      <c r="Q13" s="42">
        <f>(C70*L70)-C13</f>
        <v>-65</v>
      </c>
      <c r="R13" s="42">
        <f t="shared" si="5"/>
        <v>84</v>
      </c>
      <c r="S13" s="30">
        <f t="shared" si="6"/>
        <v>154453824</v>
      </c>
      <c r="T13" s="30">
        <f t="shared" si="7"/>
        <v>-17286048</v>
      </c>
      <c r="U13" s="31">
        <f t="shared" si="8"/>
        <v>-8.9351726895586552</v>
      </c>
    </row>
    <row r="14" spans="2:21" ht="30.75" customHeight="1">
      <c r="B14" s="32" t="str">
        <f>'Data Entry'!A14</f>
        <v xml:space="preserve">9. Cases Resulting in Confinement in Secure Juvenile Correctional Facilities </v>
      </c>
      <c r="C14" s="33">
        <f>'Data Entry'!C14</f>
        <v>2</v>
      </c>
      <c r="D14" s="34">
        <f>IF(((AND(C70&gt;0,C14&gt;0))), ((C14/(C70))),0)</f>
        <v>3.5087719298245617</v>
      </c>
      <c r="E14" s="33">
        <f>'Data Entry'!I14</f>
        <v>3</v>
      </c>
      <c r="F14" s="34">
        <f>IF(((AND($D$70&gt;0,$E$14&gt;0))), (($E$14/($D$70))),0)</f>
        <v>11.111111111111111</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3</v>
      </c>
      <c r="O14" s="42">
        <f>(D70*L70)-E14</f>
        <v>24</v>
      </c>
      <c r="P14" s="42">
        <f t="shared" si="4"/>
        <v>2</v>
      </c>
      <c r="Q14" s="42">
        <f>(C70*L70)-C14</f>
        <v>54.999999999999993</v>
      </c>
      <c r="R14" s="42">
        <f t="shared" si="5"/>
        <v>84</v>
      </c>
      <c r="S14" s="30">
        <f t="shared" si="6"/>
        <v>1149875.9999999993</v>
      </c>
      <c r="T14" s="30">
        <f t="shared" si="7"/>
        <v>607904.99999999988</v>
      </c>
      <c r="U14" s="31">
        <f t="shared" si="8"/>
        <v>1.891538974017321</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54</v>
      </c>
      <c r="P15" s="42">
        <f t="shared" si="4"/>
        <v>0</v>
      </c>
      <c r="Q15" s="42">
        <f>(C69*L69)-C15</f>
        <v>109.00000000000001</v>
      </c>
      <c r="R15" s="42">
        <f t="shared" si="5"/>
        <v>163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12.737</v>
      </c>
      <c r="D42" s="56">
        <f>E6/1000</f>
        <v>0</v>
      </c>
      <c r="E42" s="56">
        <f>MAX(C42:D42)</f>
        <v>12.737</v>
      </c>
      <c r="G42" s="1" t="str">
        <f>B42</f>
        <v>per 1000 youth</v>
      </c>
      <c r="L42" s="57">
        <v>1000</v>
      </c>
      <c r="M42" s="57"/>
      <c r="R42" s="49"/>
    </row>
    <row r="43" spans="2:18" ht="15" hidden="1" customHeight="1">
      <c r="B43" s="49" t="s">
        <v>87</v>
      </c>
      <c r="C43" s="56">
        <f>C7/100</f>
        <v>0.65</v>
      </c>
      <c r="D43" s="56">
        <f>E7/100</f>
        <v>0</v>
      </c>
      <c r="E43" s="56">
        <f>MAX(C43:D43,0)</f>
        <v>0.65</v>
      </c>
      <c r="G43" s="1" t="str">
        <f>B43</f>
        <v>per 100 arrests</v>
      </c>
      <c r="L43" s="57">
        <v>100</v>
      </c>
      <c r="M43" s="57"/>
      <c r="R43" s="49"/>
    </row>
    <row r="44" spans="2:18" ht="15" hidden="1" customHeight="1">
      <c r="B44" s="49" t="s">
        <v>88</v>
      </c>
      <c r="C44" s="56">
        <f>C8/100</f>
        <v>1.73</v>
      </c>
      <c r="D44" s="56">
        <f>E8/100</f>
        <v>0.71</v>
      </c>
      <c r="E44" s="56">
        <f>MAX(C44:D44,0)</f>
        <v>1.73</v>
      </c>
      <c r="G44" s="1" t="str">
        <f>B44</f>
        <v>per 100 referrals</v>
      </c>
      <c r="L44" s="57">
        <v>100</v>
      </c>
      <c r="M44" s="57"/>
      <c r="R44" s="49"/>
    </row>
    <row r="45" spans="2:18" ht="15" hidden="1" customHeight="1">
      <c r="B45" s="49" t="s">
        <v>89</v>
      </c>
      <c r="C45" s="49">
        <f>C11/100</f>
        <v>1.0900000000000001</v>
      </c>
      <c r="D45" s="49">
        <f>E11/100</f>
        <v>0.54</v>
      </c>
      <c r="E45" s="56">
        <f>MAX(C45:D45,0)</f>
        <v>1.0900000000000001</v>
      </c>
      <c r="G45" s="1" t="str">
        <f>B45</f>
        <v>per 100 youth petitioned</v>
      </c>
      <c r="L45" s="57">
        <v>100</v>
      </c>
      <c r="M45" s="57"/>
      <c r="R45" s="49"/>
    </row>
    <row r="46" spans="2:18" ht="15" hidden="1" customHeight="1">
      <c r="B46" s="49" t="s">
        <v>90</v>
      </c>
      <c r="C46" s="49">
        <f>C12/100</f>
        <v>0.56999999999999995</v>
      </c>
      <c r="D46" s="49">
        <f>E12/100</f>
        <v>0.27</v>
      </c>
      <c r="E46" s="56">
        <f>MAX(C46:D46)</f>
        <v>0.56999999999999995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12.737</v>
      </c>
      <c r="D48" s="56">
        <f>D42</f>
        <v>0</v>
      </c>
      <c r="E48" s="56">
        <f>MAX(C48:D48)</f>
        <v>12.737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0.65</v>
      </c>
      <c r="D49" s="49">
        <f t="shared" si="9"/>
        <v>0</v>
      </c>
      <c r="E49" s="49">
        <f>MAX(C49:D49)</f>
        <v>0.65</v>
      </c>
      <c r="G49" s="1" t="str">
        <f>G43</f>
        <v>per 100 arrests</v>
      </c>
      <c r="L49" s="58">
        <f>IF(($E43&gt;0),L43,L42)</f>
        <v>100</v>
      </c>
      <c r="M49" s="58"/>
      <c r="N49" s="21"/>
      <c r="O49" s="21"/>
      <c r="P49" s="21"/>
      <c r="Q49" s="21"/>
      <c r="R49" s="21"/>
    </row>
    <row r="50" spans="2:18" ht="15" hidden="1" customHeight="1">
      <c r="B50" s="49" t="str">
        <f t="shared" si="9"/>
        <v>per 100 referrals</v>
      </c>
      <c r="C50" s="49">
        <f t="shared" si="9"/>
        <v>1.73</v>
      </c>
      <c r="D50" s="49">
        <f t="shared" si="9"/>
        <v>0.71</v>
      </c>
      <c r="E50" s="49">
        <f>MAX(C50:D50)</f>
        <v>1.73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1.0900000000000001</v>
      </c>
      <c r="D51" s="49">
        <f>IF(($E45&gt;0),D45,D44)</f>
        <v>0.54</v>
      </c>
      <c r="E51" s="49">
        <f>MAX(C51:D51)</f>
        <v>1.0900000000000001</v>
      </c>
      <c r="G51" s="1" t="str">
        <f>G45</f>
        <v>per 100 youth petitioned</v>
      </c>
      <c r="L51" s="58">
        <f>IF(($E45&gt;0),L45,L44)</f>
        <v>100</v>
      </c>
      <c r="M51" s="58"/>
    </row>
    <row r="52" spans="2:18" ht="15" hidden="1" customHeight="1">
      <c r="B52" s="49" t="str">
        <f>IF(($E46&gt;0),B46,B45)</f>
        <v>per 100 youth found delinquent</v>
      </c>
      <c r="C52" s="49">
        <f>IF(($E46&gt;0),C46,C45)</f>
        <v>0.56999999999999995</v>
      </c>
      <c r="D52" s="49">
        <f>IF(($E46&gt;0),D46,D45)</f>
        <v>0.27</v>
      </c>
      <c r="E52" s="56">
        <f>MAX(C52:D52)</f>
        <v>0.56999999999999995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12.737</v>
      </c>
      <c r="D54" s="56">
        <f>D48</f>
        <v>0</v>
      </c>
      <c r="E54" s="56">
        <f>MAX(C54:D54)</f>
        <v>12.737</v>
      </c>
      <c r="G54" s="1" t="str">
        <f>G48</f>
        <v>per 1000 youth</v>
      </c>
      <c r="L54" s="58">
        <f>L48</f>
        <v>1000</v>
      </c>
      <c r="M54" s="58"/>
    </row>
    <row r="55" spans="2:18" ht="15" hidden="1" customHeight="1">
      <c r="B55" s="49" t="str">
        <f t="shared" ref="B55:D56" si="10">IF(($E49&gt;0),B49,B48)</f>
        <v>per 100 arrests</v>
      </c>
      <c r="C55" s="49">
        <f t="shared" si="10"/>
        <v>0.65</v>
      </c>
      <c r="D55" s="49">
        <f t="shared" si="10"/>
        <v>0</v>
      </c>
      <c r="E55" s="49">
        <f>MAX(C55:D55)</f>
        <v>0.65</v>
      </c>
      <c r="G55" s="1" t="str">
        <f>G49</f>
        <v>per 100 arrests</v>
      </c>
      <c r="L55" s="58">
        <f>IF(($E49&gt;0),L49,L48)</f>
        <v>100</v>
      </c>
      <c r="M55" s="58"/>
    </row>
    <row r="56" spans="2:18" ht="15" hidden="1" customHeight="1">
      <c r="B56" s="49" t="str">
        <f t="shared" si="10"/>
        <v>per 100 referrals</v>
      </c>
      <c r="C56" s="49">
        <f t="shared" si="10"/>
        <v>1.73</v>
      </c>
      <c r="D56" s="49">
        <f t="shared" si="10"/>
        <v>0.71</v>
      </c>
      <c r="E56" s="49">
        <f>MAX(C56:D56)</f>
        <v>1.73</v>
      </c>
      <c r="G56" s="1" t="str">
        <f>G50</f>
        <v>per 100 referrals</v>
      </c>
      <c r="L56" s="58">
        <f>IF(($E50&gt;0),L50,L49)</f>
        <v>100</v>
      </c>
      <c r="M56" s="58"/>
    </row>
    <row r="57" spans="2:18" ht="15" hidden="1" customHeight="1">
      <c r="B57" s="49" t="str">
        <f>IF(($E51&gt;0),B51,B49)</f>
        <v>per 100 youth petitioned</v>
      </c>
      <c r="C57" s="49">
        <f>IF(($E51&gt;0),C51,C50)</f>
        <v>1.0900000000000001</v>
      </c>
      <c r="D57" s="49">
        <f>IF(($E51&gt;0),D51,D50)</f>
        <v>0.54</v>
      </c>
      <c r="E57" s="49">
        <f>MAX(C57:D57)</f>
        <v>1.0900000000000001</v>
      </c>
      <c r="G57" s="1" t="str">
        <f>G51</f>
        <v>per 100 youth petitioned</v>
      </c>
      <c r="L57" s="58">
        <f>IF(($E51&gt;0),L51,L50)</f>
        <v>100</v>
      </c>
      <c r="M57" s="58"/>
    </row>
    <row r="58" spans="2:18" ht="15" hidden="1" customHeight="1">
      <c r="B58" s="49" t="str">
        <f>IF(($E52&gt;0),B52,B51)</f>
        <v>per 100 youth found delinquent</v>
      </c>
      <c r="C58" s="49">
        <f>IF(($E52&gt;0),C52,C51)</f>
        <v>0.56999999999999995</v>
      </c>
      <c r="D58" s="49">
        <f>IF(($E52&gt;0),D52,D51)</f>
        <v>0.27</v>
      </c>
      <c r="E58" s="56">
        <f>MAX(C58:D58)</f>
        <v>0.56999999999999995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12.737</v>
      </c>
      <c r="D60" s="56">
        <f>D54</f>
        <v>0</v>
      </c>
      <c r="E60" s="56">
        <f>MAX(C60:D60)</f>
        <v>12.737</v>
      </c>
      <c r="G60" s="1" t="str">
        <f>G54</f>
        <v>per 1000 youth</v>
      </c>
      <c r="L60" s="58">
        <f>L54</f>
        <v>1000</v>
      </c>
      <c r="M60" s="58"/>
    </row>
    <row r="61" spans="2:18" ht="15" hidden="1" customHeight="1">
      <c r="B61" s="49" t="str">
        <f t="shared" ref="B61:D62" si="11">IF(($E55&gt;0),B55,B54)</f>
        <v>per 100 arrests</v>
      </c>
      <c r="C61" s="49">
        <f t="shared" si="11"/>
        <v>0.65</v>
      </c>
      <c r="D61" s="49">
        <f t="shared" si="11"/>
        <v>0</v>
      </c>
      <c r="E61" s="49">
        <f>MAX(C61:D61)</f>
        <v>0.65</v>
      </c>
      <c r="G61" s="1" t="str">
        <f>G55</f>
        <v>per 100 arrests</v>
      </c>
      <c r="L61" s="58">
        <f>IF(($E55&gt;0),L55,L54)</f>
        <v>100</v>
      </c>
      <c r="M61" s="58"/>
    </row>
    <row r="62" spans="2:18" ht="15" hidden="1" customHeight="1">
      <c r="B62" s="49" t="str">
        <f t="shared" si="11"/>
        <v>per 100 referrals</v>
      </c>
      <c r="C62" s="49">
        <f t="shared" si="11"/>
        <v>1.73</v>
      </c>
      <c r="D62" s="49">
        <f t="shared" si="11"/>
        <v>0.71</v>
      </c>
      <c r="E62" s="49">
        <f>MAX(C62:D62)</f>
        <v>1.73</v>
      </c>
      <c r="G62" s="1" t="str">
        <f>G56</f>
        <v>per 100 referrals</v>
      </c>
      <c r="L62" s="58">
        <f>IF(($E56&gt;0),L56,L55)</f>
        <v>100</v>
      </c>
      <c r="M62" s="58"/>
    </row>
    <row r="63" spans="2:18" ht="15" hidden="1" customHeight="1">
      <c r="B63" s="49" t="str">
        <f>IF(($E57&gt;0),B57,B55)</f>
        <v>per 100 youth petitioned</v>
      </c>
      <c r="C63" s="49">
        <f>IF(($E57&gt;0),C57,C56)</f>
        <v>1.0900000000000001</v>
      </c>
      <c r="D63" s="49">
        <f>IF(($E57&gt;0),D57,D56)</f>
        <v>0.54</v>
      </c>
      <c r="E63" s="49">
        <f>MAX(C63:D63)</f>
        <v>1.0900000000000001</v>
      </c>
      <c r="G63" s="1" t="str">
        <f>G57</f>
        <v>per 100 youth petitioned</v>
      </c>
      <c r="L63" s="58">
        <f>IF(($E57&gt;0),L57,L56)</f>
        <v>100</v>
      </c>
      <c r="M63" s="58"/>
    </row>
    <row r="64" spans="2:18" ht="15" hidden="1" customHeight="1">
      <c r="B64" s="49" t="str">
        <f>IF(($E58&gt;0),B58,B57)</f>
        <v>per 100 youth found delinquent</v>
      </c>
      <c r="C64" s="49">
        <f>IF(($E58&gt;0),C58,C57)</f>
        <v>0.56999999999999995</v>
      </c>
      <c r="D64" s="49">
        <f>IF(($E58&gt;0),D58,D57)</f>
        <v>0.27</v>
      </c>
      <c r="E64" s="56">
        <f>MAX(C64:D64)</f>
        <v>0.56999999999999995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12.737</v>
      </c>
      <c r="D66" s="56">
        <f>D60</f>
        <v>0</v>
      </c>
      <c r="E66" s="56">
        <f>MAX(C66:D66)</f>
        <v>12.737</v>
      </c>
      <c r="G66" s="1" t="str">
        <f>G60</f>
        <v>per 1000 youth</v>
      </c>
      <c r="L66" s="58">
        <f>L60</f>
        <v>1000</v>
      </c>
      <c r="M66" s="58">
        <f>IF((B66=G66),1,2)</f>
        <v>1</v>
      </c>
    </row>
    <row r="67" spans="2:13" ht="15" hidden="1" customHeight="1">
      <c r="B67" s="49" t="str">
        <f t="shared" ref="B67:D68" si="12">IF(($E61&gt;0),B61,B60)</f>
        <v>per 100 arrests</v>
      </c>
      <c r="C67" s="49">
        <f t="shared" si="12"/>
        <v>0.65</v>
      </c>
      <c r="D67" s="49">
        <f t="shared" si="12"/>
        <v>0</v>
      </c>
      <c r="E67" s="49">
        <f>MAX(C67:D67)</f>
        <v>0.65</v>
      </c>
      <c r="G67" s="1" t="str">
        <f>G61</f>
        <v>per 100 arrests</v>
      </c>
      <c r="L67" s="58">
        <f>IF(($E61&gt;0),L61,L60)</f>
        <v>100</v>
      </c>
      <c r="M67" s="58">
        <f>IF((B67=G67),1,2)</f>
        <v>1</v>
      </c>
    </row>
    <row r="68" spans="2:13" ht="15" hidden="1" customHeight="1">
      <c r="B68" s="49" t="str">
        <f t="shared" si="12"/>
        <v>per 100 referrals</v>
      </c>
      <c r="C68" s="49">
        <f t="shared" si="12"/>
        <v>1.73</v>
      </c>
      <c r="D68" s="49">
        <f t="shared" si="12"/>
        <v>0.71</v>
      </c>
      <c r="E68" s="49">
        <f>MAX(C68:D68)</f>
        <v>1.73</v>
      </c>
      <c r="G68" s="1" t="str">
        <f>G62</f>
        <v>per 100 referrals</v>
      </c>
      <c r="L68" s="58">
        <f>IF(($E62&gt;0),L62,L61)</f>
        <v>100</v>
      </c>
      <c r="M68" s="58">
        <f>IF((B68=G68),1,2)</f>
        <v>1</v>
      </c>
    </row>
    <row r="69" spans="2:13" ht="15" hidden="1" customHeight="1">
      <c r="B69" s="49" t="str">
        <f>IF(($E63&gt;0),B63,B61)</f>
        <v>per 100 youth petitioned</v>
      </c>
      <c r="C69" s="49">
        <f>IF(($E63&gt;0),C63,C62)</f>
        <v>1.0900000000000001</v>
      </c>
      <c r="D69" s="49">
        <f>IF(($E63&gt;0),D63,D62)</f>
        <v>0.54</v>
      </c>
      <c r="E69" s="49">
        <f>MAX(C69:D69)</f>
        <v>1.0900000000000001</v>
      </c>
      <c r="G69" s="1" t="str">
        <f>G63</f>
        <v>per 100 youth petitioned</v>
      </c>
      <c r="L69" s="58">
        <f>IF(($E63&gt;0),L63,L62)</f>
        <v>100</v>
      </c>
      <c r="M69" s="58">
        <f>IF((B69=G69),1,2)</f>
        <v>1</v>
      </c>
    </row>
    <row r="70" spans="2:13" ht="15" hidden="1" customHeight="1">
      <c r="B70" s="49" t="str">
        <f>IF(($E64&gt;0),B64,B63)</f>
        <v>per 100 youth found delinquent</v>
      </c>
      <c r="C70" s="49">
        <f>IF(($E64&gt;0),C64,C63)</f>
        <v>0.56999999999999995</v>
      </c>
      <c r="D70" s="49">
        <f>IF(($E64&gt;0),D64,D63)</f>
        <v>0.27</v>
      </c>
      <c r="E70" s="56">
        <f>MAX(C70:D70)</f>
        <v>0.56999999999999995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Muskegon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12737</v>
      </c>
      <c r="D6" s="34"/>
      <c r="E6" s="33">
        <f>'Data Entry'!J6</f>
        <v>5675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65</v>
      </c>
      <c r="D7" s="34">
        <f>IF((AND(C66&gt;0,C7&gt;0)),(C7/C66),0)</f>
        <v>5.1032425217869202</v>
      </c>
      <c r="E7" s="33">
        <f>'Data Entry'!J7</f>
        <v>77</v>
      </c>
      <c r="F7" s="34">
        <f>IF((AND($E$7&gt;0,$D$66&gt;0)),($E$7/$D$66),0)</f>
        <v>13.568281938325992</v>
      </c>
      <c r="G7" s="39">
        <f t="shared" ref="G7:G15" si="0">IF(L$6=100,"*",IF(M7=FALSE,"--",IF(K7=20,"**",($F7/$D7))))</f>
        <v>2.6587570315147406</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77</v>
      </c>
      <c r="O7" s="42">
        <f>E6-E7</f>
        <v>5598</v>
      </c>
      <c r="P7" s="42">
        <f t="shared" ref="P7:P15" si="4">C7</f>
        <v>65</v>
      </c>
      <c r="Q7" s="42">
        <f>C6-C7</f>
        <v>12672</v>
      </c>
      <c r="R7" s="42">
        <f t="shared" ref="R7:R15" si="5">SUM(N7:Q7)</f>
        <v>18412</v>
      </c>
      <c r="S7" s="30">
        <f t="shared" ref="S7:S15" si="6">R7*((((N7*Q7)-(O7*P7))^2))</f>
        <v>6893264848020912</v>
      </c>
      <c r="T7" s="30">
        <f t="shared" ref="T7:T15" si="7">(N7+O7)*(P7+Q7)*(N7+P7)*(O7+Q7)</f>
        <v>187525316191500</v>
      </c>
      <c r="U7" s="31">
        <f t="shared" ref="U7:U15" si="8">IF((S7&gt;0),S7/T7,"- -")</f>
        <v>36.7591159850734</v>
      </c>
    </row>
    <row r="8" spans="2:21" ht="18" customHeight="1">
      <c r="B8" s="32" t="str">
        <f>'Data Entry'!A8</f>
        <v>3. Refer to Juvenile Court</v>
      </c>
      <c r="C8" s="33">
        <f>'Data Entry'!C8</f>
        <v>173</v>
      </c>
      <c r="D8" s="34">
        <f>IF((AND(C67&gt;0,C8&gt;0)),(C8/C67),0)</f>
        <v>266.15384615384613</v>
      </c>
      <c r="E8" s="33">
        <f>'Data Entry'!J8</f>
        <v>288</v>
      </c>
      <c r="F8" s="34">
        <f>IF((AND($E$8&gt;0,$D$67&gt;0)),($E8/$D67),0)</f>
        <v>374.02597402597399</v>
      </c>
      <c r="G8" s="39">
        <f t="shared" si="0"/>
        <v>1.405299902409729</v>
      </c>
      <c r="H8" s="40"/>
      <c r="I8" s="41"/>
      <c r="J8" s="40">
        <f>IF((ABS($U8)&gt;Defaults!D$7),1,2)</f>
        <v>1</v>
      </c>
      <c r="K8" s="39">
        <f>IF((AND(N8&gt;Defaults!B$12,(N8+O8)&gt;Defaults!B$13, P8 &gt; Defaults!B$12, (P8+Q8) &gt; Defaults!B$13)),1,20)</f>
        <v>1</v>
      </c>
      <c r="L8" s="1">
        <f t="shared" si="1"/>
        <v>1</v>
      </c>
      <c r="M8" s="1" t="b">
        <f t="shared" si="2"/>
        <v>1</v>
      </c>
      <c r="N8" s="42">
        <f t="shared" si="3"/>
        <v>288</v>
      </c>
      <c r="O8" s="42">
        <f>((D67*L67)-E8)+0.05</f>
        <v>-210.95</v>
      </c>
      <c r="P8" s="42">
        <f t="shared" si="4"/>
        <v>173</v>
      </c>
      <c r="Q8" s="42">
        <f>(C$67*L67)-C8</f>
        <v>-108</v>
      </c>
      <c r="R8" s="42">
        <f t="shared" si="5"/>
        <v>142.05000000000001</v>
      </c>
      <c r="S8" s="30">
        <f t="shared" si="6"/>
        <v>4127386777.0511231</v>
      </c>
      <c r="T8" s="30">
        <f t="shared" si="7"/>
        <v>-736392796.5875001</v>
      </c>
      <c r="U8" s="31">
        <f t="shared" si="8"/>
        <v>-5.6048711994165963</v>
      </c>
    </row>
    <row r="9" spans="2:21" ht="18" customHeight="1">
      <c r="B9" s="32" t="str">
        <f>'Data Entry'!A9</f>
        <v xml:space="preserve">4. Cases Diverted </v>
      </c>
      <c r="C9" s="33">
        <f>'Data Entry'!C9</f>
        <v>22</v>
      </c>
      <c r="D9" s="34">
        <f>IF((AND(C68&gt;0,C9&gt;0)),((C9/C68)),0)</f>
        <v>12.716763005780347</v>
      </c>
      <c r="E9" s="33">
        <f>'Data Entry'!J9</f>
        <v>50</v>
      </c>
      <c r="F9" s="34">
        <f>IF((AND($E$9&gt;0,$D$68&gt;0)),(($E$9/$D$68)),0)</f>
        <v>17.361111111111111</v>
      </c>
      <c r="G9" s="39">
        <f t="shared" si="0"/>
        <v>1.3652146464646464</v>
      </c>
      <c r="H9" s="40"/>
      <c r="I9" s="41"/>
      <c r="J9" s="40">
        <f>IF((ABS($U9)&gt;Defaults!D$7),1,2)</f>
        <v>2</v>
      </c>
      <c r="K9" s="39">
        <f>IF((AND(N9&gt;Defaults!B$12,(N9+O9)&gt;Defaults!B$13, P9 &gt; Defaults!B$12, (P9+Q9) &gt; Defaults!B$13)),1,20)</f>
        <v>1</v>
      </c>
      <c r="L9" s="1">
        <f t="shared" si="1"/>
        <v>2</v>
      </c>
      <c r="M9" s="1" t="b">
        <f t="shared" si="2"/>
        <v>1</v>
      </c>
      <c r="N9" s="42">
        <f t="shared" si="3"/>
        <v>50</v>
      </c>
      <c r="O9" s="42">
        <f>(D$68*L68)-E9</f>
        <v>238</v>
      </c>
      <c r="P9" s="42">
        <f t="shared" si="4"/>
        <v>22</v>
      </c>
      <c r="Q9" s="42">
        <f>(C$68*L68)-C9</f>
        <v>151</v>
      </c>
      <c r="R9" s="42">
        <f t="shared" si="5"/>
        <v>461</v>
      </c>
      <c r="S9" s="30">
        <f t="shared" si="6"/>
        <v>2468468756</v>
      </c>
      <c r="T9" s="30">
        <f t="shared" si="7"/>
        <v>1395470592</v>
      </c>
      <c r="U9" s="31">
        <f t="shared" si="8"/>
        <v>1.7689149238624728</v>
      </c>
    </row>
    <row r="10" spans="2:21" ht="18" customHeight="1">
      <c r="B10" s="32" t="str">
        <f>'Data Entry'!A10</f>
        <v>5. Cases Involving Secure Detention</v>
      </c>
      <c r="C10" s="33">
        <f>'Data Entry'!C10</f>
        <v>16</v>
      </c>
      <c r="D10" s="34">
        <f>IF(((AND(C68&gt;0,C10&gt;0))),(C10/(C68)),0)</f>
        <v>9.2485549132947984</v>
      </c>
      <c r="E10" s="33">
        <f>'Data Entry'!J10</f>
        <v>29</v>
      </c>
      <c r="F10" s="34">
        <f>IF(((AND($E$10&gt;0,$D$68&gt;0))),($E$10/($D$68)),0)</f>
        <v>10.069444444444445</v>
      </c>
      <c r="G10" s="39">
        <f t="shared" si="0"/>
        <v>1.0887586805555556</v>
      </c>
      <c r="H10" s="40"/>
      <c r="I10" s="41"/>
      <c r="J10" s="40">
        <f>IF((ABS($U10)&gt;Defaults!D$7),1,2)</f>
        <v>2</v>
      </c>
      <c r="K10" s="39">
        <f>IF((AND(N10&gt;Defaults!B$12,(N10+O10)&gt;Defaults!B$13, P10 &gt; Defaults!B$12, (P10+Q10) &gt; Defaults!B$13)),1,20)</f>
        <v>1</v>
      </c>
      <c r="L10" s="1">
        <f t="shared" si="1"/>
        <v>2</v>
      </c>
      <c r="M10" s="1" t="b">
        <f t="shared" si="2"/>
        <v>1</v>
      </c>
      <c r="N10" s="42">
        <f t="shared" si="3"/>
        <v>29</v>
      </c>
      <c r="O10" s="42">
        <f>(D$68*L68)-E10</f>
        <v>259</v>
      </c>
      <c r="P10" s="42">
        <f t="shared" si="4"/>
        <v>16</v>
      </c>
      <c r="Q10" s="42">
        <f>(C$68*L68)-C10</f>
        <v>157</v>
      </c>
      <c r="R10" s="42">
        <f t="shared" si="5"/>
        <v>461</v>
      </c>
      <c r="S10" s="30">
        <f t="shared" si="6"/>
        <v>77116541</v>
      </c>
      <c r="T10" s="30">
        <f t="shared" si="7"/>
        <v>932705280</v>
      </c>
      <c r="U10" s="31">
        <f t="shared" si="8"/>
        <v>8.2680502248255738E-2</v>
      </c>
    </row>
    <row r="11" spans="2:21" ht="18" customHeight="1">
      <c r="B11" s="32" t="str">
        <f>'Data Entry'!A11</f>
        <v>6. Cases Petitioned (Charge Filed)</v>
      </c>
      <c r="C11" s="33">
        <f>'Data Entry'!C11</f>
        <v>109</v>
      </c>
      <c r="D11" s="34">
        <f>IF(((AND(C68&gt;0,C11&gt;0))),(C11/(C68)),0)</f>
        <v>63.005780346820806</v>
      </c>
      <c r="E11" s="33">
        <f>'Data Entry'!J11</f>
        <v>180</v>
      </c>
      <c r="F11" s="34">
        <f>IF(((AND($E$11&gt;0,$D$68&gt;0))),($E$11/($D$68)),0)</f>
        <v>62.5</v>
      </c>
      <c r="G11" s="39">
        <f t="shared" si="0"/>
        <v>0.9919724770642202</v>
      </c>
      <c r="H11" s="40"/>
      <c r="I11" s="41"/>
      <c r="J11" s="40">
        <f>IF((ABS($U11)&gt;Defaults!D$7),1,2)</f>
        <v>2</v>
      </c>
      <c r="K11" s="39">
        <f>IF((AND(N11&gt;Defaults!B$12,(N11+O11)&gt;Defaults!B$13, P11 &gt; Defaults!B$12, (P11+Q11) &gt; Defaults!B$13)),1,20)</f>
        <v>1</v>
      </c>
      <c r="L11" s="1">
        <f t="shared" si="1"/>
        <v>2</v>
      </c>
      <c r="M11" s="1" t="b">
        <f t="shared" si="2"/>
        <v>1</v>
      </c>
      <c r="N11" s="42">
        <f t="shared" si="3"/>
        <v>180</v>
      </c>
      <c r="O11" s="42">
        <f>(D$68*L68)-E11</f>
        <v>108</v>
      </c>
      <c r="P11" s="42">
        <f t="shared" si="4"/>
        <v>109</v>
      </c>
      <c r="Q11" s="42">
        <f>(C$68*L68)-C11</f>
        <v>64</v>
      </c>
      <c r="R11" s="42">
        <f t="shared" si="5"/>
        <v>461</v>
      </c>
      <c r="S11" s="30">
        <f t="shared" si="6"/>
        <v>29275344</v>
      </c>
      <c r="T11" s="30">
        <f t="shared" si="7"/>
        <v>2476651392</v>
      </c>
      <c r="U11" s="31">
        <f t="shared" si="8"/>
        <v>1.1820534813484157E-2</v>
      </c>
    </row>
    <row r="12" spans="2:21" ht="18" customHeight="1">
      <c r="B12" s="32" t="str">
        <f>'Data Entry'!A12</f>
        <v>7. Cases Resulting in Delinquent Findings</v>
      </c>
      <c r="C12" s="33">
        <f>'Data Entry'!C12</f>
        <v>57</v>
      </c>
      <c r="D12" s="34">
        <f>IF(((AND(C69&gt;0,C12&gt;0))),(C12/(C69)),0)</f>
        <v>52.293577981651374</v>
      </c>
      <c r="E12" s="33">
        <f>'Data Entry'!J12</f>
        <v>101</v>
      </c>
      <c r="F12" s="34">
        <f>IF(((AND($D$69&gt;0,$E$12&gt;0))),(E12/(D69)),0)</f>
        <v>56.111111111111107</v>
      </c>
      <c r="G12" s="39">
        <f t="shared" si="0"/>
        <v>1.0730019493177387</v>
      </c>
      <c r="H12" s="40"/>
      <c r="I12" s="41"/>
      <c r="J12" s="40">
        <f>IF((ABS($U12)&gt;Defaults!D$7),1,2)</f>
        <v>2</v>
      </c>
      <c r="K12" s="39">
        <f>IF((AND(N12&gt;Defaults!B$12,(N12+O12)&gt;Defaults!B$13, P12 &gt; Defaults!B$12, (P12+Q12) &gt; Defaults!B$13)),1,20)</f>
        <v>1</v>
      </c>
      <c r="L12" s="1">
        <f t="shared" si="1"/>
        <v>2</v>
      </c>
      <c r="M12" s="1" t="b">
        <f t="shared" si="2"/>
        <v>1</v>
      </c>
      <c r="N12" s="42">
        <f t="shared" si="3"/>
        <v>101</v>
      </c>
      <c r="O12" s="42">
        <f>(D69*L69)-E12</f>
        <v>79</v>
      </c>
      <c r="P12" s="42">
        <f t="shared" si="4"/>
        <v>57</v>
      </c>
      <c r="Q12" s="42">
        <f>(C69*L69)-C12</f>
        <v>52.000000000000014</v>
      </c>
      <c r="R12" s="42">
        <f t="shared" si="5"/>
        <v>289</v>
      </c>
      <c r="S12" s="30">
        <f t="shared" si="6"/>
        <v>162129289.00000077</v>
      </c>
      <c r="T12" s="30">
        <f t="shared" si="7"/>
        <v>406094760.00000006</v>
      </c>
      <c r="U12" s="31">
        <f t="shared" si="8"/>
        <v>0.39924004190549206</v>
      </c>
    </row>
    <row r="13" spans="2:21" ht="18" customHeight="1">
      <c r="B13" s="32" t="str">
        <f>'Data Entry'!A13</f>
        <v>8. Cases Resulting in Probation Placement</v>
      </c>
      <c r="C13" s="33">
        <f>'Data Entry'!C13</f>
        <v>122</v>
      </c>
      <c r="D13" s="34">
        <f>IF(((AND(C70&gt;0,C13&gt;0))),(C13/(C70)),0)</f>
        <v>214.03508771929828</v>
      </c>
      <c r="E13" s="33">
        <f>'Data Entry'!J13</f>
        <v>166</v>
      </c>
      <c r="F13" s="34">
        <f>IF(((AND($D$70&gt;0,$E$13&gt;0))),($E$13/($D$70)),0)</f>
        <v>164.35643564356437</v>
      </c>
      <c r="G13" s="39">
        <f t="shared" si="0"/>
        <v>0.7678948222691121</v>
      </c>
      <c r="H13" s="40"/>
      <c r="I13" s="41"/>
      <c r="J13" s="40">
        <f>IF((ABS($U13)&gt;Defaults!D$7),1,2)</f>
        <v>1</v>
      </c>
      <c r="K13" s="39">
        <f>IF((AND(N13&gt;Defaults!B$12,(N13+O13)&gt;Defaults!B$13, P13 &gt; Defaults!B$12, (P13+Q13) &gt; Defaults!B$13)),1,20)</f>
        <v>1</v>
      </c>
      <c r="L13" s="1">
        <f t="shared" si="1"/>
        <v>1</v>
      </c>
      <c r="M13" s="1" t="b">
        <f t="shared" si="2"/>
        <v>1</v>
      </c>
      <c r="N13" s="42">
        <f t="shared" si="3"/>
        <v>166</v>
      </c>
      <c r="O13" s="42">
        <f>(D70*L70)-E13</f>
        <v>-65</v>
      </c>
      <c r="P13" s="42">
        <f t="shared" si="4"/>
        <v>122</v>
      </c>
      <c r="Q13" s="42">
        <f>(C70*L70)-C13</f>
        <v>-65</v>
      </c>
      <c r="R13" s="42">
        <f t="shared" si="5"/>
        <v>158</v>
      </c>
      <c r="S13" s="30">
        <f t="shared" si="6"/>
        <v>1292376800</v>
      </c>
      <c r="T13" s="30">
        <f t="shared" si="7"/>
        <v>-215542080</v>
      </c>
      <c r="U13" s="31">
        <f t="shared" si="8"/>
        <v>-5.9959373130295486</v>
      </c>
    </row>
    <row r="14" spans="2:21" ht="30.75" customHeight="1">
      <c r="B14" s="32" t="str">
        <f>'Data Entry'!A14</f>
        <v xml:space="preserve">9. Cases Resulting in Confinement in Secure Juvenile Correctional Facilities </v>
      </c>
      <c r="C14" s="33">
        <f>'Data Entry'!C14</f>
        <v>2</v>
      </c>
      <c r="D14" s="34">
        <f>IF(((AND(C70&gt;0,C14&gt;0))), ((C14/(C70))),0)</f>
        <v>3.5087719298245617</v>
      </c>
      <c r="E14" s="33">
        <f>'Data Entry'!J14</f>
        <v>19</v>
      </c>
      <c r="F14" s="34">
        <f>IF(((AND($D$70&gt;0,$E$14&gt;0))), (($E$14/($D$70))),0)</f>
        <v>18.811881188118811</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19</v>
      </c>
      <c r="O14" s="42">
        <f>(D70*L70)-E14</f>
        <v>82</v>
      </c>
      <c r="P14" s="42">
        <f t="shared" si="4"/>
        <v>2</v>
      </c>
      <c r="Q14" s="42">
        <f>(C70*L70)-C14</f>
        <v>54.999999999999993</v>
      </c>
      <c r="R14" s="42">
        <f t="shared" si="5"/>
        <v>158</v>
      </c>
      <c r="S14" s="30">
        <f t="shared" si="6"/>
        <v>122633437.99999994</v>
      </c>
      <c r="T14" s="30">
        <f t="shared" si="7"/>
        <v>16562888.999999998</v>
      </c>
      <c r="U14" s="31">
        <f t="shared" si="8"/>
        <v>7.4041091502816903</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180</v>
      </c>
      <c r="P15" s="42">
        <f t="shared" si="4"/>
        <v>0</v>
      </c>
      <c r="Q15" s="42">
        <f>(C69*L69)-C15</f>
        <v>109.00000000000001</v>
      </c>
      <c r="R15" s="42">
        <f t="shared" si="5"/>
        <v>289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12.737</v>
      </c>
      <c r="D42" s="56">
        <f>E6/1000</f>
        <v>5.6749999999999998</v>
      </c>
      <c r="E42" s="56">
        <f>MAX(C42:D42)</f>
        <v>12.737</v>
      </c>
      <c r="G42" s="1" t="str">
        <f>B42</f>
        <v>per 1000 youth</v>
      </c>
      <c r="L42" s="57">
        <v>1000</v>
      </c>
      <c r="M42" s="57"/>
      <c r="R42" s="49"/>
    </row>
    <row r="43" spans="2:18" ht="15" hidden="1" customHeight="1">
      <c r="B43" s="49" t="s">
        <v>87</v>
      </c>
      <c r="C43" s="56">
        <f>C7/100</f>
        <v>0.65</v>
      </c>
      <c r="D43" s="56">
        <f>E7/100</f>
        <v>0.77</v>
      </c>
      <c r="E43" s="56">
        <f>MAX(C43:D43,0)</f>
        <v>0.77</v>
      </c>
      <c r="G43" s="1" t="str">
        <f>B43</f>
        <v>per 100 arrests</v>
      </c>
      <c r="L43" s="57">
        <v>100</v>
      </c>
      <c r="M43" s="57"/>
      <c r="R43" s="49"/>
    </row>
    <row r="44" spans="2:18" ht="15" hidden="1" customHeight="1">
      <c r="B44" s="49" t="s">
        <v>88</v>
      </c>
      <c r="C44" s="56">
        <f>C8/100</f>
        <v>1.73</v>
      </c>
      <c r="D44" s="56">
        <f>E8/100</f>
        <v>2.88</v>
      </c>
      <c r="E44" s="56">
        <f>MAX(C44:D44,0)</f>
        <v>2.88</v>
      </c>
      <c r="G44" s="1" t="str">
        <f>B44</f>
        <v>per 100 referrals</v>
      </c>
      <c r="L44" s="57">
        <v>100</v>
      </c>
      <c r="M44" s="57"/>
      <c r="R44" s="49"/>
    </row>
    <row r="45" spans="2:18" ht="15" hidden="1" customHeight="1">
      <c r="B45" s="49" t="s">
        <v>89</v>
      </c>
      <c r="C45" s="49">
        <f>C11/100</f>
        <v>1.0900000000000001</v>
      </c>
      <c r="D45" s="49">
        <f>E11/100</f>
        <v>1.8</v>
      </c>
      <c r="E45" s="56">
        <f>MAX(C45:D45,0)</f>
        <v>1.8</v>
      </c>
      <c r="G45" s="1" t="str">
        <f>B45</f>
        <v>per 100 youth petitioned</v>
      </c>
      <c r="L45" s="57">
        <v>100</v>
      </c>
      <c r="M45" s="57"/>
      <c r="R45" s="49"/>
    </row>
    <row r="46" spans="2:18" ht="15" hidden="1" customHeight="1">
      <c r="B46" s="49" t="s">
        <v>90</v>
      </c>
      <c r="C46" s="49">
        <f>C12/100</f>
        <v>0.56999999999999995</v>
      </c>
      <c r="D46" s="49">
        <f>E12/100</f>
        <v>1.01</v>
      </c>
      <c r="E46" s="56">
        <f>MAX(C46:D46)</f>
        <v>1.01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12.737</v>
      </c>
      <c r="D48" s="56">
        <f>D42</f>
        <v>5.6749999999999998</v>
      </c>
      <c r="E48" s="56">
        <f>MAX(C48:D48)</f>
        <v>12.737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0.65</v>
      </c>
      <c r="D49" s="49">
        <f t="shared" si="9"/>
        <v>0.77</v>
      </c>
      <c r="E49" s="49">
        <f>MAX(C49:D49)</f>
        <v>0.77</v>
      </c>
      <c r="G49" s="1" t="str">
        <f>G43</f>
        <v>per 100 arrests</v>
      </c>
      <c r="L49" s="58">
        <f>IF(($E43&gt;0),L43,L42)</f>
        <v>100</v>
      </c>
      <c r="M49" s="58"/>
      <c r="N49" s="21"/>
      <c r="O49" s="21"/>
      <c r="P49" s="21"/>
      <c r="Q49" s="21"/>
      <c r="R49" s="21"/>
    </row>
    <row r="50" spans="2:18" ht="15" hidden="1" customHeight="1">
      <c r="B50" s="49" t="str">
        <f t="shared" si="9"/>
        <v>per 100 referrals</v>
      </c>
      <c r="C50" s="49">
        <f t="shared" si="9"/>
        <v>1.73</v>
      </c>
      <c r="D50" s="49">
        <f t="shared" si="9"/>
        <v>2.88</v>
      </c>
      <c r="E50" s="49">
        <f>MAX(C50:D50)</f>
        <v>2.88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1.0900000000000001</v>
      </c>
      <c r="D51" s="49">
        <f>IF(($E45&gt;0),D45,D44)</f>
        <v>1.8</v>
      </c>
      <c r="E51" s="49">
        <f>MAX(C51:D51)</f>
        <v>1.8</v>
      </c>
      <c r="G51" s="1" t="str">
        <f>G45</f>
        <v>per 100 youth petitioned</v>
      </c>
      <c r="L51" s="58">
        <f>IF(($E45&gt;0),L45,L44)</f>
        <v>100</v>
      </c>
      <c r="M51" s="58"/>
    </row>
    <row r="52" spans="2:18" ht="15" hidden="1" customHeight="1">
      <c r="B52" s="49" t="str">
        <f>IF(($E46&gt;0),B46,B45)</f>
        <v>per 100 youth found delinquent</v>
      </c>
      <c r="C52" s="49">
        <f>IF(($E46&gt;0),C46,C45)</f>
        <v>0.56999999999999995</v>
      </c>
      <c r="D52" s="49">
        <f>IF(($E46&gt;0),D46,D45)</f>
        <v>1.01</v>
      </c>
      <c r="E52" s="56">
        <f>MAX(C52:D52)</f>
        <v>1.01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12.737</v>
      </c>
      <c r="D54" s="56">
        <f>D48</f>
        <v>5.6749999999999998</v>
      </c>
      <c r="E54" s="56">
        <f>MAX(C54:D54)</f>
        <v>12.737</v>
      </c>
      <c r="G54" s="1" t="str">
        <f>G48</f>
        <v>per 1000 youth</v>
      </c>
      <c r="L54" s="58">
        <f>L48</f>
        <v>1000</v>
      </c>
      <c r="M54" s="58"/>
    </row>
    <row r="55" spans="2:18" ht="15" hidden="1" customHeight="1">
      <c r="B55" s="49" t="str">
        <f t="shared" ref="B55:D56" si="10">IF(($E49&gt;0),B49,B48)</f>
        <v>per 100 arrests</v>
      </c>
      <c r="C55" s="49">
        <f t="shared" si="10"/>
        <v>0.65</v>
      </c>
      <c r="D55" s="49">
        <f t="shared" si="10"/>
        <v>0.77</v>
      </c>
      <c r="E55" s="49">
        <f>MAX(C55:D55)</f>
        <v>0.77</v>
      </c>
      <c r="G55" s="1" t="str">
        <f>G49</f>
        <v>per 100 arrests</v>
      </c>
      <c r="L55" s="58">
        <f>IF(($E49&gt;0),L49,L48)</f>
        <v>100</v>
      </c>
      <c r="M55" s="58"/>
    </row>
    <row r="56" spans="2:18" ht="15" hidden="1" customHeight="1">
      <c r="B56" s="49" t="str">
        <f t="shared" si="10"/>
        <v>per 100 referrals</v>
      </c>
      <c r="C56" s="49">
        <f t="shared" si="10"/>
        <v>1.73</v>
      </c>
      <c r="D56" s="49">
        <f t="shared" si="10"/>
        <v>2.88</v>
      </c>
      <c r="E56" s="49">
        <f>MAX(C56:D56)</f>
        <v>2.88</v>
      </c>
      <c r="G56" s="1" t="str">
        <f>G50</f>
        <v>per 100 referrals</v>
      </c>
      <c r="L56" s="58">
        <f>IF(($E50&gt;0),L50,L49)</f>
        <v>100</v>
      </c>
      <c r="M56" s="58"/>
    </row>
    <row r="57" spans="2:18" ht="15" hidden="1" customHeight="1">
      <c r="B57" s="49" t="str">
        <f>IF(($E51&gt;0),B51,B49)</f>
        <v>per 100 youth petitioned</v>
      </c>
      <c r="C57" s="49">
        <f>IF(($E51&gt;0),C51,C50)</f>
        <v>1.0900000000000001</v>
      </c>
      <c r="D57" s="49">
        <f>IF(($E51&gt;0),D51,D50)</f>
        <v>1.8</v>
      </c>
      <c r="E57" s="49">
        <f>MAX(C57:D57)</f>
        <v>1.8</v>
      </c>
      <c r="G57" s="1" t="str">
        <f>G51</f>
        <v>per 100 youth petitioned</v>
      </c>
      <c r="L57" s="58">
        <f>IF(($E51&gt;0),L51,L50)</f>
        <v>100</v>
      </c>
      <c r="M57" s="58"/>
    </row>
    <row r="58" spans="2:18" ht="15" hidden="1" customHeight="1">
      <c r="B58" s="49" t="str">
        <f>IF(($E52&gt;0),B52,B51)</f>
        <v>per 100 youth found delinquent</v>
      </c>
      <c r="C58" s="49">
        <f>IF(($E52&gt;0),C52,C51)</f>
        <v>0.56999999999999995</v>
      </c>
      <c r="D58" s="49">
        <f>IF(($E52&gt;0),D52,D51)</f>
        <v>1.01</v>
      </c>
      <c r="E58" s="56">
        <f>MAX(C58:D58)</f>
        <v>1.01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12.737</v>
      </c>
      <c r="D60" s="56">
        <f>D54</f>
        <v>5.6749999999999998</v>
      </c>
      <c r="E60" s="56">
        <f>MAX(C60:D60)</f>
        <v>12.737</v>
      </c>
      <c r="G60" s="1" t="str">
        <f>G54</f>
        <v>per 1000 youth</v>
      </c>
      <c r="L60" s="58">
        <f>L54</f>
        <v>1000</v>
      </c>
      <c r="M60" s="58"/>
    </row>
    <row r="61" spans="2:18" ht="15" hidden="1" customHeight="1">
      <c r="B61" s="49" t="str">
        <f t="shared" ref="B61:D62" si="11">IF(($E55&gt;0),B55,B54)</f>
        <v>per 100 arrests</v>
      </c>
      <c r="C61" s="49">
        <f t="shared" si="11"/>
        <v>0.65</v>
      </c>
      <c r="D61" s="49">
        <f t="shared" si="11"/>
        <v>0.77</v>
      </c>
      <c r="E61" s="49">
        <f>MAX(C61:D61)</f>
        <v>0.77</v>
      </c>
      <c r="G61" s="1" t="str">
        <f>G55</f>
        <v>per 100 arrests</v>
      </c>
      <c r="L61" s="58">
        <f>IF(($E55&gt;0),L55,L54)</f>
        <v>100</v>
      </c>
      <c r="M61" s="58"/>
    </row>
    <row r="62" spans="2:18" ht="15" hidden="1" customHeight="1">
      <c r="B62" s="49" t="str">
        <f t="shared" si="11"/>
        <v>per 100 referrals</v>
      </c>
      <c r="C62" s="49">
        <f t="shared" si="11"/>
        <v>1.73</v>
      </c>
      <c r="D62" s="49">
        <f t="shared" si="11"/>
        <v>2.88</v>
      </c>
      <c r="E62" s="49">
        <f>MAX(C62:D62)</f>
        <v>2.88</v>
      </c>
      <c r="G62" s="1" t="str">
        <f>G56</f>
        <v>per 100 referrals</v>
      </c>
      <c r="L62" s="58">
        <f>IF(($E56&gt;0),L56,L55)</f>
        <v>100</v>
      </c>
      <c r="M62" s="58"/>
    </row>
    <row r="63" spans="2:18" ht="15" hidden="1" customHeight="1">
      <c r="B63" s="49" t="str">
        <f>IF(($E57&gt;0),B57,B55)</f>
        <v>per 100 youth petitioned</v>
      </c>
      <c r="C63" s="49">
        <f>IF(($E57&gt;0),C57,C56)</f>
        <v>1.0900000000000001</v>
      </c>
      <c r="D63" s="49">
        <f>IF(($E57&gt;0),D57,D56)</f>
        <v>1.8</v>
      </c>
      <c r="E63" s="49">
        <f>MAX(C63:D63)</f>
        <v>1.8</v>
      </c>
      <c r="G63" s="1" t="str">
        <f>G57</f>
        <v>per 100 youth petitioned</v>
      </c>
      <c r="L63" s="58">
        <f>IF(($E57&gt;0),L57,L56)</f>
        <v>100</v>
      </c>
      <c r="M63" s="58"/>
    </row>
    <row r="64" spans="2:18" ht="15" hidden="1" customHeight="1">
      <c r="B64" s="49" t="str">
        <f>IF(($E58&gt;0),B58,B57)</f>
        <v>per 100 youth found delinquent</v>
      </c>
      <c r="C64" s="49">
        <f>IF(($E58&gt;0),C58,C57)</f>
        <v>0.56999999999999995</v>
      </c>
      <c r="D64" s="49">
        <f>IF(($E58&gt;0),D58,D57)</f>
        <v>1.01</v>
      </c>
      <c r="E64" s="56">
        <f>MAX(C64:D64)</f>
        <v>1.01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12.737</v>
      </c>
      <c r="D66" s="56">
        <f>D60</f>
        <v>5.6749999999999998</v>
      </c>
      <c r="E66" s="56">
        <f>MAX(C66:D66)</f>
        <v>12.737</v>
      </c>
      <c r="G66" s="1" t="str">
        <f>G60</f>
        <v>per 1000 youth</v>
      </c>
      <c r="L66" s="58">
        <f>L60</f>
        <v>1000</v>
      </c>
      <c r="M66" s="58">
        <f>IF((B66=G66),1,2)</f>
        <v>1</v>
      </c>
    </row>
    <row r="67" spans="2:13" ht="15" hidden="1" customHeight="1">
      <c r="B67" s="49" t="str">
        <f t="shared" ref="B67:D68" si="12">IF(($E61&gt;0),B61,B60)</f>
        <v>per 100 arrests</v>
      </c>
      <c r="C67" s="49">
        <f t="shared" si="12"/>
        <v>0.65</v>
      </c>
      <c r="D67" s="49">
        <f t="shared" si="12"/>
        <v>0.77</v>
      </c>
      <c r="E67" s="49">
        <f>MAX(C67:D67)</f>
        <v>0.77</v>
      </c>
      <c r="G67" s="1" t="str">
        <f>G61</f>
        <v>per 100 arrests</v>
      </c>
      <c r="L67" s="58">
        <f>IF(($E61&gt;0),L61,L60)</f>
        <v>100</v>
      </c>
      <c r="M67" s="58">
        <f>IF((B67=G67),1,2)</f>
        <v>1</v>
      </c>
    </row>
    <row r="68" spans="2:13" ht="15" hidden="1" customHeight="1">
      <c r="B68" s="49" t="str">
        <f t="shared" si="12"/>
        <v>per 100 referrals</v>
      </c>
      <c r="C68" s="49">
        <f t="shared" si="12"/>
        <v>1.73</v>
      </c>
      <c r="D68" s="49">
        <f t="shared" si="12"/>
        <v>2.88</v>
      </c>
      <c r="E68" s="49">
        <f>MAX(C68:D68)</f>
        <v>2.88</v>
      </c>
      <c r="G68" s="1" t="str">
        <f>G62</f>
        <v>per 100 referrals</v>
      </c>
      <c r="L68" s="58">
        <f>IF(($E62&gt;0),L62,L61)</f>
        <v>100</v>
      </c>
      <c r="M68" s="58">
        <f>IF((B68=G68),1,2)</f>
        <v>1</v>
      </c>
    </row>
    <row r="69" spans="2:13" ht="15" hidden="1" customHeight="1">
      <c r="B69" s="49" t="str">
        <f>IF(($E63&gt;0),B63,B61)</f>
        <v>per 100 youth petitioned</v>
      </c>
      <c r="C69" s="49">
        <f>IF(($E63&gt;0),C63,C62)</f>
        <v>1.0900000000000001</v>
      </c>
      <c r="D69" s="49">
        <f>IF(($E63&gt;0),D63,D62)</f>
        <v>1.8</v>
      </c>
      <c r="E69" s="49">
        <f>MAX(C69:D69)</f>
        <v>1.8</v>
      </c>
      <c r="G69" s="1" t="str">
        <f>G63</f>
        <v>per 100 youth petitioned</v>
      </c>
      <c r="L69" s="58">
        <f>IF(($E63&gt;0),L63,L62)</f>
        <v>100</v>
      </c>
      <c r="M69" s="58">
        <f>IF((B69=G69),1,2)</f>
        <v>1</v>
      </c>
    </row>
    <row r="70" spans="2:13" ht="15" hidden="1" customHeight="1">
      <c r="B70" s="49" t="str">
        <f>IF(($E64&gt;0),B64,B63)</f>
        <v>per 100 youth found delinquent</v>
      </c>
      <c r="C70" s="49">
        <f>IF(($E64&gt;0),C64,C63)</f>
        <v>0.56999999999999995</v>
      </c>
      <c r="D70" s="49">
        <f>IF(($E64&gt;0),D64,D63)</f>
        <v>1.01</v>
      </c>
      <c r="E70" s="56">
        <f>MAX(C70:D70)</f>
        <v>1.01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Muskegon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4.1022743817696501</v>
      </c>
      <c r="D7" s="72" t="str">
        <f>Hispanic!G7</f>
        <v>**</v>
      </c>
      <c r="E7" s="72" t="str">
        <f>Asian!G7</f>
        <v>*</v>
      </c>
      <c r="F7" s="72" t="str">
        <f>Hawaiian!G7</f>
        <v>*</v>
      </c>
      <c r="G7" s="72" t="str">
        <f>'Am Indian'!G7</f>
        <v>*</v>
      </c>
      <c r="H7" s="72" t="str">
        <f>'Other - Mixed'!G7</f>
        <v>*</v>
      </c>
      <c r="I7" s="73">
        <f>'All Minorities'!G7</f>
        <v>2.6587570315147406</v>
      </c>
      <c r="L7" s="1">
        <f>'Black or African-American'!L7</f>
        <v>1</v>
      </c>
      <c r="M7" s="1">
        <f>Hispanic!L7</f>
        <v>40</v>
      </c>
      <c r="N7" s="1">
        <f>Asian!L7</f>
        <v>139</v>
      </c>
      <c r="O7" s="1" t="e">
        <f>Hawaiian!L7</f>
        <v>#VALUE!</v>
      </c>
      <c r="P7" s="1">
        <f>'Am Indian'!L7</f>
        <v>139</v>
      </c>
      <c r="Q7" s="1" t="e">
        <f>'Other - Mixed'!L7</f>
        <v>#VALUE!</v>
      </c>
      <c r="R7" s="1">
        <f>'All Minorities'!L7</f>
        <v>1</v>
      </c>
    </row>
    <row r="8" spans="2:18" ht="15" customHeight="1">
      <c r="B8" s="71" t="s">
        <v>9</v>
      </c>
      <c r="C8" s="72">
        <f>'Black or African-American'!$G8</f>
        <v>1.0808456726581679</v>
      </c>
      <c r="D8" s="72" t="str">
        <f>Hispanic!G8</f>
        <v>**</v>
      </c>
      <c r="E8" s="72" t="str">
        <f>Asian!G8</f>
        <v>*</v>
      </c>
      <c r="F8" s="72" t="str">
        <f>Hawaiian!G8</f>
        <v>*</v>
      </c>
      <c r="G8" s="72" t="str">
        <f>'Am Indian'!G8</f>
        <v>*</v>
      </c>
      <c r="H8" s="72" t="str">
        <f>'Other - Mixed'!G8</f>
        <v>*</v>
      </c>
      <c r="I8" s="73">
        <f>'All Minorities'!G8</f>
        <v>1.405299902409729</v>
      </c>
      <c r="L8" s="1">
        <f>'Black or African-American'!L8</f>
        <v>2</v>
      </c>
      <c r="M8" s="1">
        <f>Hispanic!L8</f>
        <v>40</v>
      </c>
      <c r="N8" s="1">
        <f>Asian!L8</f>
        <v>139</v>
      </c>
      <c r="O8" s="1">
        <f>Hawaiian!L8</f>
        <v>139</v>
      </c>
      <c r="P8" s="1">
        <f>'Am Indian'!L8</f>
        <v>119</v>
      </c>
      <c r="Q8" s="1">
        <f>'Other - Mixed'!L8</f>
        <v>119</v>
      </c>
      <c r="R8" s="1">
        <f>'All Minorities'!L8</f>
        <v>1</v>
      </c>
    </row>
    <row r="9" spans="2:18" ht="15" customHeight="1">
      <c r="B9" s="71" t="s">
        <v>10</v>
      </c>
      <c r="C9" s="72">
        <f>'Black or African-American'!$G9</f>
        <v>1.5352813852813851</v>
      </c>
      <c r="D9" s="72" t="str">
        <f>Hispanic!G9</f>
        <v>**</v>
      </c>
      <c r="E9" s="72" t="str">
        <f>Asian!G9</f>
        <v>*</v>
      </c>
      <c r="F9" s="72" t="str">
        <f>Hawaiian!G9</f>
        <v>*</v>
      </c>
      <c r="G9" s="72" t="str">
        <f>'Am Indian'!G9</f>
        <v>*</v>
      </c>
      <c r="H9" s="72" t="str">
        <f>'Other - Mixed'!G9</f>
        <v>*</v>
      </c>
      <c r="I9" s="73">
        <f>'All Minorities'!G9</f>
        <v>1.3652146464646464</v>
      </c>
      <c r="L9" s="1">
        <f>'Black or African-American'!L9</f>
        <v>2</v>
      </c>
      <c r="M9" s="1">
        <f>Hispanic!L9</f>
        <v>40</v>
      </c>
      <c r="N9" s="1" t="e">
        <f>Asian!L9</f>
        <v>#VALUE!</v>
      </c>
      <c r="O9" s="1" t="e">
        <f>Hawaiian!L9</f>
        <v>#VALUE!</v>
      </c>
      <c r="P9" s="1">
        <f>'Am Indian'!L9</f>
        <v>139</v>
      </c>
      <c r="Q9" s="1">
        <f>'Other - Mixed'!L9</f>
        <v>101</v>
      </c>
      <c r="R9" s="1">
        <f>'All Minorities'!L9</f>
        <v>2</v>
      </c>
    </row>
    <row r="10" spans="2:18" ht="15" customHeight="1">
      <c r="B10" s="71" t="s">
        <v>11</v>
      </c>
      <c r="C10" s="72">
        <f>'Black or African-American'!$G10</f>
        <v>1.2872023809523809</v>
      </c>
      <c r="D10" s="72" t="str">
        <f>Hispanic!G10</f>
        <v>**</v>
      </c>
      <c r="E10" s="72" t="str">
        <f>Asian!G10</f>
        <v>*</v>
      </c>
      <c r="F10" s="72" t="str">
        <f>Hawaiian!G10</f>
        <v>*</v>
      </c>
      <c r="G10" s="72" t="str">
        <f>'Am Indian'!G10</f>
        <v>*</v>
      </c>
      <c r="H10" s="72" t="str">
        <f>'Other - Mixed'!G10</f>
        <v>*</v>
      </c>
      <c r="I10" s="73">
        <f>'All Minorities'!G10</f>
        <v>1.0887586805555556</v>
      </c>
      <c r="L10" s="1">
        <f>'Black or African-American'!L10</f>
        <v>2</v>
      </c>
      <c r="M10" s="1">
        <f>Hispanic!L10</f>
        <v>40</v>
      </c>
      <c r="N10" s="1" t="e">
        <f>Asian!L10</f>
        <v>#VALUE!</v>
      </c>
      <c r="O10" s="1" t="e">
        <f>Hawaiian!L10</f>
        <v>#VALUE!</v>
      </c>
      <c r="P10" s="1">
        <f>'Am Indian'!L10</f>
        <v>139</v>
      </c>
      <c r="Q10" s="1">
        <f>'Other - Mixed'!L10</f>
        <v>139</v>
      </c>
      <c r="R10" s="1">
        <f>'All Minorities'!L10</f>
        <v>2</v>
      </c>
    </row>
    <row r="11" spans="2:18" ht="15" customHeight="1">
      <c r="B11" s="71" t="s">
        <v>95</v>
      </c>
      <c r="C11" s="72">
        <f>'Black or African-American'!$G11</f>
        <v>0.92206203582350377</v>
      </c>
      <c r="D11" s="72" t="str">
        <f>Hispanic!G11</f>
        <v>**</v>
      </c>
      <c r="E11" s="72" t="str">
        <f>Asian!G11</f>
        <v>*</v>
      </c>
      <c r="F11" s="72" t="str">
        <f>Hawaiian!G11</f>
        <v>*</v>
      </c>
      <c r="G11" s="72" t="str">
        <f>'Am Indian'!G11</f>
        <v>*</v>
      </c>
      <c r="H11" s="72" t="str">
        <f>'Other - Mixed'!G11</f>
        <v>*</v>
      </c>
      <c r="I11" s="73">
        <f>'All Minorities'!G11</f>
        <v>0.9919724770642202</v>
      </c>
      <c r="L11" s="1">
        <f>'Black or African-American'!L11</f>
        <v>2</v>
      </c>
      <c r="M11" s="1">
        <f>Hispanic!L11</f>
        <v>40</v>
      </c>
      <c r="N11" s="1" t="e">
        <f>Asian!L11</f>
        <v>#VALUE!</v>
      </c>
      <c r="O11" s="1" t="e">
        <f>Hawaiian!L11</f>
        <v>#VALUE!</v>
      </c>
      <c r="P11" s="1">
        <f>'Am Indian'!L11</f>
        <v>139</v>
      </c>
      <c r="Q11" s="1">
        <f>'Other - Mixed'!L11</f>
        <v>100</v>
      </c>
      <c r="R11" s="1">
        <f>'All Minorities'!L11</f>
        <v>2</v>
      </c>
    </row>
    <row r="12" spans="2:18" ht="15" customHeight="1">
      <c r="B12" s="71" t="s">
        <v>13</v>
      </c>
      <c r="C12" s="72">
        <f>'Black or African-American'!$G12</f>
        <v>1.097210238711533</v>
      </c>
      <c r="D12" s="72" t="str">
        <f>Hispanic!G12</f>
        <v>**</v>
      </c>
      <c r="E12" s="72" t="str">
        <f>Asian!G12</f>
        <v>*</v>
      </c>
      <c r="F12" s="72" t="str">
        <f>Hawaiian!G12</f>
        <v>*</v>
      </c>
      <c r="G12" s="72" t="str">
        <f>'Am Indian'!G12</f>
        <v>*</v>
      </c>
      <c r="H12" s="72" t="str">
        <f>'Other - Mixed'!G12</f>
        <v>*</v>
      </c>
      <c r="I12" s="73">
        <f>'All Minorities'!G12</f>
        <v>1.0730019493177387</v>
      </c>
      <c r="L12" s="1">
        <f>'Black or African-American'!L12</f>
        <v>2</v>
      </c>
      <c r="M12" s="1">
        <f>Hispanic!L12</f>
        <v>40</v>
      </c>
      <c r="N12" s="1" t="e">
        <f>Asian!L12</f>
        <v>#VALUE!</v>
      </c>
      <c r="O12" s="1" t="e">
        <f>Hawaiian!L12</f>
        <v>#VALUE!</v>
      </c>
      <c r="P12" s="1">
        <f>'Am Indian'!L12</f>
        <v>139</v>
      </c>
      <c r="Q12" s="1">
        <f>'Other - Mixed'!L12</f>
        <v>101</v>
      </c>
      <c r="R12" s="1">
        <f>'All Minorities'!L12</f>
        <v>2</v>
      </c>
    </row>
    <row r="13" spans="2:18" ht="15" customHeight="1">
      <c r="B13" s="71" t="s">
        <v>14</v>
      </c>
      <c r="C13" s="72">
        <f>'Black or African-American'!$G13</f>
        <v>0.83430913348946134</v>
      </c>
      <c r="D13" s="72" t="str">
        <f>Hispanic!G13</f>
        <v>**</v>
      </c>
      <c r="E13" s="72" t="str">
        <f>Asian!G13</f>
        <v>*</v>
      </c>
      <c r="F13" s="72" t="str">
        <f>Hawaiian!G13</f>
        <v>*</v>
      </c>
      <c r="G13" s="72" t="str">
        <f>'Am Indian'!G13</f>
        <v>*</v>
      </c>
      <c r="H13" s="72" t="str">
        <f>'Other - Mixed'!G13</f>
        <v>*</v>
      </c>
      <c r="I13" s="73">
        <f>'All Minorities'!G13</f>
        <v>0.7678948222691121</v>
      </c>
      <c r="L13" s="1">
        <f>'Black or African-American'!L13</f>
        <v>2</v>
      </c>
      <c r="M13" s="1">
        <f>Hispanic!L13</f>
        <v>40</v>
      </c>
      <c r="N13" s="1" t="e">
        <f>Asian!L13</f>
        <v>#VALUE!</v>
      </c>
      <c r="O13" s="1" t="e">
        <f>Hawaiian!L13</f>
        <v>#VALUE!</v>
      </c>
      <c r="P13" s="1">
        <f>'Am Indian'!L13</f>
        <v>139</v>
      </c>
      <c r="Q13" s="1">
        <f>'Other - Mixed'!L13</f>
        <v>119</v>
      </c>
      <c r="R13" s="1">
        <f>'All Minorities'!L13</f>
        <v>1</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f>Hispanic!L14</f>
        <v>40</v>
      </c>
      <c r="N14" s="1" t="e">
        <f>Asian!L14</f>
        <v>#VALUE!</v>
      </c>
      <c r="O14" s="1" t="e">
        <f>Hawaiian!L14</f>
        <v>#VALUE!</v>
      </c>
      <c r="P14" s="1">
        <f>'Am Indian'!L14</f>
        <v>139</v>
      </c>
      <c r="Q14" s="1">
        <f>'Other - Mixed'!L14</f>
        <v>139</v>
      </c>
      <c r="R14" s="1">
        <f>'All Minorities'!L14</f>
        <v>20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18412</v>
      </c>
      <c r="D3" s="57">
        <f>'Data Entry'!C6</f>
        <v>12737</v>
      </c>
      <c r="E3" s="57">
        <f>'Data Entry'!D6</f>
        <v>3487</v>
      </c>
      <c r="F3" s="57">
        <f>'Data Entry'!E6</f>
        <v>1903</v>
      </c>
      <c r="G3" s="57">
        <f>'Data Entry'!F6</f>
        <v>136</v>
      </c>
      <c r="H3" s="57">
        <f>'Data Entry'!G6</f>
        <v>0</v>
      </c>
      <c r="I3" s="57">
        <f>'Data Entry'!H6</f>
        <v>149</v>
      </c>
      <c r="J3" s="57">
        <f>'Data Entry'!I6</f>
        <v>0</v>
      </c>
      <c r="K3" s="57">
        <f>'Data Entry'!J6</f>
        <v>5675</v>
      </c>
    </row>
    <row r="4" spans="2:11" ht="15" customHeight="1">
      <c r="B4" s="16" t="s">
        <v>8</v>
      </c>
      <c r="C4" s="1">
        <f>IF((C$3&gt;0),(1000*('Data Entry'!B7/'Data Entry'!B$6)), 0)</f>
        <v>7.8752987182272429</v>
      </c>
      <c r="D4" s="1">
        <f>IF((D$3&gt;0),(1000*('Data Entry'!C7/'Data Entry'!C$6)), 0)</f>
        <v>5.1032425217869202</v>
      </c>
      <c r="E4" s="1">
        <f>IF((E$3&gt;0),(1000*('Data Entry'!D7/'Data Entry'!D$6)), 0)</f>
        <v>20.934901061084027</v>
      </c>
      <c r="F4" s="1">
        <f>IF((F$3&gt;0),(1000*('Data Entry'!E7/'Data Entry'!E$6)), 0)</f>
        <v>2.1019442984760901</v>
      </c>
      <c r="G4" s="1">
        <f>IF((G$3&gt;0),(1000*('Data Entry'!F7/'Data Entry'!F$6)), 0)</f>
        <v>0</v>
      </c>
      <c r="H4" s="1">
        <f>IF((H$3&gt;0),(1000*('Data Entry'!G7/'Data Entry'!G$6)), 0)</f>
        <v>0</v>
      </c>
      <c r="I4" s="1">
        <f>IF((I$3&gt;0),(1000*('Data Entry'!H7/'Data Entry'!H$6)), 0)</f>
        <v>0</v>
      </c>
      <c r="J4" s="1">
        <f>IF((J$3&gt;0),(1000*('Data Entry'!I7/'Data Entry'!I$6)), 0)</f>
        <v>0</v>
      </c>
      <c r="K4" s="1">
        <f>IF((K$3&gt;0),(1000*('Data Entry'!J7/'Data Entry'!J$6)), 0)</f>
        <v>13.568281938325992</v>
      </c>
    </row>
    <row r="5" spans="2:11" ht="15" customHeight="1">
      <c r="B5" s="16" t="s">
        <v>9</v>
      </c>
      <c r="C5" s="1">
        <f>IF((C$3&gt;0),(1000*('Data Entry'!B8/'Data Entry'!B$6)), 0)</f>
        <v>25.852704757766674</v>
      </c>
      <c r="D5" s="1">
        <f>IF((D$3&gt;0),(1000*('Data Entry'!C8/'Data Entry'!C$6)), 0)</f>
        <v>13.582476250294418</v>
      </c>
      <c r="E5" s="1">
        <f>IF((E$3&gt;0),(1000*('Data Entry'!D8/'Data Entry'!D$6)), 0)</f>
        <v>60.223687983940351</v>
      </c>
      <c r="F5" s="1">
        <f>IF((F$3&gt;0),(1000*('Data Entry'!E8/'Data Entry'!E$6)), 0)</f>
        <v>2.627430373095113</v>
      </c>
      <c r="G5" s="1">
        <f>IF((G$3&gt;0),(1000*('Data Entry'!F8/'Data Entry'!F$6)), 0)</f>
        <v>0</v>
      </c>
      <c r="H5" s="1">
        <f>IF((H$3&gt;0),(1000*('Data Entry'!G8/'Data Entry'!G$6)), 0)</f>
        <v>0</v>
      </c>
      <c r="I5" s="1">
        <f>IF((I$3&gt;0),(1000*('Data Entry'!H8/'Data Entry'!H$6)), 0)</f>
        <v>13.422818791946309</v>
      </c>
      <c r="J5" s="1">
        <f>IF((J$3&gt;0),(1000*('Data Entry'!I8/'Data Entry'!I$6)), 0)</f>
        <v>0</v>
      </c>
      <c r="K5" s="1">
        <f>IF((K$3&gt;0),(1000*('Data Entry'!J8/'Data Entry'!J$6)), 0)</f>
        <v>50.748898678414093</v>
      </c>
    </row>
    <row r="6" spans="2:11" ht="15" customHeight="1">
      <c r="B6" s="16" t="s">
        <v>10</v>
      </c>
      <c r="C6" s="1">
        <f>IF((C$3&gt;0),(1000*('Data Entry'!B9/'Data Entry'!B$6)), 0)</f>
        <v>4.0191179665435586</v>
      </c>
      <c r="D6" s="1">
        <f>IF((D$3&gt;0),(1000*('Data Entry'!C9/'Data Entry'!C$6)), 0)</f>
        <v>1.7272513150663422</v>
      </c>
      <c r="E6" s="1">
        <f>IF((E$3&gt;0),(1000*('Data Entry'!D9/'Data Entry'!D$6)), 0)</f>
        <v>11.757958130197878</v>
      </c>
      <c r="F6" s="1">
        <f>IF((F$3&gt;0),(1000*('Data Entry'!E9/'Data Entry'!E$6)), 0)</f>
        <v>0.52548607461902253</v>
      </c>
      <c r="G6" s="1">
        <f>IF((G$3&gt;0),(1000*('Data Entry'!F9/'Data Entry'!F$6)), 0)</f>
        <v>0</v>
      </c>
      <c r="H6" s="1">
        <f>IF((H$3&gt;0),(1000*('Data Entry'!G9/'Data Entry'!G$6)), 0)</f>
        <v>0</v>
      </c>
      <c r="I6" s="1">
        <f>IF((I$3&gt;0),(1000*('Data Entry'!H9/'Data Entry'!H$6)), 0)</f>
        <v>0</v>
      </c>
      <c r="J6" s="1">
        <f>IF((J$3&gt;0),(1000*('Data Entry'!I9/'Data Entry'!I$6)), 0)</f>
        <v>0</v>
      </c>
      <c r="K6" s="1">
        <f>IF((K$3&gt;0),(1000*('Data Entry'!J9/'Data Entry'!J$6)), 0)</f>
        <v>8.8105726872246706</v>
      </c>
    </row>
    <row r="7" spans="2:11" ht="15" customHeight="1">
      <c r="B7" s="16" t="s">
        <v>11</v>
      </c>
      <c r="C7" s="1">
        <f>IF((C$3&gt;0),(1000*('Data Entry'!B10/'Data Entry'!B$6)), 0)</f>
        <v>2.4983706278514011</v>
      </c>
      <c r="D7" s="1">
        <f>IF((D$3&gt;0),(1000*('Data Entry'!C10/'Data Entry'!C$6)), 0)</f>
        <v>1.2561827745937033</v>
      </c>
      <c r="E7" s="1">
        <f>IF((E$3&gt;0),(1000*('Data Entry'!D10/'Data Entry'!D$6)), 0)</f>
        <v>7.1694866647548032</v>
      </c>
      <c r="F7" s="1">
        <f>IF((F$3&gt;0),(1000*('Data Entry'!E10/'Data Entry'!E$6)), 0)</f>
        <v>0.52548607461902253</v>
      </c>
      <c r="G7" s="1">
        <f>IF((G$3&gt;0),(1000*('Data Entry'!F10/'Data Entry'!F$6)), 0)</f>
        <v>0</v>
      </c>
      <c r="H7" s="1">
        <f>IF((H$3&gt;0),(1000*('Data Entry'!G10/'Data Entry'!G$6)), 0)</f>
        <v>0</v>
      </c>
      <c r="I7" s="1">
        <f>IF((I$3&gt;0),(1000*('Data Entry'!H10/'Data Entry'!H$6)), 0)</f>
        <v>0</v>
      </c>
      <c r="J7" s="1">
        <f>IF((J$3&gt;0),(1000*('Data Entry'!I10/'Data Entry'!I$6)), 0)</f>
        <v>0</v>
      </c>
      <c r="K7" s="1">
        <f>IF((K$3&gt;0),(1000*('Data Entry'!J10/'Data Entry'!J$6)), 0)</f>
        <v>5.1101321585903081</v>
      </c>
    </row>
    <row r="8" spans="2:11" ht="15" customHeight="1">
      <c r="B8" s="16" t="s">
        <v>95</v>
      </c>
      <c r="C8" s="1">
        <f>IF((C$3&gt;0),(1000*('Data Entry'!B11/'Data Entry'!B$6)), 0)</f>
        <v>16.076471866174234</v>
      </c>
      <c r="D8" s="1">
        <f>IF((D$3&gt;0),(1000*('Data Entry'!C11/'Data Entry'!C$6)), 0)</f>
        <v>8.5577451519196046</v>
      </c>
      <c r="E8" s="1">
        <f>IF((E$3&gt;0),(1000*('Data Entry'!D11/'Data Entry'!D$6)), 0)</f>
        <v>34.987094924003436</v>
      </c>
      <c r="F8" s="1">
        <f>IF((F$3&gt;0),(1000*('Data Entry'!E11/'Data Entry'!E$6)), 0)</f>
        <v>1.5764582238570679</v>
      </c>
      <c r="G8" s="1">
        <f>IF((G$3&gt;0),(1000*('Data Entry'!F11/'Data Entry'!F$6)), 0)</f>
        <v>0</v>
      </c>
      <c r="H8" s="1">
        <f>IF((H$3&gt;0),(1000*('Data Entry'!G11/'Data Entry'!G$6)), 0)</f>
        <v>0</v>
      </c>
      <c r="I8" s="1">
        <f>IF((I$3&gt;0),(1000*('Data Entry'!H11/'Data Entry'!H$6)), 0)</f>
        <v>6.7114093959731544</v>
      </c>
      <c r="J8" s="1">
        <f>IF((J$3&gt;0),(1000*('Data Entry'!I11/'Data Entry'!I$6)), 0)</f>
        <v>0</v>
      </c>
      <c r="K8" s="1">
        <f>IF((K$3&gt;0),(1000*('Data Entry'!J11/'Data Entry'!J$6)), 0)</f>
        <v>31.718061674008812</v>
      </c>
    </row>
    <row r="9" spans="2:11" ht="15" customHeight="1">
      <c r="B9" s="16" t="s">
        <v>13</v>
      </c>
      <c r="C9" s="1">
        <f>IF((C$3&gt;0),(1000*('Data Entry'!B12/'Data Entry'!B$6)), 0)</f>
        <v>8.689984792526614</v>
      </c>
      <c r="D9" s="1">
        <f>IF((D$3&gt;0),(1000*('Data Entry'!C12/'Data Entry'!C$6)), 0)</f>
        <v>4.4751511344900683</v>
      </c>
      <c r="E9" s="1">
        <f>IF((E$3&gt;0),(1000*('Data Entry'!D12/'Data Entry'!D$6)), 0)</f>
        <v>20.07456266131345</v>
      </c>
      <c r="F9" s="1">
        <f>IF((F$3&gt;0),(1000*('Data Entry'!E12/'Data Entry'!E$6)), 0)</f>
        <v>1.5764582238570679</v>
      </c>
      <c r="G9" s="1">
        <f>IF((G$3&gt;0),(1000*('Data Entry'!F12/'Data Entry'!F$6)), 0)</f>
        <v>0</v>
      </c>
      <c r="H9" s="1">
        <f>IF((H$3&gt;0),(1000*('Data Entry'!G12/'Data Entry'!G$6)), 0)</f>
        <v>0</v>
      </c>
      <c r="I9" s="1">
        <f>IF((I$3&gt;0),(1000*('Data Entry'!H12/'Data Entry'!H$6)), 0)</f>
        <v>6.7114093959731544</v>
      </c>
      <c r="J9" s="1">
        <f>IF((J$3&gt;0),(1000*('Data Entry'!I12/'Data Entry'!I$6)), 0)</f>
        <v>0</v>
      </c>
      <c r="K9" s="1">
        <f>IF((K$3&gt;0),(1000*('Data Entry'!J12/'Data Entry'!J$6)), 0)</f>
        <v>17.797356828193834</v>
      </c>
    </row>
    <row r="10" spans="2:11" ht="15" customHeight="1">
      <c r="B10" s="16" t="s">
        <v>14</v>
      </c>
      <c r="C10" s="1">
        <f>IF((C$3&gt;0),(1000*('Data Entry'!B13/'Data Entry'!B$6)), 0)</f>
        <v>16.348033890940691</v>
      </c>
      <c r="D10" s="1">
        <f>IF((D$3&gt;0),(1000*('Data Entry'!C13/'Data Entry'!C$6)), 0)</f>
        <v>9.5783936562769885</v>
      </c>
      <c r="E10" s="1">
        <f>IF((E$3&gt;0),(1000*('Data Entry'!D13/'Data Entry'!D$6)), 0)</f>
        <v>35.84743332377402</v>
      </c>
      <c r="F10" s="1">
        <f>IF((F$3&gt;0),(1000*('Data Entry'!E13/'Data Entry'!E$6)), 0)</f>
        <v>2.627430373095113</v>
      </c>
      <c r="G10" s="1">
        <f>IF((G$3&gt;0),(1000*('Data Entry'!F13/'Data Entry'!F$6)), 0)</f>
        <v>0</v>
      </c>
      <c r="H10" s="1">
        <f>IF((H$3&gt;0),(1000*('Data Entry'!G13/'Data Entry'!G$6)), 0)</f>
        <v>0</v>
      </c>
      <c r="I10" s="1">
        <f>IF((I$3&gt;0),(1000*('Data Entry'!H13/'Data Entry'!H$6)), 0)</f>
        <v>13.422818791946309</v>
      </c>
      <c r="J10" s="1">
        <f>IF((J$3&gt;0),(1000*('Data Entry'!I13/'Data Entry'!I$6)), 0)</f>
        <v>0</v>
      </c>
      <c r="K10" s="1">
        <f>IF((K$3&gt;0),(1000*('Data Entry'!J13/'Data Entry'!J$6)), 0)</f>
        <v>29.251101321585903</v>
      </c>
    </row>
    <row r="11" spans="2:11" ht="25.5" customHeight="1">
      <c r="B11" s="16" t="s">
        <v>15</v>
      </c>
      <c r="C11" s="1">
        <f>IF((C$3&gt;0),(1000*('Data Entry'!B14/'Data Entry'!B$6)), 0)</f>
        <v>1.140560504019118</v>
      </c>
      <c r="D11" s="1">
        <f>IF((D$3&gt;0),(1000*('Data Entry'!C14/'Data Entry'!C$6)), 0)</f>
        <v>0.15702284682421291</v>
      </c>
      <c r="E11" s="1">
        <f>IF((E$3&gt;0),(1000*('Data Entry'!D14/'Data Entry'!D$6)), 0)</f>
        <v>4.5884714654430745</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3.3480176211453743</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Muskegon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4.1022743817696501</v>
      </c>
      <c r="E19" s="72">
        <f t="shared" si="1"/>
        <v>0.41188406968753782</v>
      </c>
      <c r="F19" s="72" t="str">
        <f t="shared" si="1"/>
        <v>--</v>
      </c>
      <c r="G19" s="72" t="str">
        <f t="shared" si="1"/>
        <v>--</v>
      </c>
      <c r="H19" s="72" t="str">
        <f t="shared" si="1"/>
        <v>--</v>
      </c>
      <c r="I19" s="72" t="str">
        <f t="shared" si="1"/>
        <v>--</v>
      </c>
      <c r="J19" s="73">
        <f t="shared" si="1"/>
        <v>2.6587570315147406</v>
      </c>
    </row>
    <row r="20" spans="2:10" ht="15" customHeight="1">
      <c r="B20" s="71" t="s">
        <v>9</v>
      </c>
      <c r="C20" s="72">
        <f t="shared" ref="C20:J27" si="2">IF(AND(($D5&gt;0),(D5&gt;0)), (D5/$D5),"--")</f>
        <v>1</v>
      </c>
      <c r="D20" s="72">
        <f t="shared" si="2"/>
        <v>4.433925513592186</v>
      </c>
      <c r="E20" s="72">
        <f t="shared" si="2"/>
        <v>0.19344266278677719</v>
      </c>
      <c r="F20" s="72" t="str">
        <f t="shared" si="2"/>
        <v>--</v>
      </c>
      <c r="G20" s="72" t="str">
        <f t="shared" si="2"/>
        <v>--</v>
      </c>
      <c r="H20" s="72">
        <f t="shared" si="2"/>
        <v>0.98824533498855571</v>
      </c>
      <c r="I20" s="72" t="str">
        <f t="shared" si="2"/>
        <v>--</v>
      </c>
      <c r="J20" s="73">
        <f t="shared" si="2"/>
        <v>3.7363509969188455</v>
      </c>
    </row>
    <row r="21" spans="2:10" ht="15" customHeight="1">
      <c r="B21" s="71" t="s">
        <v>10</v>
      </c>
      <c r="C21" s="72">
        <f t="shared" si="2"/>
        <v>1</v>
      </c>
      <c r="D21" s="72">
        <f t="shared" si="2"/>
        <v>6.8073233047422894</v>
      </c>
      <c r="E21" s="72">
        <f t="shared" si="2"/>
        <v>0.3042325514737495</v>
      </c>
      <c r="F21" s="72" t="str">
        <f t="shared" si="2"/>
        <v>--</v>
      </c>
      <c r="G21" s="72" t="str">
        <f t="shared" si="2"/>
        <v>--</v>
      </c>
      <c r="H21" s="72" t="str">
        <f t="shared" si="2"/>
        <v>--</v>
      </c>
      <c r="I21" s="72" t="str">
        <f t="shared" si="2"/>
        <v>--</v>
      </c>
      <c r="J21" s="73">
        <f t="shared" si="2"/>
        <v>5.1009211053263916</v>
      </c>
    </row>
    <row r="22" spans="2:10" ht="15" customHeight="1">
      <c r="B22" s="71" t="s">
        <v>11</v>
      </c>
      <c r="C22" s="72">
        <f t="shared" si="2"/>
        <v>1</v>
      </c>
      <c r="D22" s="72">
        <f t="shared" si="2"/>
        <v>5.7073594780613712</v>
      </c>
      <c r="E22" s="72">
        <f t="shared" si="2"/>
        <v>0.41831975827640566</v>
      </c>
      <c r="F22" s="72" t="str">
        <f t="shared" si="2"/>
        <v>--</v>
      </c>
      <c r="G22" s="72" t="str">
        <f t="shared" si="2"/>
        <v>--</v>
      </c>
      <c r="H22" s="72" t="str">
        <f t="shared" si="2"/>
        <v>--</v>
      </c>
      <c r="I22" s="72" t="str">
        <f t="shared" si="2"/>
        <v>--</v>
      </c>
      <c r="J22" s="73">
        <f t="shared" si="2"/>
        <v>4.0679845814977975</v>
      </c>
    </row>
    <row r="23" spans="2:10" ht="15" customHeight="1">
      <c r="B23" s="71" t="s">
        <v>95</v>
      </c>
      <c r="C23" s="72">
        <f t="shared" si="2"/>
        <v>1</v>
      </c>
      <c r="D23" s="72">
        <f t="shared" si="2"/>
        <v>4.0883543857525853</v>
      </c>
      <c r="E23" s="72">
        <f t="shared" si="2"/>
        <v>0.18421420547951811</v>
      </c>
      <c r="F23" s="72" t="str">
        <f t="shared" si="2"/>
        <v>--</v>
      </c>
      <c r="G23" s="72" t="str">
        <f t="shared" si="2"/>
        <v>--</v>
      </c>
      <c r="H23" s="72">
        <f t="shared" si="2"/>
        <v>0.78424973831660605</v>
      </c>
      <c r="I23" s="72" t="str">
        <f t="shared" si="2"/>
        <v>--</v>
      </c>
      <c r="J23" s="73">
        <f t="shared" si="2"/>
        <v>3.7063573535949561</v>
      </c>
    </row>
    <row r="24" spans="2:10" ht="15" customHeight="1">
      <c r="B24" s="71" t="s">
        <v>13</v>
      </c>
      <c r="C24" s="72">
        <f t="shared" si="2"/>
        <v>1</v>
      </c>
      <c r="D24" s="72">
        <f t="shared" si="2"/>
        <v>4.4857842915289368</v>
      </c>
      <c r="E24" s="72">
        <f t="shared" si="2"/>
        <v>0.35226927012749953</v>
      </c>
      <c r="F24" s="72" t="str">
        <f t="shared" si="2"/>
        <v>--</v>
      </c>
      <c r="G24" s="72" t="str">
        <f t="shared" si="2"/>
        <v>--</v>
      </c>
      <c r="H24" s="72">
        <f t="shared" si="2"/>
        <v>1.4997056399387731</v>
      </c>
      <c r="I24" s="72" t="str">
        <f t="shared" si="2"/>
        <v>--</v>
      </c>
      <c r="J24" s="73">
        <f t="shared" si="2"/>
        <v>3.976928665275524</v>
      </c>
    </row>
    <row r="25" spans="2:10" ht="15" customHeight="1">
      <c r="B25" s="71" t="s">
        <v>14</v>
      </c>
      <c r="C25" s="72">
        <f t="shared" si="2"/>
        <v>1</v>
      </c>
      <c r="D25" s="72">
        <f t="shared" si="2"/>
        <v>3.7425308052861448</v>
      </c>
      <c r="E25" s="72">
        <f t="shared" si="2"/>
        <v>0.27430803821403649</v>
      </c>
      <c r="F25" s="72" t="str">
        <f t="shared" si="2"/>
        <v>--</v>
      </c>
      <c r="G25" s="72" t="str">
        <f t="shared" si="2"/>
        <v>--</v>
      </c>
      <c r="H25" s="72">
        <f t="shared" si="2"/>
        <v>1.401364286500165</v>
      </c>
      <c r="I25" s="72" t="str">
        <f t="shared" si="2"/>
        <v>--</v>
      </c>
      <c r="J25" s="73">
        <f t="shared" si="2"/>
        <v>3.0538629305986857</v>
      </c>
    </row>
    <row r="26" spans="2:10" ht="25.5" customHeight="1">
      <c r="B26" s="71" t="s">
        <v>15</v>
      </c>
      <c r="C26" s="72">
        <f t="shared" si="2"/>
        <v>1</v>
      </c>
      <c r="D26" s="72">
        <f t="shared" si="2"/>
        <v>29.22168052767422</v>
      </c>
      <c r="E26" s="72" t="str">
        <f t="shared" si="2"/>
        <v>--</v>
      </c>
      <c r="F26" s="72" t="str">
        <f t="shared" si="2"/>
        <v>--</v>
      </c>
      <c r="G26" s="72" t="str">
        <f t="shared" si="2"/>
        <v>--</v>
      </c>
      <c r="H26" s="72" t="str">
        <f t="shared" si="2"/>
        <v>--</v>
      </c>
      <c r="I26" s="72" t="str">
        <f t="shared" si="2"/>
        <v>--</v>
      </c>
      <c r="J26" s="73">
        <f t="shared" si="2"/>
        <v>21.321850220264317</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Muskegon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12737</v>
      </c>
      <c r="D7" s="104">
        <f>'Data Entry'!D6</f>
        <v>3487</v>
      </c>
      <c r="E7" s="105"/>
      <c r="F7" s="106">
        <f>'Data Entry'!E6</f>
        <v>1903</v>
      </c>
      <c r="G7" s="105"/>
      <c r="H7" s="106">
        <f>'Data Entry'!F6</f>
        <v>136</v>
      </c>
      <c r="I7" s="105"/>
      <c r="J7" s="106">
        <f>'Data Entry'!G6</f>
        <v>0</v>
      </c>
      <c r="K7" s="105"/>
      <c r="L7" s="106">
        <f>'Data Entry'!H6</f>
        <v>149</v>
      </c>
      <c r="M7" s="105"/>
      <c r="N7" s="106">
        <f>'Data Entry'!I6</f>
        <v>0</v>
      </c>
      <c r="O7" s="105"/>
      <c r="P7" s="106">
        <f>'Data Entry'!J6</f>
        <v>5675</v>
      </c>
      <c r="Q7" s="107"/>
    </row>
    <row r="8" spans="2:26" s="1" customFormat="1" ht="15" customHeight="1">
      <c r="B8" s="142" t="s">
        <v>8</v>
      </c>
      <c r="C8" s="103">
        <f>'Data Entry'!C7</f>
        <v>65</v>
      </c>
      <c r="D8" s="104">
        <f>'Data Entry'!D7</f>
        <v>73</v>
      </c>
      <c r="E8" s="105">
        <f>'Black or African-American'!$G7</f>
        <v>4.1022743817696501</v>
      </c>
      <c r="F8" s="106">
        <f>'Data Entry'!E7</f>
        <v>4</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77</v>
      </c>
      <c r="Q8" s="107">
        <f>'All Minorities'!G7</f>
        <v>2.6587570315147406</v>
      </c>
      <c r="R8"/>
      <c r="T8" s="1">
        <f>'Black or African-American'!L7</f>
        <v>1</v>
      </c>
      <c r="U8" s="1">
        <f>Hispanic!L7</f>
        <v>40</v>
      </c>
      <c r="V8" s="1">
        <f>Asian!L7</f>
        <v>139</v>
      </c>
      <c r="W8" s="1" t="e">
        <f>Hawaiian!L7</f>
        <v>#VALUE!</v>
      </c>
      <c r="X8" s="1">
        <f>'Am Indian'!L7</f>
        <v>139</v>
      </c>
      <c r="Y8" s="1" t="e">
        <f>'Other - Mixed'!L7</f>
        <v>#VALUE!</v>
      </c>
      <c r="Z8" s="1">
        <f>'All Minorities'!L7</f>
        <v>1</v>
      </c>
    </row>
    <row r="9" spans="2:26" s="1" customFormat="1" ht="15" customHeight="1">
      <c r="B9" s="142" t="s">
        <v>134</v>
      </c>
      <c r="C9" s="103">
        <f>'Data Entry'!C8</f>
        <v>173</v>
      </c>
      <c r="D9" s="108">
        <f>'Data Entry'!D8</f>
        <v>210</v>
      </c>
      <c r="E9" s="109">
        <f>'Black or African-American'!$G8</f>
        <v>1.0808456726581679</v>
      </c>
      <c r="F9" s="110">
        <f>'Data Entry'!E8</f>
        <v>5</v>
      </c>
      <c r="G9" s="109" t="str">
        <f>Hispanic!G8</f>
        <v>**</v>
      </c>
      <c r="H9" s="110">
        <f>'Data Entry'!F8</f>
        <v>0</v>
      </c>
      <c r="I9" s="109" t="str">
        <f>Asian!G8</f>
        <v>*</v>
      </c>
      <c r="J9" s="110">
        <f>'Data Entry'!G8</f>
        <v>0</v>
      </c>
      <c r="K9" s="109" t="str">
        <f>Hawaiian!G8</f>
        <v>*</v>
      </c>
      <c r="L9" s="110">
        <f>'Data Entry'!H8</f>
        <v>2</v>
      </c>
      <c r="M9" s="109" t="str">
        <f>'Am Indian'!G8</f>
        <v>*</v>
      </c>
      <c r="N9" s="110">
        <f>'Data Entry'!I8</f>
        <v>71</v>
      </c>
      <c r="O9" s="109" t="str">
        <f>'Other - Mixed'!G8</f>
        <v>*</v>
      </c>
      <c r="P9" s="110">
        <f>'Data Entry'!J8</f>
        <v>288</v>
      </c>
      <c r="Q9" s="111">
        <f>'All Minorities'!G8</f>
        <v>1.405299902409729</v>
      </c>
      <c r="R9"/>
      <c r="T9" s="1">
        <f>'Black or African-American'!L8</f>
        <v>2</v>
      </c>
      <c r="U9" s="1">
        <f>Hispanic!L8</f>
        <v>40</v>
      </c>
      <c r="V9" s="1">
        <f>Asian!L8</f>
        <v>139</v>
      </c>
      <c r="W9" s="1">
        <f>Hawaiian!L8</f>
        <v>139</v>
      </c>
      <c r="X9" s="1">
        <f>'Am Indian'!L8</f>
        <v>119</v>
      </c>
      <c r="Y9" s="1">
        <f>'Other - Mixed'!L8</f>
        <v>119</v>
      </c>
      <c r="Z9" s="1">
        <f>'All Minorities'!L8</f>
        <v>1</v>
      </c>
    </row>
    <row r="10" spans="2:26" s="1" customFormat="1" ht="15" customHeight="1">
      <c r="B10" s="142" t="s">
        <v>10</v>
      </c>
      <c r="C10" s="103">
        <f>'Data Entry'!C9</f>
        <v>22</v>
      </c>
      <c r="D10" s="112">
        <f>'Data Entry'!D9</f>
        <v>41</v>
      </c>
      <c r="E10" s="113">
        <f>'Black or African-American'!$G9</f>
        <v>1.5352813852813851</v>
      </c>
      <c r="F10" s="114">
        <f>'Data Entry'!E9</f>
        <v>1</v>
      </c>
      <c r="G10" s="113" t="str">
        <f>Hispanic!G9</f>
        <v>**</v>
      </c>
      <c r="H10" s="114">
        <f>'Data Entry'!F9</f>
        <v>0</v>
      </c>
      <c r="I10" s="113" t="str">
        <f>Asian!G9</f>
        <v>*</v>
      </c>
      <c r="J10" s="114">
        <f>'Data Entry'!G9</f>
        <v>0</v>
      </c>
      <c r="K10" s="113" t="str">
        <f>Hawaiian!G9</f>
        <v>*</v>
      </c>
      <c r="L10" s="114">
        <f>'Data Entry'!H9</f>
        <v>0</v>
      </c>
      <c r="M10" s="113" t="str">
        <f>'Am Indian'!G9</f>
        <v>*</v>
      </c>
      <c r="N10" s="114">
        <f>'Data Entry'!I9</f>
        <v>8</v>
      </c>
      <c r="O10" s="113" t="str">
        <f>'Other - Mixed'!G9</f>
        <v>*</v>
      </c>
      <c r="P10" s="114">
        <f>'Data Entry'!J9</f>
        <v>50</v>
      </c>
      <c r="Q10" s="115">
        <f>'All Minorities'!G9</f>
        <v>1.3652146464646464</v>
      </c>
      <c r="R10"/>
      <c r="T10" s="1">
        <f>'Black or African-American'!L9</f>
        <v>2</v>
      </c>
      <c r="U10" s="1">
        <f>Hispanic!L9</f>
        <v>40</v>
      </c>
      <c r="V10" s="1" t="e">
        <f>Asian!L9</f>
        <v>#VALUE!</v>
      </c>
      <c r="W10" s="1" t="e">
        <f>Hawaiian!L9</f>
        <v>#VALUE!</v>
      </c>
      <c r="X10" s="1">
        <f>'Am Indian'!L9</f>
        <v>139</v>
      </c>
      <c r="Y10" s="1">
        <f>'Other - Mixed'!L9</f>
        <v>101</v>
      </c>
      <c r="Z10" s="1">
        <f>'All Minorities'!L9</f>
        <v>2</v>
      </c>
    </row>
    <row r="11" spans="2:26" s="1" customFormat="1" ht="15" customHeight="1">
      <c r="B11" s="142" t="s">
        <v>11</v>
      </c>
      <c r="C11" s="103">
        <f>'Data Entry'!C10</f>
        <v>16</v>
      </c>
      <c r="D11" s="108">
        <f>'Data Entry'!D10</f>
        <v>25</v>
      </c>
      <c r="E11" s="109">
        <f>'Black or African-American'!$G10</f>
        <v>1.2872023809523809</v>
      </c>
      <c r="F11" s="110">
        <f>'Data Entry'!E10</f>
        <v>1</v>
      </c>
      <c r="G11" s="109" t="str">
        <f>Hispanic!G10</f>
        <v>**</v>
      </c>
      <c r="H11" s="110">
        <f>'Data Entry'!F10</f>
        <v>0</v>
      </c>
      <c r="I11" s="109" t="str">
        <f>Asian!G10</f>
        <v>*</v>
      </c>
      <c r="J11" s="110">
        <f>'Data Entry'!G10</f>
        <v>0</v>
      </c>
      <c r="K11" s="109" t="str">
        <f>Hawaiian!G10</f>
        <v>*</v>
      </c>
      <c r="L11" s="110">
        <f>'Data Entry'!H10</f>
        <v>0</v>
      </c>
      <c r="M11" s="109" t="str">
        <f>'Am Indian'!G10</f>
        <v>*</v>
      </c>
      <c r="N11" s="110">
        <f>'Data Entry'!I10</f>
        <v>3</v>
      </c>
      <c r="O11" s="109" t="str">
        <f>'Other - Mixed'!G10</f>
        <v>*</v>
      </c>
      <c r="P11" s="110">
        <f>'Data Entry'!J10</f>
        <v>29</v>
      </c>
      <c r="Q11" s="111">
        <f>'All Minorities'!G10</f>
        <v>1.0887586805555556</v>
      </c>
      <c r="R11"/>
      <c r="T11" s="1">
        <f>'Black or African-American'!L10</f>
        <v>2</v>
      </c>
      <c r="U11" s="1">
        <f>Hispanic!L10</f>
        <v>40</v>
      </c>
      <c r="V11" s="1" t="e">
        <f>Asian!L10</f>
        <v>#VALUE!</v>
      </c>
      <c r="W11" s="1" t="e">
        <f>Hawaiian!L10</f>
        <v>#VALUE!</v>
      </c>
      <c r="X11" s="1">
        <f>'Am Indian'!L10</f>
        <v>139</v>
      </c>
      <c r="Y11" s="1">
        <f>'Other - Mixed'!L10</f>
        <v>139</v>
      </c>
      <c r="Z11" s="1">
        <f>'All Minorities'!L10</f>
        <v>2</v>
      </c>
    </row>
    <row r="12" spans="2:26" s="1" customFormat="1" ht="15" customHeight="1">
      <c r="B12" s="142" t="s">
        <v>95</v>
      </c>
      <c r="C12" s="103">
        <f>'Data Entry'!C11</f>
        <v>109</v>
      </c>
      <c r="D12" s="112">
        <f>'Data Entry'!D11</f>
        <v>122</v>
      </c>
      <c r="E12" s="113">
        <f>'Black or African-American'!$G11</f>
        <v>0.92206203582350377</v>
      </c>
      <c r="F12" s="114">
        <f>'Data Entry'!E11</f>
        <v>3</v>
      </c>
      <c r="G12" s="113" t="str">
        <f>Hispanic!G11</f>
        <v>**</v>
      </c>
      <c r="H12" s="114">
        <f>'Data Entry'!F11</f>
        <v>0</v>
      </c>
      <c r="I12" s="113" t="str">
        <f>Asian!G11</f>
        <v>*</v>
      </c>
      <c r="J12" s="114">
        <f>'Data Entry'!G11</f>
        <v>0</v>
      </c>
      <c r="K12" s="113" t="str">
        <f>Hawaiian!G11</f>
        <v>*</v>
      </c>
      <c r="L12" s="114">
        <f>'Data Entry'!H11</f>
        <v>1</v>
      </c>
      <c r="M12" s="113" t="str">
        <f>'Am Indian'!G11</f>
        <v>*</v>
      </c>
      <c r="N12" s="114">
        <f>'Data Entry'!I11</f>
        <v>54</v>
      </c>
      <c r="O12" s="113" t="str">
        <f>'Other - Mixed'!G11</f>
        <v>*</v>
      </c>
      <c r="P12" s="114">
        <f>'Data Entry'!J11</f>
        <v>180</v>
      </c>
      <c r="Q12" s="115">
        <f>'All Minorities'!G11</f>
        <v>0.9919724770642202</v>
      </c>
      <c r="R12"/>
      <c r="T12" s="1">
        <f>'Black or African-American'!L11</f>
        <v>2</v>
      </c>
      <c r="U12" s="1">
        <f>Hispanic!L11</f>
        <v>40</v>
      </c>
      <c r="V12" s="1" t="e">
        <f>Asian!L11</f>
        <v>#VALUE!</v>
      </c>
      <c r="W12" s="1" t="e">
        <f>Hawaiian!L11</f>
        <v>#VALUE!</v>
      </c>
      <c r="X12" s="1">
        <f>'Am Indian'!L11</f>
        <v>139</v>
      </c>
      <c r="Y12" s="1">
        <f>'Other - Mixed'!L11</f>
        <v>100</v>
      </c>
      <c r="Z12" s="1">
        <f>'All Minorities'!L11</f>
        <v>2</v>
      </c>
    </row>
    <row r="13" spans="2:26" s="1" customFormat="1" ht="15" customHeight="1">
      <c r="B13" s="142" t="s">
        <v>13</v>
      </c>
      <c r="C13" s="103">
        <f>'Data Entry'!C12</f>
        <v>57</v>
      </c>
      <c r="D13" s="108">
        <f>'Data Entry'!D12</f>
        <v>70</v>
      </c>
      <c r="E13" s="109">
        <f>'Black or African-American'!$G12</f>
        <v>1.097210238711533</v>
      </c>
      <c r="F13" s="110">
        <f>'Data Entry'!E12</f>
        <v>3</v>
      </c>
      <c r="G13" s="109" t="str">
        <f>Hispanic!G12</f>
        <v>**</v>
      </c>
      <c r="H13" s="110">
        <f>'Data Entry'!F12</f>
        <v>0</v>
      </c>
      <c r="I13" s="109" t="str">
        <f>Asian!G12</f>
        <v>*</v>
      </c>
      <c r="J13" s="110">
        <f>'Data Entry'!G12</f>
        <v>0</v>
      </c>
      <c r="K13" s="109" t="str">
        <f>Hawaiian!G12</f>
        <v>*</v>
      </c>
      <c r="L13" s="110">
        <f>'Data Entry'!H12</f>
        <v>1</v>
      </c>
      <c r="M13" s="109" t="str">
        <f>'Am Indian'!G12</f>
        <v>*</v>
      </c>
      <c r="N13" s="110">
        <f>'Data Entry'!I12</f>
        <v>27</v>
      </c>
      <c r="O13" s="109" t="str">
        <f>'Other - Mixed'!G12</f>
        <v>*</v>
      </c>
      <c r="P13" s="110">
        <f>'Data Entry'!J12</f>
        <v>101</v>
      </c>
      <c r="Q13" s="111">
        <f>'All Minorities'!G12</f>
        <v>1.0730019493177387</v>
      </c>
      <c r="R13"/>
      <c r="T13" s="1">
        <f>'Black or African-American'!L12</f>
        <v>2</v>
      </c>
      <c r="U13" s="1">
        <f>Hispanic!L12</f>
        <v>40</v>
      </c>
      <c r="V13" s="1" t="e">
        <f>Asian!L12</f>
        <v>#VALUE!</v>
      </c>
      <c r="W13" s="1" t="e">
        <f>Hawaiian!L12</f>
        <v>#VALUE!</v>
      </c>
      <c r="X13" s="1">
        <f>'Am Indian'!L12</f>
        <v>139</v>
      </c>
      <c r="Y13" s="1">
        <f>'Other - Mixed'!L12</f>
        <v>101</v>
      </c>
      <c r="Z13" s="1">
        <f>'All Minorities'!L12</f>
        <v>2</v>
      </c>
    </row>
    <row r="14" spans="2:26" s="1" customFormat="1" ht="15" customHeight="1">
      <c r="B14" s="142" t="s">
        <v>133</v>
      </c>
      <c r="C14" s="103">
        <f>'Data Entry'!C13</f>
        <v>122</v>
      </c>
      <c r="D14" s="112">
        <f>'Data Entry'!D13</f>
        <v>125</v>
      </c>
      <c r="E14" s="113">
        <f>'Black or African-American'!$G13</f>
        <v>0.83430913348946134</v>
      </c>
      <c r="F14" s="114">
        <f>'Data Entry'!E13</f>
        <v>5</v>
      </c>
      <c r="G14" s="113" t="str">
        <f>Hispanic!G13</f>
        <v>**</v>
      </c>
      <c r="H14" s="114">
        <f>'Data Entry'!F13</f>
        <v>0</v>
      </c>
      <c r="I14" s="113" t="str">
        <f>Asian!G13</f>
        <v>*</v>
      </c>
      <c r="J14" s="114">
        <f>'Data Entry'!G13</f>
        <v>0</v>
      </c>
      <c r="K14" s="113" t="str">
        <f>Hawaiian!G13</f>
        <v>*</v>
      </c>
      <c r="L14" s="114">
        <f>'Data Entry'!H13</f>
        <v>2</v>
      </c>
      <c r="M14" s="113" t="str">
        <f>'Am Indian'!G13</f>
        <v>*</v>
      </c>
      <c r="N14" s="114">
        <f>'Data Entry'!I13</f>
        <v>34</v>
      </c>
      <c r="O14" s="113" t="str">
        <f>'Other - Mixed'!G13</f>
        <v>*</v>
      </c>
      <c r="P14" s="114">
        <f>'Data Entry'!J13</f>
        <v>166</v>
      </c>
      <c r="Q14" s="115">
        <f>'All Minorities'!G13</f>
        <v>0.7678948222691121</v>
      </c>
      <c r="R14"/>
      <c r="T14" s="1">
        <f>'Black or African-American'!L13</f>
        <v>2</v>
      </c>
      <c r="U14" s="1">
        <f>Hispanic!L13</f>
        <v>40</v>
      </c>
      <c r="V14" s="1" t="e">
        <f>Asian!L13</f>
        <v>#VALUE!</v>
      </c>
      <c r="W14" s="1" t="e">
        <f>Hawaiian!L13</f>
        <v>#VALUE!</v>
      </c>
      <c r="X14" s="1">
        <f>'Am Indian'!L13</f>
        <v>139</v>
      </c>
      <c r="Y14" s="1">
        <f>'Other - Mixed'!L13</f>
        <v>119</v>
      </c>
      <c r="Z14" s="1">
        <f>'All Minorities'!L13</f>
        <v>1</v>
      </c>
    </row>
    <row r="15" spans="2:26" s="1" customFormat="1" ht="33">
      <c r="B15" s="144" t="s">
        <v>123</v>
      </c>
      <c r="C15" s="103">
        <f>'Data Entry'!C14</f>
        <v>2</v>
      </c>
      <c r="D15" s="108">
        <f>'Data Entry'!D14</f>
        <v>16</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3</v>
      </c>
      <c r="O15" s="109" t="str">
        <f>'Other - Mixed'!G14</f>
        <v>*</v>
      </c>
      <c r="P15" s="110">
        <f>'Data Entry'!J14</f>
        <v>19</v>
      </c>
      <c r="Q15" s="111" t="str">
        <f>'All Minorities'!G14</f>
        <v>**</v>
      </c>
      <c r="R15"/>
      <c r="T15" s="1">
        <f>'Black or African-American'!L14</f>
        <v>20</v>
      </c>
      <c r="U15" s="1">
        <f>Hispanic!L14</f>
        <v>40</v>
      </c>
      <c r="V15" s="1" t="e">
        <f>Asian!L14</f>
        <v>#VALUE!</v>
      </c>
      <c r="W15" s="1" t="e">
        <f>Hawaiian!L14</f>
        <v>#VALUE!</v>
      </c>
      <c r="X15" s="1">
        <f>'Am Indian'!L14</f>
        <v>139</v>
      </c>
      <c r="Y15" s="1">
        <f>'Other - Mixed'!L14</f>
        <v>139</v>
      </c>
      <c r="Z15" s="1">
        <f>'All Minorities'!L14</f>
        <v>20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Muskegon</v>
      </c>
    </row>
    <row r="6" spans="1:12">
      <c r="A6" s="135" t="str">
        <f>CONCATENATE("Percentage of Minorities at Stages of the Juvenile Justice System, ", A5, " 2024")</f>
        <v>Percentage of Minorities at Stages of the Juvenile Justice System, County: Muskegon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2.2444052863436124</v>
      </c>
    </row>
    <row r="8" spans="1:12" ht="25.5" customHeight="1">
      <c r="A8" s="151" t="str">
        <f>CONCATENATE("Confinement, total N=", 'Data Entry'!B14)</f>
        <v>Confinement, total N=21</v>
      </c>
      <c r="B8" s="150">
        <f>'Data Entry'!D14/'Data Entry'!B14</f>
        <v>0.76190476190476186</v>
      </c>
      <c r="C8" s="150">
        <f>'Data Entry'!E14/'Data Entry'!B14</f>
        <v>0</v>
      </c>
      <c r="D8" s="150">
        <f>'Data Entry'!F14/'Data Entry'!B14</f>
        <v>0</v>
      </c>
      <c r="E8" s="150">
        <f>'Data Entry'!G14/'Data Entry'!B14</f>
        <v>0</v>
      </c>
      <c r="F8" s="150">
        <f>'Data Entry'!H14/'Data Entry'!B14</f>
        <v>0</v>
      </c>
      <c r="G8" s="150">
        <f>'Data Entry'!I14/'Data Entry'!B14</f>
        <v>0.14285714285714285</v>
      </c>
      <c r="H8" s="150">
        <f>SUM(D8:G8)/'Data Entry'!B14</f>
        <v>6.8027210884353739E-3</v>
      </c>
      <c r="I8" s="150">
        <f>'Data Entry'!C14/'Data Entry'!B14</f>
        <v>9.5238095238095233E-2</v>
      </c>
      <c r="K8" s="96" t="str">
        <f>A8</f>
        <v>Confinement, total N=21</v>
      </c>
      <c r="L8">
        <f>I14/(SUM(B14:G14))</f>
        <v>2.2444052863436124</v>
      </c>
    </row>
    <row r="9" spans="1:12">
      <c r="A9" s="128" t="str">
        <f>CONCATENATE("Delinquent Findings, total N=", 'Data Entry'!B12)</f>
        <v>Delinquent Findings, total N=160</v>
      </c>
      <c r="B9" s="150">
        <f>'Data Entry'!D12/'Data Entry'!B12</f>
        <v>0.4375</v>
      </c>
      <c r="C9" s="150">
        <f>'Data Entry'!E12/'Data Entry'!B12</f>
        <v>1.8749999999999999E-2</v>
      </c>
      <c r="D9" s="150">
        <f>'Data Entry'!F12/'Data Entry'!B12</f>
        <v>0</v>
      </c>
      <c r="E9" s="150">
        <f>'Data Entry'!G12/'Data Entry'!B12</f>
        <v>0</v>
      </c>
      <c r="F9" s="150">
        <f>'Data Entry'!H12/'Data Entry'!B12</f>
        <v>6.2500000000000003E-3</v>
      </c>
      <c r="G9" s="150">
        <f>'Data Entry'!I12/'Data Entry'!B12</f>
        <v>0.16875000000000001</v>
      </c>
      <c r="H9" s="150">
        <f>SUM(D9:G9)/'Data Entry'!B12</f>
        <v>1.0937500000000001E-3</v>
      </c>
      <c r="I9" s="150">
        <f>'Data Entry'!C12/'Data Entry'!B12</f>
        <v>0.35625000000000001</v>
      </c>
      <c r="K9" s="96" t="str">
        <f t="shared" si="0"/>
        <v>Delinquent Findings, total N=160</v>
      </c>
      <c r="L9">
        <f>I14/(SUM(B14:G14))</f>
        <v>2.2444052863436124</v>
      </c>
    </row>
    <row r="10" spans="1:12">
      <c r="A10" s="128" t="str">
        <f>CONCATENATE("Petitions, total N=", 'Data Entry'!B11)</f>
        <v>Petitions, total N=296</v>
      </c>
      <c r="B10" s="150">
        <f>'Data Entry'!D11/'Data Entry'!B11</f>
        <v>0.41216216216216217</v>
      </c>
      <c r="C10" s="150">
        <f>'Data Entry'!E11/'Data Entry'!B11</f>
        <v>1.0135135135135136E-2</v>
      </c>
      <c r="D10" s="150">
        <f>'Data Entry'!F11/'Data Entry'!B11</f>
        <v>0</v>
      </c>
      <c r="E10" s="150">
        <f>'Data Entry'!G11/'Data Entry'!B11</f>
        <v>0</v>
      </c>
      <c r="F10" s="150">
        <f>'Data Entry'!H11/'Data Entry'!B11</f>
        <v>3.3783783783783786E-3</v>
      </c>
      <c r="G10" s="150">
        <f>'Data Entry'!I11/'Data Entry'!B11</f>
        <v>0.18243243243243243</v>
      </c>
      <c r="H10" s="150">
        <f>SUM(D10:G10)/'Data Entry'!B11</f>
        <v>6.277392257121987E-4</v>
      </c>
      <c r="I10" s="150">
        <f>'Data Entry'!C11/'Data Entry'!B11</f>
        <v>0.36824324324324326</v>
      </c>
      <c r="K10" s="96" t="str">
        <f t="shared" si="0"/>
        <v>Petitions, total N=296</v>
      </c>
      <c r="L10">
        <f>I14/(SUM(B14:G14))</f>
        <v>2.2444052863436124</v>
      </c>
    </row>
    <row r="11" spans="1:12">
      <c r="A11" s="128" t="str">
        <f>CONCATENATE("Detentions, total N=", 'Data Entry'!B10)</f>
        <v>Detentions, total N=46</v>
      </c>
      <c r="B11" s="150">
        <f>'Data Entry'!D10/'Data Entry'!B10</f>
        <v>0.54347826086956519</v>
      </c>
      <c r="C11" s="150">
        <f>'Data Entry'!E10/'Data Entry'!B10</f>
        <v>2.1739130434782608E-2</v>
      </c>
      <c r="D11" s="150">
        <f>'Data Entry'!F10/'Data Entry'!B10</f>
        <v>0</v>
      </c>
      <c r="E11" s="150">
        <f>'Data Entry'!G10/'Data Entry'!B10</f>
        <v>0</v>
      </c>
      <c r="F11" s="150">
        <f>'Data Entry'!H10/'Data Entry'!B10</f>
        <v>0</v>
      </c>
      <c r="G11" s="150">
        <f>'Data Entry'!I10/'Data Entry'!B10</f>
        <v>6.5217391304347824E-2</v>
      </c>
      <c r="H11" s="150">
        <f>SUM(D11:G11)/'Data Entry'!B10</f>
        <v>1.4177693761814744E-3</v>
      </c>
      <c r="I11" s="150">
        <f>'Data Entry'!C10/'Data Entry'!B10</f>
        <v>0.34782608695652173</v>
      </c>
      <c r="K11" s="96" t="str">
        <f t="shared" si="0"/>
        <v>Detentions, total N=46</v>
      </c>
      <c r="L11">
        <f>I14/(SUM(B14:G14))</f>
        <v>2.2444052863436124</v>
      </c>
    </row>
    <row r="12" spans="1:12">
      <c r="A12" s="128" t="str">
        <f>CONCATENATE("Referrals, total N=", 'Data Entry'!B8)</f>
        <v>Referrals, total N=476</v>
      </c>
      <c r="B12" s="150">
        <f>'Data Entry'!D8/'Data Entry'!B8</f>
        <v>0.44117647058823528</v>
      </c>
      <c r="C12" s="150">
        <f>'Data Entry'!E8/'Data Entry'!B8</f>
        <v>1.050420168067227E-2</v>
      </c>
      <c r="D12" s="150">
        <f>'Data Entry'!F8/'Data Entry'!B8</f>
        <v>0</v>
      </c>
      <c r="E12" s="150">
        <f>'Data Entry'!G8/'Data Entry'!B8</f>
        <v>0</v>
      </c>
      <c r="F12" s="150">
        <f>'Data Entry'!H8/'Data Entry'!B8</f>
        <v>4.2016806722689074E-3</v>
      </c>
      <c r="G12" s="150">
        <f>'Data Entry'!I8/'Data Entry'!B8</f>
        <v>0.14915966386554622</v>
      </c>
      <c r="H12" s="150">
        <f>SUM(D12:G12)/'Data Entry'!B8</f>
        <v>3.2218769860885532E-4</v>
      </c>
      <c r="I12" s="150">
        <f>'Data Entry'!C8/'Data Entry'!B8</f>
        <v>0.36344537815126049</v>
      </c>
      <c r="K12" s="96" t="str">
        <f t="shared" si="0"/>
        <v>Referrals, total N=476</v>
      </c>
      <c r="L12">
        <f>I14/(SUM(B14:G14))</f>
        <v>2.2444052863436124</v>
      </c>
    </row>
    <row r="13" spans="1:12">
      <c r="A13" s="128" t="str">
        <f>CONCATENATE("Arrests, total N=", 'Data Entry'!B7)</f>
        <v>Arrests, total N=145</v>
      </c>
      <c r="B13" s="150">
        <f>'Data Entry'!D7/'Data Entry'!B7</f>
        <v>0.50344827586206897</v>
      </c>
      <c r="C13" s="150">
        <f>'Data Entry'!E7/'Data Entry'!B7</f>
        <v>2.7586206896551724E-2</v>
      </c>
      <c r="D13" s="150">
        <f>'Data Entry'!F7/'Data Entry'!B7</f>
        <v>0</v>
      </c>
      <c r="E13" s="150">
        <f>'Data Entry'!G7/'Data Entry'!B7</f>
        <v>0</v>
      </c>
      <c r="F13" s="150">
        <f>'Data Entry'!H7/'Data Entry'!B7</f>
        <v>0</v>
      </c>
      <c r="G13" s="150">
        <f>'Data Entry'!I7/'Data Entry'!B7</f>
        <v>0</v>
      </c>
      <c r="H13" s="150">
        <f>SUM(D13:G13)/'Data Entry'!B7</f>
        <v>0</v>
      </c>
      <c r="I13" s="150">
        <f>'Data Entry'!C7/'Data Entry'!B7</f>
        <v>0.44827586206896552</v>
      </c>
      <c r="K13" s="96" t="str">
        <f t="shared" si="0"/>
        <v>Arrests, total N=145</v>
      </c>
      <c r="L13">
        <f>I14/(SUM(B14:G14))</f>
        <v>2.2444052863436124</v>
      </c>
    </row>
    <row r="14" spans="1:12">
      <c r="A14" s="128" t="str">
        <f>CONCATENATE("Population, total N=", 'Data Entry'!B6)</f>
        <v>Population, total N=18412</v>
      </c>
      <c r="B14" s="150">
        <f>'Data Entry'!D6/'Data Entry'!B6</f>
        <v>0.18938735607212687</v>
      </c>
      <c r="C14" s="150">
        <f>'Data Entry'!E6/'Data Entry'!B6</f>
        <v>0.1033565066261134</v>
      </c>
      <c r="D14" s="150">
        <f>'Data Entry'!F6/'Data Entry'!B6</f>
        <v>7.3864870736476207E-3</v>
      </c>
      <c r="E14" s="150">
        <f>'Data Entry'!G6/'Data Entry'!B6</f>
        <v>0</v>
      </c>
      <c r="F14" s="150">
        <f>'Data Entry'!H6/'Data Entry'!B6</f>
        <v>8.0925483380404079E-3</v>
      </c>
      <c r="G14" s="150">
        <f>'Data Entry'!I6/'Data Entry'!B6</f>
        <v>0</v>
      </c>
      <c r="H14" s="150">
        <f>SUM(D14:G14)/'Data Entry'!B6</f>
        <v>8.4070363956593683E-7</v>
      </c>
      <c r="I14" s="150">
        <f>'Data Entry'!C6/'Data Entry'!B6</f>
        <v>0.69177710189007169</v>
      </c>
      <c r="K14" s="96" t="str">
        <f t="shared" si="0"/>
        <v>Population, total N=18412</v>
      </c>
      <c r="L14">
        <f>I14/(SUM(B14:G14))</f>
        <v>2.2444052863436124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Muskegon</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12737</v>
      </c>
      <c r="D7" s="104">
        <f>'Data Entry'!D6</f>
        <v>3487</v>
      </c>
      <c r="E7" s="105"/>
      <c r="F7" s="106">
        <f>'Data Entry'!E6</f>
        <v>1903</v>
      </c>
      <c r="G7" s="105"/>
      <c r="H7" s="106">
        <f>'Data Entry'!F6</f>
        <v>136</v>
      </c>
      <c r="I7" s="105"/>
      <c r="J7" s="106">
        <f>'Data Entry'!J6</f>
        <v>5675</v>
      </c>
      <c r="K7" s="107"/>
    </row>
    <row r="8" spans="2:30" s="1" customFormat="1" ht="15" customHeight="1">
      <c r="B8" s="121" t="s">
        <v>8</v>
      </c>
      <c r="C8" s="103">
        <f>'Data Entry'!C7</f>
        <v>65</v>
      </c>
      <c r="D8" s="104">
        <f>'Data Entry'!D7</f>
        <v>73</v>
      </c>
      <c r="E8" s="105">
        <f>'Black or African-American'!$G7</f>
        <v>4.1022743817696501</v>
      </c>
      <c r="F8" s="106">
        <f>'Data Entry'!E7</f>
        <v>4</v>
      </c>
      <c r="G8" s="105" t="str">
        <f>Hispanic!G7</f>
        <v>**</v>
      </c>
      <c r="H8" s="106">
        <f>'Data Entry'!F7</f>
        <v>0</v>
      </c>
      <c r="I8" s="105" t="str">
        <f>Asian!G7</f>
        <v>*</v>
      </c>
      <c r="J8" s="106">
        <f>'Data Entry'!J7</f>
        <v>77</v>
      </c>
      <c r="K8" s="107">
        <f>'All Minorities'!G7</f>
        <v>2.6587570315147406</v>
      </c>
      <c r="L8"/>
      <c r="N8" s="1">
        <f>'Black or African-American'!L7</f>
        <v>1</v>
      </c>
      <c r="O8" s="1">
        <f>Hispanic!L7</f>
        <v>40</v>
      </c>
      <c r="P8" s="1">
        <f>Asian!L7</f>
        <v>139</v>
      </c>
      <c r="Q8" s="1" t="e">
        <f>Hawaiian!L7</f>
        <v>#VALUE!</v>
      </c>
      <c r="R8" s="1">
        <f>'Am Indian'!L7</f>
        <v>139</v>
      </c>
      <c r="S8" s="1" t="e">
        <f>'Other - Mixed'!L7</f>
        <v>#VALUE!</v>
      </c>
      <c r="T8" s="1">
        <f>'All Minorities'!L7</f>
        <v>1</v>
      </c>
    </row>
    <row r="9" spans="2:30" s="1" customFormat="1" ht="15" customHeight="1">
      <c r="B9" s="121" t="s">
        <v>134</v>
      </c>
      <c r="C9" s="103">
        <f>'Data Entry'!C8</f>
        <v>173</v>
      </c>
      <c r="D9" s="108">
        <f>'Data Entry'!D8</f>
        <v>210</v>
      </c>
      <c r="E9" s="109">
        <f>'Black or African-American'!$G8</f>
        <v>1.0808456726581679</v>
      </c>
      <c r="F9" s="110">
        <f>'Data Entry'!E8</f>
        <v>5</v>
      </c>
      <c r="G9" s="109" t="str">
        <f>Hispanic!G8</f>
        <v>**</v>
      </c>
      <c r="H9" s="110">
        <f>'Data Entry'!F8</f>
        <v>0</v>
      </c>
      <c r="I9" s="109" t="str">
        <f>Asian!G8</f>
        <v>*</v>
      </c>
      <c r="J9" s="110">
        <f>'Data Entry'!J8</f>
        <v>288</v>
      </c>
      <c r="K9" s="111">
        <f>'All Minorities'!G8</f>
        <v>1.405299902409729</v>
      </c>
      <c r="L9"/>
      <c r="N9" s="1">
        <f>'Black or African-American'!L8</f>
        <v>2</v>
      </c>
      <c r="O9" s="1">
        <f>Hispanic!L8</f>
        <v>40</v>
      </c>
      <c r="P9" s="1">
        <f>Asian!L8</f>
        <v>139</v>
      </c>
      <c r="Q9" s="1">
        <f>Hawaiian!L8</f>
        <v>139</v>
      </c>
      <c r="R9" s="1">
        <f>'Am Indian'!L8</f>
        <v>119</v>
      </c>
      <c r="S9" s="1">
        <f>'Other - Mixed'!L8</f>
        <v>119</v>
      </c>
      <c r="T9" s="1">
        <f>'All Minorities'!L8</f>
        <v>1</v>
      </c>
    </row>
    <row r="10" spans="2:30" s="1" customFormat="1" ht="15" customHeight="1">
      <c r="B10" s="121" t="s">
        <v>10</v>
      </c>
      <c r="C10" s="103">
        <f>'Data Entry'!C9</f>
        <v>22</v>
      </c>
      <c r="D10" s="112">
        <f>'Data Entry'!D9</f>
        <v>41</v>
      </c>
      <c r="E10" s="113">
        <f>'Black or African-American'!$G9</f>
        <v>1.5352813852813851</v>
      </c>
      <c r="F10" s="114">
        <f>'Data Entry'!E9</f>
        <v>1</v>
      </c>
      <c r="G10" s="113" t="str">
        <f>Hispanic!G9</f>
        <v>**</v>
      </c>
      <c r="H10" s="114">
        <f>'Data Entry'!F9</f>
        <v>0</v>
      </c>
      <c r="I10" s="113" t="str">
        <f>Asian!G9</f>
        <v>*</v>
      </c>
      <c r="J10" s="114">
        <f>'Data Entry'!J9</f>
        <v>50</v>
      </c>
      <c r="K10" s="115">
        <f>'All Minorities'!G9</f>
        <v>1.3652146464646464</v>
      </c>
      <c r="L10"/>
      <c r="N10" s="1">
        <f>'Black or African-American'!L9</f>
        <v>2</v>
      </c>
      <c r="O10" s="1">
        <f>Hispanic!L9</f>
        <v>40</v>
      </c>
      <c r="P10" s="1" t="e">
        <f>Asian!L9</f>
        <v>#VALUE!</v>
      </c>
      <c r="Q10" s="1" t="e">
        <f>Hawaiian!L9</f>
        <v>#VALUE!</v>
      </c>
      <c r="R10" s="1">
        <f>'Am Indian'!L9</f>
        <v>139</v>
      </c>
      <c r="S10" s="1">
        <f>'Other - Mixed'!L9</f>
        <v>101</v>
      </c>
      <c r="T10" s="1">
        <f>'All Minorities'!L9</f>
        <v>2</v>
      </c>
    </row>
    <row r="11" spans="2:30" s="1" customFormat="1" ht="15" customHeight="1">
      <c r="B11" s="121" t="s">
        <v>11</v>
      </c>
      <c r="C11" s="103">
        <f>'Data Entry'!C10</f>
        <v>16</v>
      </c>
      <c r="D11" s="108">
        <f>'Data Entry'!D10</f>
        <v>25</v>
      </c>
      <c r="E11" s="109">
        <f>'Black or African-American'!$G10</f>
        <v>1.2872023809523809</v>
      </c>
      <c r="F11" s="110">
        <f>'Data Entry'!E10</f>
        <v>1</v>
      </c>
      <c r="G11" s="109" t="str">
        <f>Hispanic!G10</f>
        <v>**</v>
      </c>
      <c r="H11" s="110">
        <f>'Data Entry'!F10</f>
        <v>0</v>
      </c>
      <c r="I11" s="109" t="str">
        <f>Asian!G10</f>
        <v>*</v>
      </c>
      <c r="J11" s="110">
        <f>'Data Entry'!J10</f>
        <v>29</v>
      </c>
      <c r="K11" s="111">
        <f>'All Minorities'!G10</f>
        <v>1.0887586805555556</v>
      </c>
      <c r="L11"/>
      <c r="N11" s="1">
        <f>'Black or African-American'!L10</f>
        <v>2</v>
      </c>
      <c r="O11" s="1">
        <f>Hispanic!L10</f>
        <v>40</v>
      </c>
      <c r="P11" s="1" t="e">
        <f>Asian!L10</f>
        <v>#VALUE!</v>
      </c>
      <c r="Q11" s="1" t="e">
        <f>Hawaiian!L10</f>
        <v>#VALUE!</v>
      </c>
      <c r="R11" s="1">
        <f>'Am Indian'!L10</f>
        <v>139</v>
      </c>
      <c r="S11" s="1">
        <f>'Other - Mixed'!L10</f>
        <v>139</v>
      </c>
      <c r="T11" s="1">
        <f>'All Minorities'!L10</f>
        <v>2</v>
      </c>
    </row>
    <row r="12" spans="2:30" s="1" customFormat="1" ht="15" customHeight="1">
      <c r="B12" s="121" t="s">
        <v>95</v>
      </c>
      <c r="C12" s="103">
        <f>'Data Entry'!C11</f>
        <v>109</v>
      </c>
      <c r="D12" s="112">
        <f>'Data Entry'!D11</f>
        <v>122</v>
      </c>
      <c r="E12" s="113">
        <f>'Black or African-American'!$G11</f>
        <v>0.92206203582350377</v>
      </c>
      <c r="F12" s="114">
        <f>'Data Entry'!E11</f>
        <v>3</v>
      </c>
      <c r="G12" s="113" t="str">
        <f>Hispanic!G11</f>
        <v>**</v>
      </c>
      <c r="H12" s="114">
        <f>'Data Entry'!F11</f>
        <v>0</v>
      </c>
      <c r="I12" s="113" t="str">
        <f>Asian!G11</f>
        <v>*</v>
      </c>
      <c r="J12" s="114">
        <f>'Data Entry'!J11</f>
        <v>180</v>
      </c>
      <c r="K12" s="115">
        <f>'All Minorities'!G11</f>
        <v>0.9919724770642202</v>
      </c>
      <c r="L12"/>
      <c r="N12" s="1">
        <f>'Black or African-American'!L11</f>
        <v>2</v>
      </c>
      <c r="O12" s="1">
        <f>Hispanic!L11</f>
        <v>40</v>
      </c>
      <c r="P12" s="1" t="e">
        <f>Asian!L11</f>
        <v>#VALUE!</v>
      </c>
      <c r="Q12" s="1" t="e">
        <f>Hawaiian!L11</f>
        <v>#VALUE!</v>
      </c>
      <c r="R12" s="1">
        <f>'Am Indian'!L11</f>
        <v>139</v>
      </c>
      <c r="S12" s="1">
        <f>'Other - Mixed'!L11</f>
        <v>100</v>
      </c>
      <c r="T12" s="1">
        <f>'All Minorities'!L11</f>
        <v>2</v>
      </c>
    </row>
    <row r="13" spans="2:30" s="1" customFormat="1" ht="15" customHeight="1">
      <c r="B13" s="121" t="s">
        <v>13</v>
      </c>
      <c r="C13" s="103">
        <f>'Data Entry'!C12</f>
        <v>57</v>
      </c>
      <c r="D13" s="108">
        <f>'Data Entry'!D12</f>
        <v>70</v>
      </c>
      <c r="E13" s="109">
        <f>'Black or African-American'!$G12</f>
        <v>1.097210238711533</v>
      </c>
      <c r="F13" s="110">
        <f>'Data Entry'!E12</f>
        <v>3</v>
      </c>
      <c r="G13" s="109" t="str">
        <f>Hispanic!G12</f>
        <v>**</v>
      </c>
      <c r="H13" s="110">
        <f>'Data Entry'!F12</f>
        <v>0</v>
      </c>
      <c r="I13" s="109" t="str">
        <f>Asian!G12</f>
        <v>*</v>
      </c>
      <c r="J13" s="110">
        <f>'Data Entry'!J12</f>
        <v>101</v>
      </c>
      <c r="K13" s="111">
        <f>'All Minorities'!G12</f>
        <v>1.0730019493177387</v>
      </c>
      <c r="L13"/>
      <c r="N13" s="1">
        <f>'Black or African-American'!L12</f>
        <v>2</v>
      </c>
      <c r="O13" s="1">
        <f>Hispanic!L12</f>
        <v>40</v>
      </c>
      <c r="P13" s="1" t="e">
        <f>Asian!L12</f>
        <v>#VALUE!</v>
      </c>
      <c r="Q13" s="1" t="e">
        <f>Hawaiian!L12</f>
        <v>#VALUE!</v>
      </c>
      <c r="R13" s="1">
        <f>'Am Indian'!L12</f>
        <v>139</v>
      </c>
      <c r="S13" s="1">
        <f>'Other - Mixed'!L12</f>
        <v>101</v>
      </c>
      <c r="T13" s="1">
        <f>'All Minorities'!L12</f>
        <v>2</v>
      </c>
      <c r="W13" s="8"/>
      <c r="X13" s="8"/>
      <c r="Y13" s="8"/>
      <c r="Z13" s="8"/>
      <c r="AA13" s="8"/>
      <c r="AB13" s="8"/>
      <c r="AC13" s="8"/>
      <c r="AD13" s="8"/>
    </row>
    <row r="14" spans="2:30" s="1" customFormat="1" ht="15" customHeight="1">
      <c r="B14" s="121" t="s">
        <v>14</v>
      </c>
      <c r="C14" s="103">
        <f>'Data Entry'!C13</f>
        <v>122</v>
      </c>
      <c r="D14" s="112">
        <f>'Data Entry'!D13</f>
        <v>125</v>
      </c>
      <c r="E14" s="113">
        <f>'Black or African-American'!$G13</f>
        <v>0.83430913348946134</v>
      </c>
      <c r="F14" s="114">
        <f>'Data Entry'!E13</f>
        <v>5</v>
      </c>
      <c r="G14" s="113" t="str">
        <f>Hispanic!G13</f>
        <v>**</v>
      </c>
      <c r="H14" s="114">
        <f>'Data Entry'!F13</f>
        <v>0</v>
      </c>
      <c r="I14" s="113" t="str">
        <f>Asian!G13</f>
        <v>*</v>
      </c>
      <c r="J14" s="114">
        <f>'Data Entry'!J13</f>
        <v>166</v>
      </c>
      <c r="K14" s="115">
        <f>'All Minorities'!G13</f>
        <v>0.7678948222691121</v>
      </c>
      <c r="L14"/>
      <c r="N14" s="1">
        <f>'Black or African-American'!L13</f>
        <v>2</v>
      </c>
      <c r="O14" s="1">
        <f>Hispanic!L13</f>
        <v>40</v>
      </c>
      <c r="P14" s="1" t="e">
        <f>Asian!L13</f>
        <v>#VALUE!</v>
      </c>
      <c r="Q14" s="1" t="e">
        <f>Hawaiian!L13</f>
        <v>#VALUE!</v>
      </c>
      <c r="R14" s="1">
        <f>'Am Indian'!L13</f>
        <v>139</v>
      </c>
      <c r="S14" s="1">
        <f>'Other - Mixed'!L13</f>
        <v>119</v>
      </c>
      <c r="T14" s="1">
        <f>'All Minorities'!L13</f>
        <v>1</v>
      </c>
      <c r="W14" s="8"/>
      <c r="X14" s="8"/>
      <c r="Y14" s="8"/>
      <c r="Z14" s="8"/>
      <c r="AA14" s="8"/>
      <c r="AB14" s="8"/>
      <c r="AC14" s="8"/>
      <c r="AD14" s="8"/>
    </row>
    <row r="15" spans="2:30" s="1" customFormat="1" ht="33">
      <c r="B15" s="126" t="s">
        <v>123</v>
      </c>
      <c r="C15" s="103">
        <f>'Data Entry'!C14</f>
        <v>2</v>
      </c>
      <c r="D15" s="108">
        <f>'Data Entry'!D14</f>
        <v>16</v>
      </c>
      <c r="E15" s="109" t="str">
        <f>'Black or African-American'!$G14</f>
        <v>**</v>
      </c>
      <c r="F15" s="110">
        <f>'Data Entry'!E14</f>
        <v>0</v>
      </c>
      <c r="G15" s="109" t="str">
        <f>Hispanic!G14</f>
        <v>**</v>
      </c>
      <c r="H15" s="110">
        <f>'Data Entry'!F14</f>
        <v>0</v>
      </c>
      <c r="I15" s="109" t="str">
        <f>Asian!G14</f>
        <v>*</v>
      </c>
      <c r="J15" s="110">
        <f>'Data Entry'!J14</f>
        <v>19</v>
      </c>
      <c r="K15" s="111" t="str">
        <f>'All Minorities'!G14</f>
        <v>**</v>
      </c>
      <c r="L15"/>
      <c r="N15" s="1">
        <f>'Black or African-American'!L14</f>
        <v>20</v>
      </c>
      <c r="O15" s="1">
        <f>Hispanic!L14</f>
        <v>40</v>
      </c>
      <c r="P15" s="1" t="e">
        <f>Asian!L14</f>
        <v>#VALUE!</v>
      </c>
      <c r="Q15" s="1" t="e">
        <f>Hawaiian!L14</f>
        <v>#VALUE!</v>
      </c>
      <c r="R15" s="1">
        <f>'Am Indian'!L14</f>
        <v>139</v>
      </c>
      <c r="S15" s="1">
        <f>'Other - Mixed'!L14</f>
        <v>139</v>
      </c>
      <c r="T15" s="1">
        <f>'All Minorities'!L14</f>
        <v>20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Muskegon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12737</v>
      </c>
      <c r="D6" s="34"/>
      <c r="E6" s="33">
        <f>'Data Entry'!D6</f>
        <v>3487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65</v>
      </c>
      <c r="D7" s="34">
        <f>IF((AND(C66&gt;0,C7&gt;0)),(C7/C66),0)</f>
        <v>5.1032425217869202</v>
      </c>
      <c r="E7" s="33">
        <f>'Data Entry'!D7</f>
        <v>73</v>
      </c>
      <c r="F7" s="34">
        <f>IF((AND($E$7&gt;0,$D$66&gt;0)),($E$7/$D$66),0)</f>
        <v>20.934901061084027</v>
      </c>
      <c r="G7" s="39">
        <f>IF(L$6=100,"*",IF(M7=FALSE,"--",IF(K7=20,"**",($F7/$D7))))</f>
        <v>4.1022743817696501</v>
      </c>
      <c r="H7" s="40"/>
      <c r="I7" s="41"/>
      <c r="J7" s="40">
        <f>IF((ABS($U7)&gt;Defaults!D$7),1,2)</f>
        <v>1</v>
      </c>
      <c r="K7" s="39">
        <f>IF((AND(N7&gt;Defaults!B$12,(N7+O7)&gt;Defaults!B$13, P7 &gt; Defaults!B$12, (P7+Q7) &gt; Defaults!B$13)),1,20)</f>
        <v>1</v>
      </c>
      <c r="L7" s="1">
        <f>(J7*K7+L$6)-1</f>
        <v>1</v>
      </c>
      <c r="M7" s="1" t="b">
        <f t="shared" ref="M7:M15" si="0">(ISNUMBER(J7))</f>
        <v>1</v>
      </c>
      <c r="N7" s="42">
        <f t="shared" ref="N7:N15" si="1">E7</f>
        <v>73</v>
      </c>
      <c r="O7" s="42">
        <f>E6-E7</f>
        <v>3414</v>
      </c>
      <c r="P7" s="42">
        <f t="shared" ref="P7:P15" si="2">C7</f>
        <v>65</v>
      </c>
      <c r="Q7" s="42">
        <f>C6-C7</f>
        <v>12672</v>
      </c>
      <c r="R7" s="42">
        <f t="shared" ref="R7:R15" si="3">SUM(N7:Q7)</f>
        <v>16224</v>
      </c>
      <c r="S7" s="30">
        <f t="shared" ref="S7:S15" si="4">R7*((((N7*Q7)-(O7*P7))^2))</f>
        <v>8021377559654784</v>
      </c>
      <c r="T7" s="30">
        <f t="shared" ref="T7:T15" si="5">(N7+O7)*(P7+Q7)*(N7+P7)*(O7+Q7)</f>
        <v>98593037542692</v>
      </c>
      <c r="U7" s="31">
        <f t="shared" ref="U7:U15" si="6">IF((S7&gt;0),S7/T7,"- -")</f>
        <v>81.358458564393345</v>
      </c>
    </row>
    <row r="8" spans="2:21" ht="18" customHeight="1">
      <c r="B8" s="32" t="str">
        <f>'Data Entry'!A8</f>
        <v>3. Refer to Juvenile Court</v>
      </c>
      <c r="C8" s="33">
        <f>'Data Entry'!C8</f>
        <v>173</v>
      </c>
      <c r="D8" s="34">
        <f>IF((AND(C67&gt;0,C8&gt;0)),(C8/C67),0)</f>
        <v>266.15384615384613</v>
      </c>
      <c r="E8" s="33">
        <f>'Data Entry'!D8</f>
        <v>210</v>
      </c>
      <c r="F8" s="34">
        <f>IF((AND($E$8&gt;0,$D$67&gt;0)),($E8/$D67),0)</f>
        <v>287.67123287671234</v>
      </c>
      <c r="G8" s="39">
        <f t="shared" ref="G8:G15" si="7">IF(L$6=100,"*",IF(M8=FALSE,"--",IF(K8=20,"**",($F8/$D8))))</f>
        <v>1.0808456726581679</v>
      </c>
      <c r="H8" s="40"/>
      <c r="I8" s="41"/>
      <c r="J8" s="40">
        <f>IF((ABS($U8)&gt;Defaults!D$7),1,2)</f>
        <v>2</v>
      </c>
      <c r="K8" s="39">
        <f>IF((AND(N8&gt;Defaults!B$12,(N8+O8)&gt;Defaults!B$13, P8 &gt; Defaults!B$12, (P8+Q8) &gt; Defaults!B$13)),1,20)</f>
        <v>1</v>
      </c>
      <c r="L8" s="1">
        <f t="shared" ref="L8:L15" si="8">(J8*K8+L$6)-1</f>
        <v>2</v>
      </c>
      <c r="M8" s="1" t="b">
        <f t="shared" si="0"/>
        <v>1</v>
      </c>
      <c r="N8" s="42">
        <f t="shared" si="1"/>
        <v>210</v>
      </c>
      <c r="O8" s="42">
        <f>((D67*L67)-E8)+0.05</f>
        <v>-136.94999999999999</v>
      </c>
      <c r="P8" s="42">
        <f t="shared" si="2"/>
        <v>173</v>
      </c>
      <c r="Q8" s="42">
        <f>(C$67*L67)-C8</f>
        <v>-108</v>
      </c>
      <c r="R8" s="42">
        <f t="shared" si="3"/>
        <v>138.05000000000001</v>
      </c>
      <c r="S8" s="30">
        <f t="shared" si="4"/>
        <v>141480890.73112461</v>
      </c>
      <c r="T8" s="30">
        <f t="shared" si="5"/>
        <v>-445461109.76250005</v>
      </c>
      <c r="U8" s="31">
        <f t="shared" si="6"/>
        <v>-0.31760548256739157</v>
      </c>
    </row>
    <row r="9" spans="2:21" ht="18" customHeight="1">
      <c r="B9" s="32" t="str">
        <f>'Data Entry'!A9</f>
        <v xml:space="preserve">4. Cases Diverted </v>
      </c>
      <c r="C9" s="33">
        <f>'Data Entry'!C9</f>
        <v>22</v>
      </c>
      <c r="D9" s="34">
        <f>IF((AND(C68&gt;0,C9&gt;0)),((C9/C68)),0)</f>
        <v>12.716763005780347</v>
      </c>
      <c r="E9" s="33">
        <f>'Data Entry'!D9</f>
        <v>41</v>
      </c>
      <c r="F9" s="34">
        <f>IF((AND($E$9&gt;0,$D$68&gt;0)),(($E$9/$D$68)),0)</f>
        <v>19.523809523809522</v>
      </c>
      <c r="G9" s="39">
        <f t="shared" si="7"/>
        <v>1.5352813852813851</v>
      </c>
      <c r="H9" s="40"/>
      <c r="I9" s="41"/>
      <c r="J9" s="40">
        <f>IF((ABS($U9)&gt;Defaults!D$7),1,2)</f>
        <v>2</v>
      </c>
      <c r="K9" s="39">
        <f>IF((AND(N9&gt;Defaults!B$12,(N9+O9)&gt;Defaults!B$13, P9 &gt; Defaults!B$12, (P9+Q9) &gt; Defaults!B$13)),1,20)</f>
        <v>1</v>
      </c>
      <c r="L9" s="1">
        <f t="shared" si="8"/>
        <v>2</v>
      </c>
      <c r="M9" s="1" t="b">
        <f t="shared" si="0"/>
        <v>1</v>
      </c>
      <c r="N9" s="42">
        <f t="shared" si="1"/>
        <v>41</v>
      </c>
      <c r="O9" s="42">
        <f>(D$68*L68)-E9</f>
        <v>169</v>
      </c>
      <c r="P9" s="42">
        <f t="shared" si="2"/>
        <v>22</v>
      </c>
      <c r="Q9" s="42">
        <f>(C$68*L68)-C9</f>
        <v>151</v>
      </c>
      <c r="R9" s="42">
        <f t="shared" si="3"/>
        <v>383</v>
      </c>
      <c r="S9" s="30">
        <f t="shared" si="4"/>
        <v>2342324207</v>
      </c>
      <c r="T9" s="30">
        <f t="shared" si="5"/>
        <v>732412800</v>
      </c>
      <c r="U9" s="31">
        <f t="shared" si="6"/>
        <v>3.1980929429414671</v>
      </c>
    </row>
    <row r="10" spans="2:21" ht="18" customHeight="1">
      <c r="B10" s="32" t="str">
        <f>'Data Entry'!A10</f>
        <v>5. Cases Involving Secure Detention</v>
      </c>
      <c r="C10" s="33">
        <f>'Data Entry'!C10</f>
        <v>16</v>
      </c>
      <c r="D10" s="34">
        <f>IF(((AND(C68&gt;0,C10&gt;0))),(C10/(C68)),0)</f>
        <v>9.2485549132947984</v>
      </c>
      <c r="E10" s="33">
        <f>'Data Entry'!D10</f>
        <v>25</v>
      </c>
      <c r="F10" s="34">
        <f>IF(((AND($E$10&gt;0,$D$68&gt;0))),($E$10/($D$68)),0)</f>
        <v>11.904761904761905</v>
      </c>
      <c r="G10" s="39">
        <f t="shared" si="7"/>
        <v>1.2872023809523809</v>
      </c>
      <c r="H10" s="40"/>
      <c r="I10" s="41"/>
      <c r="J10" s="40">
        <f>IF((ABS($U10)&gt;Defaults!D$7),1,2)</f>
        <v>2</v>
      </c>
      <c r="K10" s="39">
        <f>IF((AND(N10&gt;Defaults!B$12,(N10+O10)&gt;Defaults!B$13, P10 &gt; Defaults!B$12, (P10+Q10) &gt; Defaults!B$13)),1,20)</f>
        <v>1</v>
      </c>
      <c r="L10" s="1">
        <f t="shared" si="8"/>
        <v>2</v>
      </c>
      <c r="M10" s="1" t="b">
        <f t="shared" si="0"/>
        <v>1</v>
      </c>
      <c r="N10" s="42">
        <f t="shared" si="1"/>
        <v>25</v>
      </c>
      <c r="O10" s="42">
        <f>(D$68*L68)-E10</f>
        <v>185</v>
      </c>
      <c r="P10" s="42">
        <f t="shared" si="2"/>
        <v>16</v>
      </c>
      <c r="Q10" s="42">
        <f>(C$68*L68)-C10</f>
        <v>157</v>
      </c>
      <c r="R10" s="42">
        <f t="shared" si="3"/>
        <v>383</v>
      </c>
      <c r="S10" s="30">
        <f t="shared" si="4"/>
        <v>356659175</v>
      </c>
      <c r="T10" s="30">
        <f t="shared" si="5"/>
        <v>509419260</v>
      </c>
      <c r="U10" s="31">
        <f t="shared" si="6"/>
        <v>0.70012895664761476</v>
      </c>
    </row>
    <row r="11" spans="2:21" ht="18" customHeight="1">
      <c r="B11" s="32" t="str">
        <f>'Data Entry'!A11</f>
        <v>6. Cases Petitioned (Charge Filed)</v>
      </c>
      <c r="C11" s="33">
        <f>'Data Entry'!C11</f>
        <v>109</v>
      </c>
      <c r="D11" s="34">
        <f>IF(((AND(C68&gt;0,C11&gt;0))),(C11/(C68)),0)</f>
        <v>63.005780346820806</v>
      </c>
      <c r="E11" s="33">
        <f>'Data Entry'!D11</f>
        <v>122</v>
      </c>
      <c r="F11" s="34">
        <f>IF(((AND($E$11&gt;0,$D$68&gt;0))),($E$11/($D$68)),0)</f>
        <v>58.095238095238095</v>
      </c>
      <c r="G11" s="39">
        <f t="shared" si="7"/>
        <v>0.92206203582350377</v>
      </c>
      <c r="H11" s="40"/>
      <c r="I11" s="41"/>
      <c r="J11" s="40">
        <f>IF((ABS($U11)&gt;Defaults!D$7),1,2)</f>
        <v>2</v>
      </c>
      <c r="K11" s="39">
        <f>IF((AND(N11&gt;Defaults!B$12,(N11+O11)&gt;Defaults!B$13, P11 &gt; Defaults!B$12, (P11+Q11) &gt; Defaults!B$13)),1,20)</f>
        <v>1</v>
      </c>
      <c r="L11" s="1">
        <f t="shared" si="8"/>
        <v>2</v>
      </c>
      <c r="M11" s="1" t="b">
        <f t="shared" si="0"/>
        <v>1</v>
      </c>
      <c r="N11" s="42">
        <f t="shared" si="1"/>
        <v>122</v>
      </c>
      <c r="O11" s="42">
        <f>(D$68*L68)-E11</f>
        <v>88</v>
      </c>
      <c r="P11" s="42">
        <f t="shared" si="2"/>
        <v>109</v>
      </c>
      <c r="Q11" s="42">
        <f>(C$68*L68)-C11</f>
        <v>64</v>
      </c>
      <c r="R11" s="42">
        <f t="shared" si="3"/>
        <v>383</v>
      </c>
      <c r="S11" s="30">
        <f t="shared" si="4"/>
        <v>1218957248</v>
      </c>
      <c r="T11" s="30">
        <f t="shared" si="5"/>
        <v>1275618960</v>
      </c>
      <c r="U11" s="31">
        <f t="shared" si="6"/>
        <v>0.95558100516160405</v>
      </c>
    </row>
    <row r="12" spans="2:21" ht="18" customHeight="1">
      <c r="B12" s="32" t="str">
        <f>'Data Entry'!A12</f>
        <v>7. Cases Resulting in Delinquent Findings</v>
      </c>
      <c r="C12" s="33">
        <f>'Data Entry'!C12</f>
        <v>57</v>
      </c>
      <c r="D12" s="34">
        <f>IF(((AND(C69&gt;0,C12&gt;0))),(C12/(C69)),0)</f>
        <v>52.293577981651374</v>
      </c>
      <c r="E12" s="33">
        <f>'Data Entry'!D12</f>
        <v>70</v>
      </c>
      <c r="F12" s="34">
        <f>IF(((AND($D$69&gt;0,$E$12&gt;0))),(E12/(D69)),0)</f>
        <v>57.377049180327873</v>
      </c>
      <c r="G12" s="39">
        <f t="shared" si="7"/>
        <v>1.097210238711533</v>
      </c>
      <c r="H12" s="40"/>
      <c r="I12" s="41"/>
      <c r="J12" s="40">
        <f>IF((ABS($U12)&gt;Defaults!D$7),1,2)</f>
        <v>2</v>
      </c>
      <c r="K12" s="39">
        <f>IF((AND(N12&gt;Defaults!B$12,(N12+O12)&gt;Defaults!B$13, P12 &gt; Defaults!B$12, (P12+Q12) &gt; Defaults!B$13)),1,20)</f>
        <v>1</v>
      </c>
      <c r="L12" s="1">
        <f t="shared" si="8"/>
        <v>2</v>
      </c>
      <c r="M12" s="1" t="b">
        <f t="shared" si="0"/>
        <v>1</v>
      </c>
      <c r="N12" s="42">
        <f t="shared" si="1"/>
        <v>70</v>
      </c>
      <c r="O12" s="42">
        <f>(D69*L69)-E12</f>
        <v>52</v>
      </c>
      <c r="P12" s="42">
        <f t="shared" si="2"/>
        <v>57</v>
      </c>
      <c r="Q12" s="42">
        <f>(C69*L69)-C12</f>
        <v>52.000000000000014</v>
      </c>
      <c r="R12" s="42">
        <f t="shared" si="3"/>
        <v>231</v>
      </c>
      <c r="S12" s="30">
        <f t="shared" si="4"/>
        <v>105561456.00000028</v>
      </c>
      <c r="T12" s="30">
        <f t="shared" si="5"/>
        <v>175639984.00000006</v>
      </c>
      <c r="U12" s="31">
        <f t="shared" si="6"/>
        <v>0.60101039407974577</v>
      </c>
    </row>
    <row r="13" spans="2:21" ht="18" customHeight="1">
      <c r="B13" s="32" t="str">
        <f>'Data Entry'!A13</f>
        <v>8. Cases Resulting in Probation Placement</v>
      </c>
      <c r="C13" s="33">
        <f>'Data Entry'!C13</f>
        <v>122</v>
      </c>
      <c r="D13" s="34">
        <f>IF(((AND(C70&gt;0,C13&gt;0))),(C13/(C70)),0)</f>
        <v>214.03508771929828</v>
      </c>
      <c r="E13" s="33">
        <f>'Data Entry'!D13</f>
        <v>125</v>
      </c>
      <c r="F13" s="34">
        <f>IF(((AND($D$70&gt;0,$E$13&gt;0))),($E$13/($D$70)),0)</f>
        <v>178.57142857142858</v>
      </c>
      <c r="G13" s="39">
        <f t="shared" si="7"/>
        <v>0.83430913348946134</v>
      </c>
      <c r="H13" s="40"/>
      <c r="I13" s="41"/>
      <c r="J13" s="40">
        <f>IF((ABS($U13)&gt;Defaults!D$7),1,2)</f>
        <v>2</v>
      </c>
      <c r="K13" s="39">
        <f>IF((AND(N13&gt;Defaults!B$12,(N13+O13)&gt;Defaults!B$13, P13 &gt; Defaults!B$12, (P13+Q13) &gt; Defaults!B$13)),1,20)</f>
        <v>1</v>
      </c>
      <c r="L13" s="1">
        <f t="shared" si="8"/>
        <v>2</v>
      </c>
      <c r="M13" s="1" t="b">
        <f t="shared" si="0"/>
        <v>1</v>
      </c>
      <c r="N13" s="42">
        <f t="shared" si="1"/>
        <v>125</v>
      </c>
      <c r="O13" s="42">
        <f>(D70*L70)-E13</f>
        <v>-55</v>
      </c>
      <c r="P13" s="42">
        <f t="shared" si="2"/>
        <v>122</v>
      </c>
      <c r="Q13" s="42">
        <f>(C70*L70)-C13</f>
        <v>-65</v>
      </c>
      <c r="R13" s="42">
        <f t="shared" si="3"/>
        <v>127</v>
      </c>
      <c r="S13" s="30">
        <f t="shared" si="4"/>
        <v>254282575</v>
      </c>
      <c r="T13" s="30">
        <f t="shared" si="5"/>
        <v>-118263600</v>
      </c>
      <c r="U13" s="31">
        <f t="shared" si="6"/>
        <v>-2.1501338958056411</v>
      </c>
    </row>
    <row r="14" spans="2:21" ht="30.75" customHeight="1">
      <c r="B14" s="32" t="str">
        <f>'Data Entry'!A14</f>
        <v xml:space="preserve">9. Cases Resulting in Confinement in Secure Juvenile Correctional Facilities </v>
      </c>
      <c r="C14" s="33">
        <f>'Data Entry'!C14</f>
        <v>2</v>
      </c>
      <c r="D14" s="34">
        <f>IF(((AND(C70&gt;0,C14&gt;0))), ((C14/(C70))),0)</f>
        <v>3.5087719298245617</v>
      </c>
      <c r="E14" s="33">
        <f>'Data Entry'!D14</f>
        <v>16</v>
      </c>
      <c r="F14" s="34">
        <f>IF(((AND($D$70&gt;0,$E$14&gt;0))), (($E$14/($D$70))),0)</f>
        <v>22.857142857142858</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16</v>
      </c>
      <c r="O14" s="42">
        <f>(D70*L70)-E14</f>
        <v>54</v>
      </c>
      <c r="P14" s="42">
        <f t="shared" si="2"/>
        <v>2</v>
      </c>
      <c r="Q14" s="42">
        <f>(C70*L70)-C14</f>
        <v>54.999999999999993</v>
      </c>
      <c r="R14" s="42">
        <f t="shared" si="3"/>
        <v>127</v>
      </c>
      <c r="S14" s="30">
        <f t="shared" si="4"/>
        <v>75689967.99999997</v>
      </c>
      <c r="T14" s="30">
        <f t="shared" si="5"/>
        <v>7828379.9999999981</v>
      </c>
      <c r="U14" s="31">
        <f t="shared" si="6"/>
        <v>9.6686629928542036</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122</v>
      </c>
      <c r="P15" s="42">
        <f t="shared" si="2"/>
        <v>0</v>
      </c>
      <c r="Q15" s="42">
        <f>(C69*L69)-C15</f>
        <v>109.00000000000001</v>
      </c>
      <c r="R15" s="42">
        <f t="shared" si="3"/>
        <v>231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12.737</v>
      </c>
      <c r="D42" s="56">
        <f>E6/1000</f>
        <v>3.4870000000000001</v>
      </c>
      <c r="E42" s="56">
        <f>MAX(C42:D42)</f>
        <v>12.737</v>
      </c>
      <c r="G42" s="1" t="str">
        <f>B42</f>
        <v>per 1000 youth</v>
      </c>
      <c r="L42" s="57">
        <v>1000</v>
      </c>
      <c r="M42" s="57"/>
      <c r="R42" s="49"/>
    </row>
    <row r="43" spans="2:18" ht="15" hidden="1" customHeight="1">
      <c r="B43" s="49" t="s">
        <v>87</v>
      </c>
      <c r="C43" s="56">
        <f>C7/100</f>
        <v>0.65</v>
      </c>
      <c r="D43" s="56">
        <f>E7/100</f>
        <v>0.73</v>
      </c>
      <c r="E43" s="56">
        <f>MAX(C43:D43,0)</f>
        <v>0.73</v>
      </c>
      <c r="G43" s="1" t="str">
        <f>B43</f>
        <v>per 100 arrests</v>
      </c>
      <c r="L43" s="57">
        <v>100</v>
      </c>
      <c r="M43" s="57"/>
      <c r="R43" s="49"/>
    </row>
    <row r="44" spans="2:18" ht="15" hidden="1" customHeight="1">
      <c r="B44" s="49" t="s">
        <v>88</v>
      </c>
      <c r="C44" s="56">
        <f>C8/100</f>
        <v>1.73</v>
      </c>
      <c r="D44" s="56">
        <f>E8/100</f>
        <v>2.1</v>
      </c>
      <c r="E44" s="56">
        <f>MAX(C44:D44,0)</f>
        <v>2.1</v>
      </c>
      <c r="G44" s="1" t="str">
        <f>B44</f>
        <v>per 100 referrals</v>
      </c>
      <c r="L44" s="57">
        <v>100</v>
      </c>
      <c r="M44" s="57"/>
      <c r="R44" s="49"/>
    </row>
    <row r="45" spans="2:18" ht="15" hidden="1" customHeight="1">
      <c r="B45" s="49" t="s">
        <v>89</v>
      </c>
      <c r="C45" s="49">
        <f>C11/100</f>
        <v>1.0900000000000001</v>
      </c>
      <c r="D45" s="49">
        <f>E11/100</f>
        <v>1.22</v>
      </c>
      <c r="E45" s="56">
        <f>MAX(C45:D45,0)</f>
        <v>1.22</v>
      </c>
      <c r="G45" s="1" t="str">
        <f>B45</f>
        <v>per 100 youth petitioned</v>
      </c>
      <c r="L45" s="57">
        <v>100</v>
      </c>
      <c r="M45" s="57"/>
      <c r="R45" s="49"/>
    </row>
    <row r="46" spans="2:18" ht="15" hidden="1" customHeight="1">
      <c r="B46" s="49" t="s">
        <v>90</v>
      </c>
      <c r="C46" s="49">
        <f>C12/100</f>
        <v>0.56999999999999995</v>
      </c>
      <c r="D46" s="49">
        <f>E12/100</f>
        <v>0.7</v>
      </c>
      <c r="E46" s="56">
        <f>MAX(C46:D46)</f>
        <v>0.7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12.737</v>
      </c>
      <c r="D48" s="56">
        <f>D42</f>
        <v>3.4870000000000001</v>
      </c>
      <c r="E48" s="56">
        <f>MAX(C48:D48)</f>
        <v>12.737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0.65</v>
      </c>
      <c r="D49" s="49">
        <f t="shared" si="9"/>
        <v>0.73</v>
      </c>
      <c r="E49" s="49">
        <f>MAX(C49:D49)</f>
        <v>0.73</v>
      </c>
      <c r="G49" s="1" t="str">
        <f>G43</f>
        <v>per 100 arrests</v>
      </c>
      <c r="L49" s="58">
        <f>IF(($E43&gt;0),L43,L42)</f>
        <v>100</v>
      </c>
      <c r="M49" s="58"/>
      <c r="N49" s="21"/>
      <c r="O49" s="21"/>
      <c r="P49" s="21"/>
      <c r="Q49" s="21"/>
      <c r="R49" s="21"/>
    </row>
    <row r="50" spans="2:18" ht="15" hidden="1" customHeight="1">
      <c r="B50" s="49" t="str">
        <f t="shared" si="9"/>
        <v>per 100 referrals</v>
      </c>
      <c r="C50" s="49">
        <f t="shared" si="9"/>
        <v>1.73</v>
      </c>
      <c r="D50" s="49">
        <f t="shared" si="9"/>
        <v>2.1</v>
      </c>
      <c r="E50" s="49">
        <f>MAX(C50:D50)</f>
        <v>2.1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1.0900000000000001</v>
      </c>
      <c r="D51" s="49">
        <f>IF(($E45&gt;0),D45,D44)</f>
        <v>1.22</v>
      </c>
      <c r="E51" s="49">
        <f>MAX(C51:D51)</f>
        <v>1.22</v>
      </c>
      <c r="G51" s="1" t="str">
        <f>G45</f>
        <v>per 100 youth petitioned</v>
      </c>
      <c r="L51" s="58">
        <f>IF(($E45&gt;0),L45,L44)</f>
        <v>100</v>
      </c>
      <c r="M51" s="58"/>
    </row>
    <row r="52" spans="2:18" ht="15" hidden="1" customHeight="1">
      <c r="B52" s="49" t="str">
        <f>IF(($E46&gt;0),B46,B45)</f>
        <v>per 100 youth found delinquent</v>
      </c>
      <c r="C52" s="49">
        <f>IF(($E46&gt;0),C46,C45)</f>
        <v>0.56999999999999995</v>
      </c>
      <c r="D52" s="49">
        <f>IF(($E46&gt;0),D46,D45)</f>
        <v>0.7</v>
      </c>
      <c r="E52" s="56">
        <f>MAX(C52:D52)</f>
        <v>0.7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12.737</v>
      </c>
      <c r="D54" s="56">
        <f>D48</f>
        <v>3.4870000000000001</v>
      </c>
      <c r="E54" s="56">
        <f>MAX(C54:D54)</f>
        <v>12.737</v>
      </c>
      <c r="G54" s="1" t="str">
        <f>G48</f>
        <v>per 1000 youth</v>
      </c>
      <c r="L54" s="58">
        <f>L48</f>
        <v>1000</v>
      </c>
      <c r="M54" s="58"/>
    </row>
    <row r="55" spans="2:18" ht="15" hidden="1" customHeight="1">
      <c r="B55" s="49" t="str">
        <f t="shared" ref="B55:D56" si="10">IF(($E49&gt;0),B49,B48)</f>
        <v>per 100 arrests</v>
      </c>
      <c r="C55" s="49">
        <f t="shared" si="10"/>
        <v>0.65</v>
      </c>
      <c r="D55" s="49">
        <f t="shared" si="10"/>
        <v>0.73</v>
      </c>
      <c r="E55" s="49">
        <f>MAX(C55:D55)</f>
        <v>0.73</v>
      </c>
      <c r="G55" s="1" t="str">
        <f>G49</f>
        <v>per 100 arrests</v>
      </c>
      <c r="L55" s="58">
        <f>IF(($E49&gt;0),L49,L48)</f>
        <v>100</v>
      </c>
      <c r="M55" s="58"/>
    </row>
    <row r="56" spans="2:18" ht="15" hidden="1" customHeight="1">
      <c r="B56" s="49" t="str">
        <f t="shared" si="10"/>
        <v>per 100 referrals</v>
      </c>
      <c r="C56" s="49">
        <f t="shared" si="10"/>
        <v>1.73</v>
      </c>
      <c r="D56" s="49">
        <f t="shared" si="10"/>
        <v>2.1</v>
      </c>
      <c r="E56" s="49">
        <f>MAX(C56:D56)</f>
        <v>2.1</v>
      </c>
      <c r="G56" s="1" t="str">
        <f>G50</f>
        <v>per 100 referrals</v>
      </c>
      <c r="L56" s="58">
        <f>IF(($E50&gt;0),L50,L49)</f>
        <v>100</v>
      </c>
      <c r="M56" s="58"/>
    </row>
    <row r="57" spans="2:18" ht="15" hidden="1" customHeight="1">
      <c r="B57" s="49" t="str">
        <f>IF(($E51&gt;0),B51,B49)</f>
        <v>per 100 youth petitioned</v>
      </c>
      <c r="C57" s="49">
        <f>IF(($E51&gt;0),C51,C50)</f>
        <v>1.0900000000000001</v>
      </c>
      <c r="D57" s="49">
        <f>IF(($E51&gt;0),D51,D50)</f>
        <v>1.22</v>
      </c>
      <c r="E57" s="49">
        <f>MAX(C57:D57)</f>
        <v>1.22</v>
      </c>
      <c r="G57" s="1" t="str">
        <f>G51</f>
        <v>per 100 youth petitioned</v>
      </c>
      <c r="L57" s="58">
        <f>IF(($E51&gt;0),L51,L50)</f>
        <v>100</v>
      </c>
      <c r="M57" s="58"/>
    </row>
    <row r="58" spans="2:18" ht="15" hidden="1" customHeight="1">
      <c r="B58" s="49" t="str">
        <f>IF(($E52&gt;0),B52,B51)</f>
        <v>per 100 youth found delinquent</v>
      </c>
      <c r="C58" s="49">
        <f>IF(($E52&gt;0),C52,C51)</f>
        <v>0.56999999999999995</v>
      </c>
      <c r="D58" s="49">
        <f>IF(($E52&gt;0),D52,D51)</f>
        <v>0.7</v>
      </c>
      <c r="E58" s="56">
        <f>MAX(C58:D58)</f>
        <v>0.7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12.737</v>
      </c>
      <c r="D60" s="56">
        <f>D54</f>
        <v>3.4870000000000001</v>
      </c>
      <c r="E60" s="56">
        <f>MAX(C60:D60)</f>
        <v>12.737</v>
      </c>
      <c r="G60" s="1" t="str">
        <f>G54</f>
        <v>per 1000 youth</v>
      </c>
      <c r="L60" s="58">
        <f>L54</f>
        <v>1000</v>
      </c>
      <c r="M60" s="58"/>
    </row>
    <row r="61" spans="2:18" ht="15" hidden="1" customHeight="1">
      <c r="B61" s="49" t="str">
        <f t="shared" ref="B61:D62" si="11">IF(($E55&gt;0),B55,B54)</f>
        <v>per 100 arrests</v>
      </c>
      <c r="C61" s="49">
        <f t="shared" si="11"/>
        <v>0.65</v>
      </c>
      <c r="D61" s="49">
        <f t="shared" si="11"/>
        <v>0.73</v>
      </c>
      <c r="E61" s="49">
        <f>MAX(C61:D61)</f>
        <v>0.73</v>
      </c>
      <c r="G61" s="1" t="str">
        <f>G55</f>
        <v>per 100 arrests</v>
      </c>
      <c r="L61" s="58">
        <f>IF(($E55&gt;0),L55,L54)</f>
        <v>100</v>
      </c>
      <c r="M61" s="58"/>
    </row>
    <row r="62" spans="2:18" ht="15" hidden="1" customHeight="1">
      <c r="B62" s="49" t="str">
        <f t="shared" si="11"/>
        <v>per 100 referrals</v>
      </c>
      <c r="C62" s="49">
        <f t="shared" si="11"/>
        <v>1.73</v>
      </c>
      <c r="D62" s="49">
        <f t="shared" si="11"/>
        <v>2.1</v>
      </c>
      <c r="E62" s="49">
        <f>MAX(C62:D62)</f>
        <v>2.1</v>
      </c>
      <c r="G62" s="1" t="str">
        <f>G56</f>
        <v>per 100 referrals</v>
      </c>
      <c r="L62" s="58">
        <f>IF(($E56&gt;0),L56,L55)</f>
        <v>100</v>
      </c>
      <c r="M62" s="58"/>
    </row>
    <row r="63" spans="2:18" ht="15" hidden="1" customHeight="1">
      <c r="B63" s="49" t="str">
        <f>IF(($E57&gt;0),B57,B55)</f>
        <v>per 100 youth petitioned</v>
      </c>
      <c r="C63" s="49">
        <f>IF(($E57&gt;0),C57,C56)</f>
        <v>1.0900000000000001</v>
      </c>
      <c r="D63" s="49">
        <f>IF(($E57&gt;0),D57,D56)</f>
        <v>1.22</v>
      </c>
      <c r="E63" s="49">
        <f>MAX(C63:D63)</f>
        <v>1.22</v>
      </c>
      <c r="G63" s="1" t="str">
        <f>G57</f>
        <v>per 100 youth petitioned</v>
      </c>
      <c r="L63" s="58">
        <f>IF(($E57&gt;0),L57,L56)</f>
        <v>100</v>
      </c>
      <c r="M63" s="58"/>
    </row>
    <row r="64" spans="2:18" ht="15" hidden="1" customHeight="1">
      <c r="B64" s="49" t="str">
        <f>IF(($E58&gt;0),B58,B57)</f>
        <v>per 100 youth found delinquent</v>
      </c>
      <c r="C64" s="49">
        <f>IF(($E58&gt;0),C58,C57)</f>
        <v>0.56999999999999995</v>
      </c>
      <c r="D64" s="49">
        <f>IF(($E58&gt;0),D58,D57)</f>
        <v>0.7</v>
      </c>
      <c r="E64" s="56">
        <f>MAX(C64:D64)</f>
        <v>0.7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12.737</v>
      </c>
      <c r="D66" s="56">
        <f>D60</f>
        <v>3.4870000000000001</v>
      </c>
      <c r="E66" s="56">
        <f>MAX(C66:D66)</f>
        <v>12.737</v>
      </c>
      <c r="G66" s="1" t="str">
        <f>G60</f>
        <v>per 1000 youth</v>
      </c>
      <c r="L66" s="58">
        <f>L60</f>
        <v>1000</v>
      </c>
      <c r="M66" s="58">
        <f>IF((B66=G66),1,2)</f>
        <v>1</v>
      </c>
    </row>
    <row r="67" spans="2:13" ht="15" hidden="1" customHeight="1">
      <c r="B67" s="49" t="str">
        <f t="shared" ref="B67:D68" si="12">IF(($E61&gt;0),B61,B60)</f>
        <v>per 100 arrests</v>
      </c>
      <c r="C67" s="49">
        <f t="shared" si="12"/>
        <v>0.65</v>
      </c>
      <c r="D67" s="49">
        <f t="shared" si="12"/>
        <v>0.73</v>
      </c>
      <c r="E67" s="49">
        <f>MAX(C67:D67)</f>
        <v>0.73</v>
      </c>
      <c r="G67" s="1" t="str">
        <f>G61</f>
        <v>per 100 arrests</v>
      </c>
      <c r="L67" s="58">
        <f>IF(($E61&gt;0),L61,L60)</f>
        <v>100</v>
      </c>
      <c r="M67" s="58">
        <f>IF((B67=G67),1,2)</f>
        <v>1</v>
      </c>
    </row>
    <row r="68" spans="2:13" ht="15" hidden="1" customHeight="1">
      <c r="B68" s="49" t="str">
        <f t="shared" si="12"/>
        <v>per 100 referrals</v>
      </c>
      <c r="C68" s="49">
        <f t="shared" si="12"/>
        <v>1.73</v>
      </c>
      <c r="D68" s="49">
        <f t="shared" si="12"/>
        <v>2.1</v>
      </c>
      <c r="E68" s="49">
        <f>MAX(C68:D68)</f>
        <v>2.1</v>
      </c>
      <c r="G68" s="1" t="str">
        <f>G62</f>
        <v>per 100 referrals</v>
      </c>
      <c r="L68" s="58">
        <f>IF(($E62&gt;0),L62,L61)</f>
        <v>100</v>
      </c>
      <c r="M68" s="58">
        <f>IF((B68=G68),1,2)</f>
        <v>1</v>
      </c>
    </row>
    <row r="69" spans="2:13" ht="15" hidden="1" customHeight="1">
      <c r="B69" s="49" t="str">
        <f>IF(($E63&gt;0),B63,B61)</f>
        <v>per 100 youth petitioned</v>
      </c>
      <c r="C69" s="49">
        <f>IF(($E63&gt;0),C63,C62)</f>
        <v>1.0900000000000001</v>
      </c>
      <c r="D69" s="49">
        <f>IF(($E63&gt;0),D63,D62)</f>
        <v>1.22</v>
      </c>
      <c r="E69" s="49">
        <f>MAX(C69:D69)</f>
        <v>1.22</v>
      </c>
      <c r="G69" s="1" t="str">
        <f>G63</f>
        <v>per 100 youth petitioned</v>
      </c>
      <c r="L69" s="58">
        <f>IF(($E63&gt;0),L63,L62)</f>
        <v>100</v>
      </c>
      <c r="M69" s="58">
        <f>IF((B69=G69),1,2)</f>
        <v>1</v>
      </c>
    </row>
    <row r="70" spans="2:13" ht="15" hidden="1" customHeight="1">
      <c r="B70" s="49" t="str">
        <f>IF(($E64&gt;0),B64,B63)</f>
        <v>per 100 youth found delinquent</v>
      </c>
      <c r="C70" s="49">
        <f>IF(($E64&gt;0),C64,C63)</f>
        <v>0.56999999999999995</v>
      </c>
      <c r="D70" s="49">
        <f>IF(($E64&gt;0),D64,D63)</f>
        <v>0.7</v>
      </c>
      <c r="E70" s="56">
        <f>MAX(C70:D70)</f>
        <v>0.7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Muskegon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12737</v>
      </c>
      <c r="D6" s="34"/>
      <c r="E6" s="33">
        <f>'Data Entry'!F6</f>
        <v>136</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65</v>
      </c>
      <c r="D7" s="34">
        <f>IF((AND(C66&gt;0,C7&gt;0)),(C7/C66),0)</f>
        <v>5.1032425217869202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136</v>
      </c>
      <c r="P7" s="42">
        <f t="shared" ref="P7:P15" si="4">C7</f>
        <v>65</v>
      </c>
      <c r="Q7" s="42">
        <f>C6-C7</f>
        <v>12672</v>
      </c>
      <c r="R7" s="42">
        <f t="shared" ref="R7:R15" si="5">SUM(N7:Q7)</f>
        <v>12873</v>
      </c>
      <c r="S7" s="30">
        <f t="shared" ref="S7:S15" si="6">R7*((((N7*Q7)-(O7*P7))^2))</f>
        <v>1005968308800</v>
      </c>
      <c r="T7" s="30">
        <f t="shared" ref="T7:T15" si="7">(N7+O7)*(P7+Q7)*(N7+P7)*(O7+Q7)</f>
        <v>1442117784640</v>
      </c>
      <c r="U7" s="31">
        <f t="shared" ref="U7:U15" si="8">IF((S7&gt;0),S7/T7,"- -")</f>
        <v>0.69756320843870789</v>
      </c>
    </row>
    <row r="8" spans="2:21" ht="18" customHeight="1">
      <c r="B8" s="32" t="str">
        <f>'Data Entry'!A8</f>
        <v>3. Refer to Juvenile Court</v>
      </c>
      <c r="C8" s="33">
        <f>'Data Entry'!C8</f>
        <v>173</v>
      </c>
      <c r="D8" s="34">
        <f>IF((AND(C67&gt;0,C8&gt;0)),(C8/C67),0)</f>
        <v>266.15384615384613</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173</v>
      </c>
      <c r="Q8" s="42">
        <f>(C$67*L67)-C8</f>
        <v>-108</v>
      </c>
      <c r="R8" s="42">
        <f t="shared" si="5"/>
        <v>65.050000000000011</v>
      </c>
      <c r="S8" s="30">
        <f t="shared" si="6"/>
        <v>4867.203625000001</v>
      </c>
      <c r="T8" s="30">
        <f t="shared" si="7"/>
        <v>-60694.887500000004</v>
      </c>
      <c r="U8" s="31">
        <f t="shared" si="8"/>
        <v>-8.0191327893968017E-2</v>
      </c>
    </row>
    <row r="9" spans="2:21" ht="18" customHeight="1">
      <c r="B9" s="32" t="str">
        <f>'Data Entry'!A9</f>
        <v xml:space="preserve">4. Cases Diverted </v>
      </c>
      <c r="C9" s="33">
        <f>'Data Entry'!C9</f>
        <v>22</v>
      </c>
      <c r="D9" s="34">
        <f>IF((AND(C68&gt;0,C9&gt;0)),((C9/C68)),0)</f>
        <v>12.716763005780347</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22</v>
      </c>
      <c r="Q9" s="42">
        <f>(C$68*L68)-C9</f>
        <v>151</v>
      </c>
      <c r="R9" s="42">
        <f t="shared" si="5"/>
        <v>173</v>
      </c>
      <c r="S9" s="30">
        <f t="shared" si="6"/>
        <v>0</v>
      </c>
      <c r="T9" s="30">
        <f t="shared" si="7"/>
        <v>0</v>
      </c>
      <c r="U9" s="31" t="str">
        <f t="shared" si="8"/>
        <v>- -</v>
      </c>
    </row>
    <row r="10" spans="2:21" ht="18" customHeight="1">
      <c r="B10" s="32" t="str">
        <f>'Data Entry'!A10</f>
        <v>5. Cases Involving Secure Detention</v>
      </c>
      <c r="C10" s="33">
        <f>'Data Entry'!C10</f>
        <v>16</v>
      </c>
      <c r="D10" s="34">
        <f>IF(((AND(C68&gt;0,C10&gt;0))),(C10/(C68)),0)</f>
        <v>9.2485549132947984</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16</v>
      </c>
      <c r="Q10" s="42">
        <f>(C$68*L68)-C10</f>
        <v>157</v>
      </c>
      <c r="R10" s="42">
        <f t="shared" si="5"/>
        <v>173</v>
      </c>
      <c r="S10" s="30">
        <f t="shared" si="6"/>
        <v>0</v>
      </c>
      <c r="T10" s="30">
        <f t="shared" si="7"/>
        <v>0</v>
      </c>
      <c r="U10" s="31" t="str">
        <f t="shared" si="8"/>
        <v>- -</v>
      </c>
    </row>
    <row r="11" spans="2:21" ht="18" customHeight="1">
      <c r="B11" s="32" t="str">
        <f>'Data Entry'!A11</f>
        <v>6. Cases Petitioned (Charge Filed)</v>
      </c>
      <c r="C11" s="33">
        <f>'Data Entry'!C11</f>
        <v>109</v>
      </c>
      <c r="D11" s="34">
        <f>IF(((AND(C68&gt;0,C11&gt;0))),(C11/(C68)),0)</f>
        <v>63.005780346820806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109</v>
      </c>
      <c r="Q11" s="42">
        <f>(C$68*L68)-C11</f>
        <v>64</v>
      </c>
      <c r="R11" s="42">
        <f t="shared" si="5"/>
        <v>173</v>
      </c>
      <c r="S11" s="30">
        <f t="shared" si="6"/>
        <v>0</v>
      </c>
      <c r="T11" s="30">
        <f t="shared" si="7"/>
        <v>0</v>
      </c>
      <c r="U11" s="31" t="str">
        <f t="shared" si="8"/>
        <v>- -</v>
      </c>
    </row>
    <row r="12" spans="2:21" ht="18" customHeight="1">
      <c r="B12" s="32" t="str">
        <f>'Data Entry'!A12</f>
        <v>7. Cases Resulting in Delinquent Findings</v>
      </c>
      <c r="C12" s="33">
        <f>'Data Entry'!C12</f>
        <v>57</v>
      </c>
      <c r="D12" s="34">
        <f>IF(((AND(C69&gt;0,C12&gt;0))),(C12/(C69)),0)</f>
        <v>52.293577981651374</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57</v>
      </c>
      <c r="Q12" s="42">
        <f>(C69*L69)-C12</f>
        <v>52.000000000000014</v>
      </c>
      <c r="R12" s="42">
        <f t="shared" si="5"/>
        <v>109.00000000000001</v>
      </c>
      <c r="S12" s="30">
        <f t="shared" si="6"/>
        <v>0</v>
      </c>
      <c r="T12" s="30">
        <f t="shared" si="7"/>
        <v>0</v>
      </c>
      <c r="U12" s="31" t="str">
        <f t="shared" si="8"/>
        <v>- -</v>
      </c>
    </row>
    <row r="13" spans="2:21" ht="18" customHeight="1">
      <c r="B13" s="32" t="str">
        <f>'Data Entry'!A13</f>
        <v>8. Cases Resulting in Probation Placement</v>
      </c>
      <c r="C13" s="33">
        <f>'Data Entry'!C13</f>
        <v>122</v>
      </c>
      <c r="D13" s="34">
        <f>IF(((AND(C70&gt;0,C13&gt;0))),(C13/(C70)),0)</f>
        <v>214.03508771929828</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122</v>
      </c>
      <c r="Q13" s="42">
        <f>(C70*L70)-C13</f>
        <v>-65</v>
      </c>
      <c r="R13" s="42">
        <f t="shared" si="5"/>
        <v>57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3.5087719298245617</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54.999999999999993</v>
      </c>
      <c r="R14" s="42">
        <f t="shared" si="5"/>
        <v>56.999999999999993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109.00000000000001</v>
      </c>
      <c r="R15" s="42">
        <f t="shared" si="5"/>
        <v>109.00000000000001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12.737</v>
      </c>
      <c r="D42" s="56">
        <f>E6/1000</f>
        <v>0.13600000000000001</v>
      </c>
      <c r="E42" s="56">
        <f>MAX(C42:D42)</f>
        <v>12.737</v>
      </c>
      <c r="G42" s="1" t="str">
        <f>B42</f>
        <v>per 1000 youth</v>
      </c>
      <c r="L42" s="57">
        <v>1000</v>
      </c>
      <c r="M42" s="57"/>
      <c r="R42" s="49"/>
    </row>
    <row r="43" spans="2:18" ht="15" hidden="1" customHeight="1">
      <c r="B43" s="49" t="s">
        <v>87</v>
      </c>
      <c r="C43" s="56">
        <f>C7/100</f>
        <v>0.65</v>
      </c>
      <c r="D43" s="56">
        <f>E7/100</f>
        <v>0</v>
      </c>
      <c r="E43" s="56">
        <f>MAX(C43:D43,0)</f>
        <v>0.65</v>
      </c>
      <c r="G43" s="1" t="str">
        <f>B43</f>
        <v>per 100 arrests</v>
      </c>
      <c r="L43" s="57">
        <v>100</v>
      </c>
      <c r="M43" s="57"/>
      <c r="R43" s="49"/>
    </row>
    <row r="44" spans="2:18" ht="15" hidden="1" customHeight="1">
      <c r="B44" s="49" t="s">
        <v>88</v>
      </c>
      <c r="C44" s="56">
        <f>C8/100</f>
        <v>1.73</v>
      </c>
      <c r="D44" s="56">
        <f>E8/100</f>
        <v>0</v>
      </c>
      <c r="E44" s="56">
        <f>MAX(C44:D44,0)</f>
        <v>1.73</v>
      </c>
      <c r="G44" s="1" t="str">
        <f>B44</f>
        <v>per 100 referrals</v>
      </c>
      <c r="L44" s="57">
        <v>100</v>
      </c>
      <c r="M44" s="57"/>
      <c r="R44" s="49"/>
    </row>
    <row r="45" spans="2:18" ht="15" hidden="1" customHeight="1">
      <c r="B45" s="49" t="s">
        <v>89</v>
      </c>
      <c r="C45" s="49">
        <f>C11/100</f>
        <v>1.0900000000000001</v>
      </c>
      <c r="D45" s="49">
        <f>E11/100</f>
        <v>0</v>
      </c>
      <c r="E45" s="56">
        <f>MAX(C45:D45,0)</f>
        <v>1.0900000000000001</v>
      </c>
      <c r="G45" s="1" t="str">
        <f>B45</f>
        <v>per 100 youth petitioned</v>
      </c>
      <c r="L45" s="57">
        <v>100</v>
      </c>
      <c r="M45" s="57"/>
      <c r="R45" s="49"/>
    </row>
    <row r="46" spans="2:18" ht="15" hidden="1" customHeight="1">
      <c r="B46" s="49" t="s">
        <v>90</v>
      </c>
      <c r="C46" s="49">
        <f>C12/100</f>
        <v>0.56999999999999995</v>
      </c>
      <c r="D46" s="49">
        <f>E12/100</f>
        <v>0</v>
      </c>
      <c r="E46" s="56">
        <f>MAX(C46:D46)</f>
        <v>0.56999999999999995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12.737</v>
      </c>
      <c r="D48" s="56">
        <f>D42</f>
        <v>0.13600000000000001</v>
      </c>
      <c r="E48" s="56">
        <f>MAX(C48:D48)</f>
        <v>12.737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0.65</v>
      </c>
      <c r="D49" s="49">
        <f t="shared" si="9"/>
        <v>0</v>
      </c>
      <c r="E49" s="49">
        <f>MAX(C49:D49)</f>
        <v>0.65</v>
      </c>
      <c r="G49" s="1" t="str">
        <f>G43</f>
        <v>per 100 arrests</v>
      </c>
      <c r="L49" s="58">
        <f>IF(($E43&gt;0),L43,L42)</f>
        <v>100</v>
      </c>
      <c r="M49" s="58"/>
      <c r="N49" s="21"/>
      <c r="O49" s="21"/>
      <c r="P49" s="21"/>
      <c r="Q49" s="21"/>
      <c r="R49" s="21"/>
    </row>
    <row r="50" spans="2:18" ht="15" hidden="1" customHeight="1">
      <c r="B50" s="49" t="str">
        <f t="shared" si="9"/>
        <v>per 100 referrals</v>
      </c>
      <c r="C50" s="49">
        <f t="shared" si="9"/>
        <v>1.73</v>
      </c>
      <c r="D50" s="49">
        <f t="shared" si="9"/>
        <v>0</v>
      </c>
      <c r="E50" s="49">
        <f>MAX(C50:D50)</f>
        <v>1.73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1.0900000000000001</v>
      </c>
      <c r="D51" s="49">
        <f>IF(($E45&gt;0),D45,D44)</f>
        <v>0</v>
      </c>
      <c r="E51" s="49">
        <f>MAX(C51:D51)</f>
        <v>1.0900000000000001</v>
      </c>
      <c r="G51" s="1" t="str">
        <f>G45</f>
        <v>per 100 youth petitioned</v>
      </c>
      <c r="L51" s="58">
        <f>IF(($E45&gt;0),L45,L44)</f>
        <v>100</v>
      </c>
      <c r="M51" s="58"/>
    </row>
    <row r="52" spans="2:18" ht="15" hidden="1" customHeight="1">
      <c r="B52" s="49" t="str">
        <f>IF(($E46&gt;0),B46,B45)</f>
        <v>per 100 youth found delinquent</v>
      </c>
      <c r="C52" s="49">
        <f>IF(($E46&gt;0),C46,C45)</f>
        <v>0.56999999999999995</v>
      </c>
      <c r="D52" s="49">
        <f>IF(($E46&gt;0),D46,D45)</f>
        <v>0</v>
      </c>
      <c r="E52" s="56">
        <f>MAX(C52:D52)</f>
        <v>0.56999999999999995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12.737</v>
      </c>
      <c r="D54" s="56">
        <f>D48</f>
        <v>0.13600000000000001</v>
      </c>
      <c r="E54" s="56">
        <f>MAX(C54:D54)</f>
        <v>12.737</v>
      </c>
      <c r="G54" s="1" t="str">
        <f>G48</f>
        <v>per 1000 youth</v>
      </c>
      <c r="L54" s="58">
        <f>L48</f>
        <v>1000</v>
      </c>
      <c r="M54" s="58"/>
    </row>
    <row r="55" spans="2:18" ht="15" hidden="1" customHeight="1">
      <c r="B55" s="49" t="str">
        <f t="shared" ref="B55:D56" si="10">IF(($E49&gt;0),B49,B48)</f>
        <v>per 100 arrests</v>
      </c>
      <c r="C55" s="49">
        <f t="shared" si="10"/>
        <v>0.65</v>
      </c>
      <c r="D55" s="49">
        <f t="shared" si="10"/>
        <v>0</v>
      </c>
      <c r="E55" s="49">
        <f>MAX(C55:D55)</f>
        <v>0.65</v>
      </c>
      <c r="G55" s="1" t="str">
        <f>G49</f>
        <v>per 100 arrests</v>
      </c>
      <c r="L55" s="58">
        <f>IF(($E49&gt;0),L49,L48)</f>
        <v>100</v>
      </c>
      <c r="M55" s="58"/>
    </row>
    <row r="56" spans="2:18" ht="15" hidden="1" customHeight="1">
      <c r="B56" s="49" t="str">
        <f t="shared" si="10"/>
        <v>per 100 referrals</v>
      </c>
      <c r="C56" s="49">
        <f t="shared" si="10"/>
        <v>1.73</v>
      </c>
      <c r="D56" s="49">
        <f t="shared" si="10"/>
        <v>0</v>
      </c>
      <c r="E56" s="49">
        <f>MAX(C56:D56)</f>
        <v>1.73</v>
      </c>
      <c r="G56" s="1" t="str">
        <f>G50</f>
        <v>per 100 referrals</v>
      </c>
      <c r="L56" s="58">
        <f>IF(($E50&gt;0),L50,L49)</f>
        <v>100</v>
      </c>
      <c r="M56" s="58"/>
    </row>
    <row r="57" spans="2:18" ht="15" hidden="1" customHeight="1">
      <c r="B57" s="49" t="str">
        <f>IF(($E51&gt;0),B51,B49)</f>
        <v>per 100 youth petitioned</v>
      </c>
      <c r="C57" s="49">
        <f>IF(($E51&gt;0),C51,C50)</f>
        <v>1.0900000000000001</v>
      </c>
      <c r="D57" s="49">
        <f>IF(($E51&gt;0),D51,D50)</f>
        <v>0</v>
      </c>
      <c r="E57" s="49">
        <f>MAX(C57:D57)</f>
        <v>1.0900000000000001</v>
      </c>
      <c r="G57" s="1" t="str">
        <f>G51</f>
        <v>per 100 youth petitioned</v>
      </c>
      <c r="L57" s="58">
        <f>IF(($E51&gt;0),L51,L50)</f>
        <v>100</v>
      </c>
      <c r="M57" s="58"/>
    </row>
    <row r="58" spans="2:18" ht="15" hidden="1" customHeight="1">
      <c r="B58" s="49" t="str">
        <f>IF(($E52&gt;0),B52,B51)</f>
        <v>per 100 youth found delinquent</v>
      </c>
      <c r="C58" s="49">
        <f>IF(($E52&gt;0),C52,C51)</f>
        <v>0.56999999999999995</v>
      </c>
      <c r="D58" s="49">
        <f>IF(($E52&gt;0),D52,D51)</f>
        <v>0</v>
      </c>
      <c r="E58" s="56">
        <f>MAX(C58:D58)</f>
        <v>0.56999999999999995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12.737</v>
      </c>
      <c r="D60" s="56">
        <f>D54</f>
        <v>0.13600000000000001</v>
      </c>
      <c r="E60" s="56">
        <f>MAX(C60:D60)</f>
        <v>12.737</v>
      </c>
      <c r="G60" s="1" t="str">
        <f>G54</f>
        <v>per 1000 youth</v>
      </c>
      <c r="L60" s="58">
        <f>L54</f>
        <v>1000</v>
      </c>
      <c r="M60" s="58"/>
    </row>
    <row r="61" spans="2:18" ht="15" hidden="1" customHeight="1">
      <c r="B61" s="49" t="str">
        <f t="shared" ref="B61:D62" si="11">IF(($E55&gt;0),B55,B54)</f>
        <v>per 100 arrests</v>
      </c>
      <c r="C61" s="49">
        <f t="shared" si="11"/>
        <v>0.65</v>
      </c>
      <c r="D61" s="49">
        <f t="shared" si="11"/>
        <v>0</v>
      </c>
      <c r="E61" s="49">
        <f>MAX(C61:D61)</f>
        <v>0.65</v>
      </c>
      <c r="G61" s="1" t="str">
        <f>G55</f>
        <v>per 100 arrests</v>
      </c>
      <c r="L61" s="58">
        <f>IF(($E55&gt;0),L55,L54)</f>
        <v>100</v>
      </c>
      <c r="M61" s="58"/>
    </row>
    <row r="62" spans="2:18" ht="15" hidden="1" customHeight="1">
      <c r="B62" s="49" t="str">
        <f t="shared" si="11"/>
        <v>per 100 referrals</v>
      </c>
      <c r="C62" s="49">
        <f t="shared" si="11"/>
        <v>1.73</v>
      </c>
      <c r="D62" s="49">
        <f t="shared" si="11"/>
        <v>0</v>
      </c>
      <c r="E62" s="49">
        <f>MAX(C62:D62)</f>
        <v>1.73</v>
      </c>
      <c r="G62" s="1" t="str">
        <f>G56</f>
        <v>per 100 referrals</v>
      </c>
      <c r="L62" s="58">
        <f>IF(($E56&gt;0),L56,L55)</f>
        <v>100</v>
      </c>
      <c r="M62" s="58"/>
    </row>
    <row r="63" spans="2:18" ht="15" hidden="1" customHeight="1">
      <c r="B63" s="49" t="str">
        <f>IF(($E57&gt;0),B57,B55)</f>
        <v>per 100 youth petitioned</v>
      </c>
      <c r="C63" s="49">
        <f>IF(($E57&gt;0),C57,C56)</f>
        <v>1.0900000000000001</v>
      </c>
      <c r="D63" s="49">
        <f>IF(($E57&gt;0),D57,D56)</f>
        <v>0</v>
      </c>
      <c r="E63" s="49">
        <f>MAX(C63:D63)</f>
        <v>1.0900000000000001</v>
      </c>
      <c r="G63" s="1" t="str">
        <f>G57</f>
        <v>per 100 youth petitioned</v>
      </c>
      <c r="L63" s="58">
        <f>IF(($E57&gt;0),L57,L56)</f>
        <v>100</v>
      </c>
      <c r="M63" s="58"/>
    </row>
    <row r="64" spans="2:18" ht="15" hidden="1" customHeight="1">
      <c r="B64" s="49" t="str">
        <f>IF(($E58&gt;0),B58,B57)</f>
        <v>per 100 youth found delinquent</v>
      </c>
      <c r="C64" s="49">
        <f>IF(($E58&gt;0),C58,C57)</f>
        <v>0.56999999999999995</v>
      </c>
      <c r="D64" s="49">
        <f>IF(($E58&gt;0),D58,D57)</f>
        <v>0</v>
      </c>
      <c r="E64" s="56">
        <f>MAX(C64:D64)</f>
        <v>0.56999999999999995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12.737</v>
      </c>
      <c r="D66" s="56">
        <f>D60</f>
        <v>0.13600000000000001</v>
      </c>
      <c r="E66" s="56">
        <f>MAX(C66:D66)</f>
        <v>12.737</v>
      </c>
      <c r="G66" s="1" t="str">
        <f>G60</f>
        <v>per 1000 youth</v>
      </c>
      <c r="L66" s="58">
        <f>L60</f>
        <v>1000</v>
      </c>
      <c r="M66" s="58">
        <f>IF((B66=G66),1,2)</f>
        <v>1</v>
      </c>
    </row>
    <row r="67" spans="2:13" ht="15" hidden="1" customHeight="1">
      <c r="B67" s="49" t="str">
        <f t="shared" ref="B67:D68" si="12">IF(($E61&gt;0),B61,B60)</f>
        <v>per 100 arrests</v>
      </c>
      <c r="C67" s="49">
        <f t="shared" si="12"/>
        <v>0.65</v>
      </c>
      <c r="D67" s="49">
        <f t="shared" si="12"/>
        <v>0</v>
      </c>
      <c r="E67" s="49">
        <f>MAX(C67:D67)</f>
        <v>0.65</v>
      </c>
      <c r="G67" s="1" t="str">
        <f>G61</f>
        <v>per 100 arrests</v>
      </c>
      <c r="L67" s="58">
        <f>IF(($E61&gt;0),L61,L60)</f>
        <v>100</v>
      </c>
      <c r="M67" s="58">
        <f>IF((B67=G67),1,2)</f>
        <v>1</v>
      </c>
    </row>
    <row r="68" spans="2:13" ht="15" hidden="1" customHeight="1">
      <c r="B68" s="49" t="str">
        <f t="shared" si="12"/>
        <v>per 100 referrals</v>
      </c>
      <c r="C68" s="49">
        <f t="shared" si="12"/>
        <v>1.73</v>
      </c>
      <c r="D68" s="49">
        <f t="shared" si="12"/>
        <v>0</v>
      </c>
      <c r="E68" s="49">
        <f>MAX(C68:D68)</f>
        <v>1.73</v>
      </c>
      <c r="G68" s="1" t="str">
        <f>G62</f>
        <v>per 100 referrals</v>
      </c>
      <c r="L68" s="58">
        <f>IF(($E62&gt;0),L62,L61)</f>
        <v>100</v>
      </c>
      <c r="M68" s="58">
        <f>IF((B68=G68),1,2)</f>
        <v>1</v>
      </c>
    </row>
    <row r="69" spans="2:13" ht="15" hidden="1" customHeight="1">
      <c r="B69" s="49" t="str">
        <f>IF(($E63&gt;0),B63,B61)</f>
        <v>per 100 youth petitioned</v>
      </c>
      <c r="C69" s="49">
        <f>IF(($E63&gt;0),C63,C62)</f>
        <v>1.0900000000000001</v>
      </c>
      <c r="D69" s="49">
        <f>IF(($E63&gt;0),D63,D62)</f>
        <v>0</v>
      </c>
      <c r="E69" s="49">
        <f>MAX(C69:D69)</f>
        <v>1.0900000000000001</v>
      </c>
      <c r="G69" s="1" t="str">
        <f>G63</f>
        <v>per 100 youth petitioned</v>
      </c>
      <c r="L69" s="58">
        <f>IF(($E63&gt;0),L63,L62)</f>
        <v>100</v>
      </c>
      <c r="M69" s="58">
        <f>IF((B69=G69),1,2)</f>
        <v>1</v>
      </c>
    </row>
    <row r="70" spans="2:13" ht="15" hidden="1" customHeight="1">
      <c r="B70" s="49" t="str">
        <f>IF(($E64&gt;0),B64,B63)</f>
        <v>per 100 youth found delinquent</v>
      </c>
      <c r="C70" s="49">
        <f>IF(($E64&gt;0),C64,C63)</f>
        <v>0.56999999999999995</v>
      </c>
      <c r="D70" s="49">
        <f>IF(($E64&gt;0),D64,D63)</f>
        <v>0</v>
      </c>
      <c r="E70" s="56">
        <f>MAX(C70:D70)</f>
        <v>0.56999999999999995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Muskegon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12737</v>
      </c>
      <c r="D6" s="34"/>
      <c r="E6" s="33">
        <f>'Data Entry'!E6</f>
        <v>1903</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65</v>
      </c>
      <c r="D7" s="34">
        <f>IF((AND(C66&gt;0,C7&gt;0)),(C7/C66),0)</f>
        <v>5.1032425217869202</v>
      </c>
      <c r="E7" s="33">
        <f>'Data Entry'!E7</f>
        <v>4</v>
      </c>
      <c r="F7" s="34">
        <f>IF((AND($E$7&gt;0,$D$66&gt;0)),($E$7/$D$66),0)</f>
        <v>2.1019442984760905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4</v>
      </c>
      <c r="O7" s="42">
        <f>E6-E7</f>
        <v>1899</v>
      </c>
      <c r="P7" s="42">
        <f t="shared" ref="P7:P15" si="4">C7</f>
        <v>65</v>
      </c>
      <c r="Q7" s="42">
        <f>C6-C7</f>
        <v>12672</v>
      </c>
      <c r="R7" s="42">
        <f t="shared" ref="R7:R15" si="5">SUM(N7:Q7)</f>
        <v>14640</v>
      </c>
      <c r="S7" s="30">
        <f t="shared" ref="S7:S15" si="6">R7*((((N7*Q7)-(O7*P7))^2))</f>
        <v>77476724771760</v>
      </c>
      <c r="T7" s="30">
        <f t="shared" ref="T7:T15" si="7">(N7+O7)*(P7+Q7)*(N7+P7)*(O7+Q7)</f>
        <v>24369374720889</v>
      </c>
      <c r="U7" s="31">
        <f t="shared" ref="U7:U15" si="8">IF((S7&gt;0),S7/T7,"- -")</f>
        <v>3.179266011505347</v>
      </c>
    </row>
    <row r="8" spans="2:21" ht="18" customHeight="1">
      <c r="B8" s="32" t="str">
        <f>'Data Entry'!A8</f>
        <v>3. Refer to Juvenile Court</v>
      </c>
      <c r="C8" s="33">
        <f>'Data Entry'!C8</f>
        <v>173</v>
      </c>
      <c r="D8" s="34">
        <f>IF((AND(C67&gt;0,C8&gt;0)),(C8/C67),0)</f>
        <v>266.15384615384613</v>
      </c>
      <c r="E8" s="33">
        <f>'Data Entry'!E8</f>
        <v>5</v>
      </c>
      <c r="F8" s="34">
        <f>IF((AND($E$8&gt;0,$D$67&gt;0)),($E8/$D67),0)</f>
        <v>125</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5</v>
      </c>
      <c r="O8" s="42">
        <f>((D67*L67)-E8)+0.05</f>
        <v>-0.95</v>
      </c>
      <c r="P8" s="42">
        <f t="shared" si="4"/>
        <v>173</v>
      </c>
      <c r="Q8" s="42">
        <f>(C$67*L67)-C8</f>
        <v>-108</v>
      </c>
      <c r="R8" s="42">
        <f t="shared" si="5"/>
        <v>69.050000000000011</v>
      </c>
      <c r="S8" s="30">
        <f t="shared" si="6"/>
        <v>9743847.2986249998</v>
      </c>
      <c r="T8" s="30">
        <f t="shared" si="7"/>
        <v>-5105233.5750000002</v>
      </c>
      <c r="U8" s="31">
        <f t="shared" si="8"/>
        <v>-1.9085997056706656</v>
      </c>
    </row>
    <row r="9" spans="2:21" ht="18" customHeight="1">
      <c r="B9" s="32" t="str">
        <f>'Data Entry'!A9</f>
        <v xml:space="preserve">4. Cases Diverted </v>
      </c>
      <c r="C9" s="33">
        <f>'Data Entry'!C9</f>
        <v>22</v>
      </c>
      <c r="D9" s="34">
        <f>IF((AND(C68&gt;0,C9&gt;0)),((C9/C68)),0)</f>
        <v>12.716763005780347</v>
      </c>
      <c r="E9" s="33">
        <f>'Data Entry'!E9</f>
        <v>1</v>
      </c>
      <c r="F9" s="34">
        <f>IF((AND($E$9&gt;0,$D$68&gt;0)),(($E$9/$D$68)),0)</f>
        <v>20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4</v>
      </c>
      <c r="P9" s="42">
        <f t="shared" si="4"/>
        <v>22</v>
      </c>
      <c r="Q9" s="42">
        <f>(C$68*L68)-C9</f>
        <v>151</v>
      </c>
      <c r="R9" s="42">
        <f t="shared" si="5"/>
        <v>178</v>
      </c>
      <c r="S9" s="30">
        <f t="shared" si="6"/>
        <v>706482</v>
      </c>
      <c r="T9" s="30">
        <f t="shared" si="7"/>
        <v>3083725</v>
      </c>
      <c r="U9" s="31">
        <f t="shared" si="8"/>
        <v>0.22910019538058679</v>
      </c>
    </row>
    <row r="10" spans="2:21" ht="18" customHeight="1">
      <c r="B10" s="32" t="str">
        <f>'Data Entry'!A10</f>
        <v>5. Cases Involving Secure Detention</v>
      </c>
      <c r="C10" s="33">
        <f>'Data Entry'!C10</f>
        <v>16</v>
      </c>
      <c r="D10" s="34">
        <f>IF(((AND(C68&gt;0,C10&gt;0))),(C10/(C68)),0)</f>
        <v>9.2485549132947984</v>
      </c>
      <c r="E10" s="33">
        <f>'Data Entry'!E10</f>
        <v>1</v>
      </c>
      <c r="F10" s="34">
        <f>IF(((AND($E$10&gt;0,$D$68&gt;0))),($E$10/($D$68)),0)</f>
        <v>20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4</v>
      </c>
      <c r="P10" s="42">
        <f t="shared" si="4"/>
        <v>16</v>
      </c>
      <c r="Q10" s="42">
        <f>(C$68*L68)-C10</f>
        <v>157</v>
      </c>
      <c r="R10" s="42">
        <f t="shared" si="5"/>
        <v>178</v>
      </c>
      <c r="S10" s="30">
        <f t="shared" si="6"/>
        <v>1539522</v>
      </c>
      <c r="T10" s="30">
        <f t="shared" si="7"/>
        <v>2367505</v>
      </c>
      <c r="U10" s="31">
        <f t="shared" si="8"/>
        <v>0.65027191072458135</v>
      </c>
    </row>
    <row r="11" spans="2:21" ht="18" customHeight="1">
      <c r="B11" s="32" t="str">
        <f>'Data Entry'!A11</f>
        <v>6. Cases Petitioned (Charge Filed)</v>
      </c>
      <c r="C11" s="33">
        <f>'Data Entry'!C11</f>
        <v>109</v>
      </c>
      <c r="D11" s="34">
        <f>IF(((AND(C68&gt;0,C11&gt;0))),(C11/(C68)),0)</f>
        <v>63.005780346820806</v>
      </c>
      <c r="E11" s="33">
        <f>'Data Entry'!E11</f>
        <v>3</v>
      </c>
      <c r="F11" s="34">
        <f>IF(((AND($E$11&gt;0,$D$68&gt;0))),($E$11/($D$68)),0)</f>
        <v>60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3</v>
      </c>
      <c r="O11" s="42">
        <f>(D$68*L68)-E11</f>
        <v>2</v>
      </c>
      <c r="P11" s="42">
        <f t="shared" si="4"/>
        <v>109</v>
      </c>
      <c r="Q11" s="42">
        <f>(C$68*L68)-C11</f>
        <v>64</v>
      </c>
      <c r="R11" s="42">
        <f t="shared" si="5"/>
        <v>178</v>
      </c>
      <c r="S11" s="30">
        <f t="shared" si="6"/>
        <v>120328</v>
      </c>
      <c r="T11" s="30">
        <f t="shared" si="7"/>
        <v>6394080</v>
      </c>
      <c r="U11" s="31">
        <f t="shared" si="8"/>
        <v>1.8818657257963615E-2</v>
      </c>
    </row>
    <row r="12" spans="2:21" ht="18" customHeight="1">
      <c r="B12" s="32" t="str">
        <f>'Data Entry'!A12</f>
        <v>7. Cases Resulting in Delinquent Findings</v>
      </c>
      <c r="C12" s="33">
        <f>'Data Entry'!C12</f>
        <v>57</v>
      </c>
      <c r="D12" s="34">
        <f>IF(((AND(C69&gt;0,C12&gt;0))),(C12/(C69)),0)</f>
        <v>52.293577981651374</v>
      </c>
      <c r="E12" s="33">
        <f>'Data Entry'!E12</f>
        <v>3</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3</v>
      </c>
      <c r="O12" s="42">
        <f>(D69*L69)-E12</f>
        <v>0</v>
      </c>
      <c r="P12" s="42">
        <f t="shared" si="4"/>
        <v>57</v>
      </c>
      <c r="Q12" s="42">
        <f>(C69*L69)-C12</f>
        <v>52.000000000000014</v>
      </c>
      <c r="R12" s="42">
        <f t="shared" si="5"/>
        <v>112.00000000000001</v>
      </c>
      <c r="S12" s="30">
        <f t="shared" si="6"/>
        <v>2725632.0000000023</v>
      </c>
      <c r="T12" s="30">
        <f t="shared" si="7"/>
        <v>1020240.0000000005</v>
      </c>
      <c r="U12" s="31">
        <f t="shared" si="8"/>
        <v>2.671559633027524</v>
      </c>
    </row>
    <row r="13" spans="2:21" ht="18" customHeight="1">
      <c r="B13" s="32" t="str">
        <f>'Data Entry'!A13</f>
        <v>8. Cases Resulting in Probation Placement</v>
      </c>
      <c r="C13" s="33">
        <f>'Data Entry'!C13</f>
        <v>122</v>
      </c>
      <c r="D13" s="34">
        <f>IF(((AND(C70&gt;0,C13&gt;0))),(C13/(C70)),0)</f>
        <v>214.03508771929828</v>
      </c>
      <c r="E13" s="33">
        <f>'Data Entry'!E13</f>
        <v>5</v>
      </c>
      <c r="F13" s="34">
        <f>IF(((AND($D$70&gt;0,$E$13&gt;0))),($E$13/($D$70)),0)</f>
        <v>166.66666666666669</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5</v>
      </c>
      <c r="O13" s="42">
        <f>(D70*L70)-E13</f>
        <v>-2</v>
      </c>
      <c r="P13" s="42">
        <f t="shared" si="4"/>
        <v>122</v>
      </c>
      <c r="Q13" s="42">
        <f>(C70*L70)-C13</f>
        <v>-65</v>
      </c>
      <c r="R13" s="42">
        <f t="shared" si="5"/>
        <v>60</v>
      </c>
      <c r="S13" s="30">
        <f t="shared" si="6"/>
        <v>393660</v>
      </c>
      <c r="T13" s="30">
        <f t="shared" si="7"/>
        <v>-1455039</v>
      </c>
      <c r="U13" s="31">
        <f t="shared" si="8"/>
        <v>-0.27054944919002172</v>
      </c>
    </row>
    <row r="14" spans="2:21" ht="30.75" customHeight="1">
      <c r="B14" s="32" t="str">
        <f>'Data Entry'!A14</f>
        <v xml:space="preserve">9. Cases Resulting in Confinement in Secure Juvenile Correctional Facilities </v>
      </c>
      <c r="C14" s="33">
        <f>'Data Entry'!C14</f>
        <v>2</v>
      </c>
      <c r="D14" s="34">
        <f>IF(((AND(C70&gt;0,C14&gt;0))), ((C14/(C70))),0)</f>
        <v>3.5087719298245617</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3</v>
      </c>
      <c r="P14" s="42">
        <f t="shared" si="4"/>
        <v>2</v>
      </c>
      <c r="Q14" s="42">
        <f>(C70*L70)-C14</f>
        <v>54.999999999999993</v>
      </c>
      <c r="R14" s="42">
        <f t="shared" si="5"/>
        <v>59.999999999999993</v>
      </c>
      <c r="S14" s="30">
        <f t="shared" si="6"/>
        <v>2159.9999999999995</v>
      </c>
      <c r="T14" s="30">
        <f t="shared" si="7"/>
        <v>19835.999999999993</v>
      </c>
      <c r="U14" s="31">
        <f t="shared" si="8"/>
        <v>0.10889292196007261</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109.00000000000001</v>
      </c>
      <c r="R15" s="42">
        <f t="shared" si="5"/>
        <v>112.00000000000001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12.737</v>
      </c>
      <c r="D42" s="56">
        <f>E6/1000</f>
        <v>1.903</v>
      </c>
      <c r="E42" s="56">
        <f>MAX(C42:D42)</f>
        <v>12.737</v>
      </c>
      <c r="G42" s="1" t="str">
        <f>B42</f>
        <v>per 1000 youth</v>
      </c>
      <c r="L42" s="57">
        <v>1000</v>
      </c>
      <c r="M42" s="57"/>
      <c r="R42" s="49"/>
    </row>
    <row r="43" spans="2:18" ht="15" hidden="1" customHeight="1">
      <c r="B43" s="49" t="s">
        <v>87</v>
      </c>
      <c r="C43" s="56">
        <f>C7/100</f>
        <v>0.65</v>
      </c>
      <c r="D43" s="56">
        <f>E7/100</f>
        <v>0.04</v>
      </c>
      <c r="E43" s="56">
        <f>MAX(C43:D43,0)</f>
        <v>0.65</v>
      </c>
      <c r="G43" s="1" t="str">
        <f>B43</f>
        <v>per 100 arrests</v>
      </c>
      <c r="L43" s="57">
        <v>100</v>
      </c>
      <c r="M43" s="57"/>
      <c r="R43" s="49"/>
    </row>
    <row r="44" spans="2:18" ht="15" hidden="1" customHeight="1">
      <c r="B44" s="49" t="s">
        <v>88</v>
      </c>
      <c r="C44" s="56">
        <f>C8/100</f>
        <v>1.73</v>
      </c>
      <c r="D44" s="56">
        <f>E8/100</f>
        <v>0.05</v>
      </c>
      <c r="E44" s="56">
        <f>MAX(C44:D44,0)</f>
        <v>1.73</v>
      </c>
      <c r="G44" s="1" t="str">
        <f>B44</f>
        <v>per 100 referrals</v>
      </c>
      <c r="L44" s="57">
        <v>100</v>
      </c>
      <c r="M44" s="57"/>
      <c r="R44" s="49"/>
    </row>
    <row r="45" spans="2:18" ht="15" hidden="1" customHeight="1">
      <c r="B45" s="49" t="s">
        <v>89</v>
      </c>
      <c r="C45" s="49">
        <f>C11/100</f>
        <v>1.0900000000000001</v>
      </c>
      <c r="D45" s="49">
        <f>E11/100</f>
        <v>0.03</v>
      </c>
      <c r="E45" s="56">
        <f>MAX(C45:D45,0)</f>
        <v>1.0900000000000001</v>
      </c>
      <c r="G45" s="1" t="str">
        <f>B45</f>
        <v>per 100 youth petitioned</v>
      </c>
      <c r="L45" s="57">
        <v>100</v>
      </c>
      <c r="M45" s="57"/>
      <c r="R45" s="49"/>
    </row>
    <row r="46" spans="2:18" ht="15" hidden="1" customHeight="1">
      <c r="B46" s="49" t="s">
        <v>90</v>
      </c>
      <c r="C46" s="49">
        <f>C12/100</f>
        <v>0.56999999999999995</v>
      </c>
      <c r="D46" s="49">
        <f>E12/100</f>
        <v>0.03</v>
      </c>
      <c r="E46" s="56">
        <f>MAX(C46:D46)</f>
        <v>0.56999999999999995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12.737</v>
      </c>
      <c r="D48" s="56">
        <f>D42</f>
        <v>1.903</v>
      </c>
      <c r="E48" s="56">
        <f>MAX(C48:D48)</f>
        <v>12.737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0.65</v>
      </c>
      <c r="D49" s="49">
        <f t="shared" si="9"/>
        <v>0.04</v>
      </c>
      <c r="E49" s="49">
        <f>MAX(C49:D49)</f>
        <v>0.65</v>
      </c>
      <c r="G49" s="1" t="str">
        <f>G43</f>
        <v>per 100 arrests</v>
      </c>
      <c r="L49" s="58">
        <f>IF(($E43&gt;0),L43,L42)</f>
        <v>100</v>
      </c>
      <c r="M49" s="58"/>
      <c r="N49" s="21"/>
      <c r="O49" s="21"/>
      <c r="P49" s="21"/>
      <c r="Q49" s="21"/>
      <c r="R49" s="21"/>
    </row>
    <row r="50" spans="2:18" ht="15" hidden="1" customHeight="1">
      <c r="B50" s="49" t="str">
        <f t="shared" si="9"/>
        <v>per 100 referrals</v>
      </c>
      <c r="C50" s="49">
        <f t="shared" si="9"/>
        <v>1.73</v>
      </c>
      <c r="D50" s="49">
        <f t="shared" si="9"/>
        <v>0.05</v>
      </c>
      <c r="E50" s="49">
        <f>MAX(C50:D50)</f>
        <v>1.73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1.0900000000000001</v>
      </c>
      <c r="D51" s="49">
        <f>IF(($E45&gt;0),D45,D44)</f>
        <v>0.03</v>
      </c>
      <c r="E51" s="49">
        <f>MAX(C51:D51)</f>
        <v>1.0900000000000001</v>
      </c>
      <c r="G51" s="1" t="str">
        <f>G45</f>
        <v>per 100 youth petitioned</v>
      </c>
      <c r="L51" s="58">
        <f>IF(($E45&gt;0),L45,L44)</f>
        <v>100</v>
      </c>
      <c r="M51" s="58"/>
    </row>
    <row r="52" spans="2:18" ht="15" hidden="1" customHeight="1">
      <c r="B52" s="49" t="str">
        <f>IF(($E46&gt;0),B46,B45)</f>
        <v>per 100 youth found delinquent</v>
      </c>
      <c r="C52" s="49">
        <f>IF(($E46&gt;0),C46,C45)</f>
        <v>0.56999999999999995</v>
      </c>
      <c r="D52" s="49">
        <f>IF(($E46&gt;0),D46,D45)</f>
        <v>0.03</v>
      </c>
      <c r="E52" s="56">
        <f>MAX(C52:D52)</f>
        <v>0.56999999999999995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12.737</v>
      </c>
      <c r="D54" s="56">
        <f>D48</f>
        <v>1.903</v>
      </c>
      <c r="E54" s="56">
        <f>MAX(C54:D54)</f>
        <v>12.737</v>
      </c>
      <c r="G54" s="1" t="str">
        <f>G48</f>
        <v>per 1000 youth</v>
      </c>
      <c r="L54" s="58">
        <f>L48</f>
        <v>1000</v>
      </c>
      <c r="M54" s="58"/>
    </row>
    <row r="55" spans="2:18" ht="15" hidden="1" customHeight="1">
      <c r="B55" s="49" t="str">
        <f t="shared" ref="B55:D56" si="10">IF(($E49&gt;0),B49,B48)</f>
        <v>per 100 arrests</v>
      </c>
      <c r="C55" s="49">
        <f t="shared" si="10"/>
        <v>0.65</v>
      </c>
      <c r="D55" s="49">
        <f t="shared" si="10"/>
        <v>0.04</v>
      </c>
      <c r="E55" s="49">
        <f>MAX(C55:D55)</f>
        <v>0.65</v>
      </c>
      <c r="G55" s="1" t="str">
        <f>G49</f>
        <v>per 100 arrests</v>
      </c>
      <c r="L55" s="58">
        <f>IF(($E49&gt;0),L49,L48)</f>
        <v>100</v>
      </c>
      <c r="M55" s="58"/>
    </row>
    <row r="56" spans="2:18" ht="15" hidden="1" customHeight="1">
      <c r="B56" s="49" t="str">
        <f t="shared" si="10"/>
        <v>per 100 referrals</v>
      </c>
      <c r="C56" s="49">
        <f t="shared" si="10"/>
        <v>1.73</v>
      </c>
      <c r="D56" s="49">
        <f t="shared" si="10"/>
        <v>0.05</v>
      </c>
      <c r="E56" s="49">
        <f>MAX(C56:D56)</f>
        <v>1.73</v>
      </c>
      <c r="G56" s="1" t="str">
        <f>G50</f>
        <v>per 100 referrals</v>
      </c>
      <c r="L56" s="58">
        <f>IF(($E50&gt;0),L50,L49)</f>
        <v>100</v>
      </c>
      <c r="M56" s="58"/>
    </row>
    <row r="57" spans="2:18" ht="15" hidden="1" customHeight="1">
      <c r="B57" s="49" t="str">
        <f>IF(($E51&gt;0),B51,B49)</f>
        <v>per 100 youth petitioned</v>
      </c>
      <c r="C57" s="49">
        <f>IF(($E51&gt;0),C51,C50)</f>
        <v>1.0900000000000001</v>
      </c>
      <c r="D57" s="49">
        <f>IF(($E51&gt;0),D51,D50)</f>
        <v>0.03</v>
      </c>
      <c r="E57" s="49">
        <f>MAX(C57:D57)</f>
        <v>1.0900000000000001</v>
      </c>
      <c r="G57" s="1" t="str">
        <f>G51</f>
        <v>per 100 youth petitioned</v>
      </c>
      <c r="L57" s="58">
        <f>IF(($E51&gt;0),L51,L50)</f>
        <v>100</v>
      </c>
      <c r="M57" s="58"/>
    </row>
    <row r="58" spans="2:18" ht="15" hidden="1" customHeight="1">
      <c r="B58" s="49" t="str">
        <f>IF(($E52&gt;0),B52,B51)</f>
        <v>per 100 youth found delinquent</v>
      </c>
      <c r="C58" s="49">
        <f>IF(($E52&gt;0),C52,C51)</f>
        <v>0.56999999999999995</v>
      </c>
      <c r="D58" s="49">
        <f>IF(($E52&gt;0),D52,D51)</f>
        <v>0.03</v>
      </c>
      <c r="E58" s="56">
        <f>MAX(C58:D58)</f>
        <v>0.56999999999999995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12.737</v>
      </c>
      <c r="D60" s="56">
        <f>D54</f>
        <v>1.903</v>
      </c>
      <c r="E60" s="56">
        <f>MAX(C60:D60)</f>
        <v>12.737</v>
      </c>
      <c r="G60" s="1" t="str">
        <f>G54</f>
        <v>per 1000 youth</v>
      </c>
      <c r="L60" s="58">
        <f>L54</f>
        <v>1000</v>
      </c>
      <c r="M60" s="58"/>
    </row>
    <row r="61" spans="2:18" ht="15" hidden="1" customHeight="1">
      <c r="B61" s="49" t="str">
        <f t="shared" ref="B61:D62" si="11">IF(($E55&gt;0),B55,B54)</f>
        <v>per 100 arrests</v>
      </c>
      <c r="C61" s="49">
        <f t="shared" si="11"/>
        <v>0.65</v>
      </c>
      <c r="D61" s="49">
        <f t="shared" si="11"/>
        <v>0.04</v>
      </c>
      <c r="E61" s="49">
        <f>MAX(C61:D61)</f>
        <v>0.65</v>
      </c>
      <c r="G61" s="1" t="str">
        <f>G55</f>
        <v>per 100 arrests</v>
      </c>
      <c r="L61" s="58">
        <f>IF(($E55&gt;0),L55,L54)</f>
        <v>100</v>
      </c>
      <c r="M61" s="58"/>
    </row>
    <row r="62" spans="2:18" ht="15" hidden="1" customHeight="1">
      <c r="B62" s="49" t="str">
        <f t="shared" si="11"/>
        <v>per 100 referrals</v>
      </c>
      <c r="C62" s="49">
        <f t="shared" si="11"/>
        <v>1.73</v>
      </c>
      <c r="D62" s="49">
        <f t="shared" si="11"/>
        <v>0.05</v>
      </c>
      <c r="E62" s="49">
        <f>MAX(C62:D62)</f>
        <v>1.73</v>
      </c>
      <c r="G62" s="1" t="str">
        <f>G56</f>
        <v>per 100 referrals</v>
      </c>
      <c r="L62" s="58">
        <f>IF(($E56&gt;0),L56,L55)</f>
        <v>100</v>
      </c>
      <c r="M62" s="58"/>
    </row>
    <row r="63" spans="2:18" ht="15" hidden="1" customHeight="1">
      <c r="B63" s="49" t="str">
        <f>IF(($E57&gt;0),B57,B55)</f>
        <v>per 100 youth petitioned</v>
      </c>
      <c r="C63" s="49">
        <f>IF(($E57&gt;0),C57,C56)</f>
        <v>1.0900000000000001</v>
      </c>
      <c r="D63" s="49">
        <f>IF(($E57&gt;0),D57,D56)</f>
        <v>0.03</v>
      </c>
      <c r="E63" s="49">
        <f>MAX(C63:D63)</f>
        <v>1.0900000000000001</v>
      </c>
      <c r="G63" s="1" t="str">
        <f>G57</f>
        <v>per 100 youth petitioned</v>
      </c>
      <c r="L63" s="58">
        <f>IF(($E57&gt;0),L57,L56)</f>
        <v>100</v>
      </c>
      <c r="M63" s="58"/>
    </row>
    <row r="64" spans="2:18" ht="15" hidden="1" customHeight="1">
      <c r="B64" s="49" t="str">
        <f>IF(($E58&gt;0),B58,B57)</f>
        <v>per 100 youth found delinquent</v>
      </c>
      <c r="C64" s="49">
        <f>IF(($E58&gt;0),C58,C57)</f>
        <v>0.56999999999999995</v>
      </c>
      <c r="D64" s="49">
        <f>IF(($E58&gt;0),D58,D57)</f>
        <v>0.03</v>
      </c>
      <c r="E64" s="56">
        <f>MAX(C64:D64)</f>
        <v>0.56999999999999995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12.737</v>
      </c>
      <c r="D66" s="56">
        <f>D60</f>
        <v>1.903</v>
      </c>
      <c r="E66" s="56">
        <f>MAX(C66:D66)</f>
        <v>12.737</v>
      </c>
      <c r="G66" s="1" t="str">
        <f>G60</f>
        <v>per 1000 youth</v>
      </c>
      <c r="L66" s="58">
        <f>L60</f>
        <v>1000</v>
      </c>
      <c r="M66" s="58">
        <f>IF((B66=G66),1,2)</f>
        <v>1</v>
      </c>
    </row>
    <row r="67" spans="2:13" ht="15" hidden="1" customHeight="1">
      <c r="B67" s="49" t="str">
        <f t="shared" ref="B67:D68" si="12">IF(($E61&gt;0),B61,B60)</f>
        <v>per 100 arrests</v>
      </c>
      <c r="C67" s="49">
        <f t="shared" si="12"/>
        <v>0.65</v>
      </c>
      <c r="D67" s="49">
        <f t="shared" si="12"/>
        <v>0.04</v>
      </c>
      <c r="E67" s="49">
        <f>MAX(C67:D67)</f>
        <v>0.65</v>
      </c>
      <c r="G67" s="1" t="str">
        <f>G61</f>
        <v>per 100 arrests</v>
      </c>
      <c r="L67" s="58">
        <f>IF(($E61&gt;0),L61,L60)</f>
        <v>100</v>
      </c>
      <c r="M67" s="58">
        <f>IF((B67=G67),1,2)</f>
        <v>1</v>
      </c>
    </row>
    <row r="68" spans="2:13" ht="15" hidden="1" customHeight="1">
      <c r="B68" s="49" t="str">
        <f t="shared" si="12"/>
        <v>per 100 referrals</v>
      </c>
      <c r="C68" s="49">
        <f t="shared" si="12"/>
        <v>1.73</v>
      </c>
      <c r="D68" s="49">
        <f t="shared" si="12"/>
        <v>0.05</v>
      </c>
      <c r="E68" s="49">
        <f>MAX(C68:D68)</f>
        <v>1.73</v>
      </c>
      <c r="G68" s="1" t="str">
        <f>G62</f>
        <v>per 100 referrals</v>
      </c>
      <c r="L68" s="58">
        <f>IF(($E62&gt;0),L62,L61)</f>
        <v>100</v>
      </c>
      <c r="M68" s="58">
        <f>IF((B68=G68),1,2)</f>
        <v>1</v>
      </c>
    </row>
    <row r="69" spans="2:13" ht="15" hidden="1" customHeight="1">
      <c r="B69" s="49" t="str">
        <f>IF(($E63&gt;0),B63,B61)</f>
        <v>per 100 youth petitioned</v>
      </c>
      <c r="C69" s="49">
        <f>IF(($E63&gt;0),C63,C62)</f>
        <v>1.0900000000000001</v>
      </c>
      <c r="D69" s="49">
        <f>IF(($E63&gt;0),D63,D62)</f>
        <v>0.03</v>
      </c>
      <c r="E69" s="49">
        <f>MAX(C69:D69)</f>
        <v>1.0900000000000001</v>
      </c>
      <c r="G69" s="1" t="str">
        <f>G63</f>
        <v>per 100 youth petitioned</v>
      </c>
      <c r="L69" s="58">
        <f>IF(($E63&gt;0),L63,L62)</f>
        <v>100</v>
      </c>
      <c r="M69" s="58">
        <f>IF((B69=G69),1,2)</f>
        <v>1</v>
      </c>
    </row>
    <row r="70" spans="2:13" ht="15" hidden="1" customHeight="1">
      <c r="B70" s="49" t="str">
        <f>IF(($E64&gt;0),B64,B63)</f>
        <v>per 100 youth found delinquent</v>
      </c>
      <c r="C70" s="49">
        <f>IF(($E64&gt;0),C64,C63)</f>
        <v>0.56999999999999995</v>
      </c>
      <c r="D70" s="49">
        <f>IF(($E64&gt;0),D64,D63)</f>
        <v>0.03</v>
      </c>
      <c r="E70" s="56">
        <f>MAX(C70:D70)</f>
        <v>0.56999999999999995</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Muskegon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12737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65</v>
      </c>
      <c r="D7" s="34">
        <f>IF((AND(C66&gt;0,C7&gt;0)),(C7/C66),0)</f>
        <v>5.1032425217869202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65</v>
      </c>
      <c r="Q7" s="42">
        <f>C6-C7</f>
        <v>12672</v>
      </c>
      <c r="R7" s="42">
        <f t="shared" ref="R7:R15" si="5">SUM(N7:Q7)</f>
        <v>12737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173</v>
      </c>
      <c r="D8" s="34">
        <f>IF((AND(C67&gt;0,C8&gt;0)),(C8/C67),0)</f>
        <v>266.15384615384613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173</v>
      </c>
      <c r="Q8" s="42">
        <f>(C$67*L67)-C8</f>
        <v>-108</v>
      </c>
      <c r="R8" s="42">
        <f t="shared" si="5"/>
        <v>65.050000000000011</v>
      </c>
      <c r="S8" s="30">
        <f t="shared" si="6"/>
        <v>4867.203625000001</v>
      </c>
      <c r="T8" s="30">
        <f t="shared" si="7"/>
        <v>-60694.887500000004</v>
      </c>
      <c r="U8" s="31">
        <f t="shared" si="8"/>
        <v>-8.0191327893968017E-2</v>
      </c>
    </row>
    <row r="9" spans="2:21" ht="18" customHeight="1">
      <c r="B9" s="32" t="str">
        <f>'Data Entry'!A9</f>
        <v xml:space="preserve">4. Cases Diverted </v>
      </c>
      <c r="C9" s="33">
        <f>'Data Entry'!C9</f>
        <v>22</v>
      </c>
      <c r="D9" s="34">
        <f>IF((AND(C68&gt;0,C9&gt;0)),((C9/C68)),0)</f>
        <v>12.716763005780347</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22</v>
      </c>
      <c r="Q9" s="42">
        <f>(C$68*L68)-C9</f>
        <v>151</v>
      </c>
      <c r="R9" s="42">
        <f t="shared" si="5"/>
        <v>173</v>
      </c>
      <c r="S9" s="30">
        <f t="shared" si="6"/>
        <v>0</v>
      </c>
      <c r="T9" s="30">
        <f t="shared" si="7"/>
        <v>0</v>
      </c>
      <c r="U9" s="31" t="str">
        <f t="shared" si="8"/>
        <v>- -</v>
      </c>
    </row>
    <row r="10" spans="2:21" ht="18" customHeight="1">
      <c r="B10" s="32" t="str">
        <f>'Data Entry'!A10</f>
        <v>5. Cases Involving Secure Detention</v>
      </c>
      <c r="C10" s="33">
        <f>'Data Entry'!C10</f>
        <v>16</v>
      </c>
      <c r="D10" s="34">
        <f>IF(((AND(C68&gt;0,C10&gt;0))),(C10/(C68)),0)</f>
        <v>9.2485549132947984</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16</v>
      </c>
      <c r="Q10" s="42">
        <f>(C$68*L68)-C10</f>
        <v>157</v>
      </c>
      <c r="R10" s="42">
        <f t="shared" si="5"/>
        <v>173</v>
      </c>
      <c r="S10" s="30">
        <f t="shared" si="6"/>
        <v>0</v>
      </c>
      <c r="T10" s="30">
        <f t="shared" si="7"/>
        <v>0</v>
      </c>
      <c r="U10" s="31" t="str">
        <f t="shared" si="8"/>
        <v>- -</v>
      </c>
    </row>
    <row r="11" spans="2:21" ht="18" customHeight="1">
      <c r="B11" s="32" t="str">
        <f>'Data Entry'!A11</f>
        <v>6. Cases Petitioned (Charge Filed)</v>
      </c>
      <c r="C11" s="33">
        <f>'Data Entry'!C11</f>
        <v>109</v>
      </c>
      <c r="D11" s="34">
        <f>IF(((AND(C68&gt;0,C11&gt;0))),(C11/(C68)),0)</f>
        <v>63.005780346820806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109</v>
      </c>
      <c r="Q11" s="42">
        <f>(C$68*L68)-C11</f>
        <v>64</v>
      </c>
      <c r="R11" s="42">
        <f t="shared" si="5"/>
        <v>173</v>
      </c>
      <c r="S11" s="30">
        <f t="shared" si="6"/>
        <v>0</v>
      </c>
      <c r="T11" s="30">
        <f t="shared" si="7"/>
        <v>0</v>
      </c>
      <c r="U11" s="31" t="str">
        <f t="shared" si="8"/>
        <v>- -</v>
      </c>
    </row>
    <row r="12" spans="2:21" ht="18" customHeight="1">
      <c r="B12" s="32" t="str">
        <f>'Data Entry'!A12</f>
        <v>7. Cases Resulting in Delinquent Findings</v>
      </c>
      <c r="C12" s="33">
        <f>'Data Entry'!C12</f>
        <v>57</v>
      </c>
      <c r="D12" s="34">
        <f>IF(((AND(C69&gt;0,C12&gt;0))),(C12/(C69)),0)</f>
        <v>52.293577981651374</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57</v>
      </c>
      <c r="Q12" s="42">
        <f>(C69*L69)-C12</f>
        <v>52.000000000000014</v>
      </c>
      <c r="R12" s="42">
        <f t="shared" si="5"/>
        <v>109.00000000000001</v>
      </c>
      <c r="S12" s="30">
        <f t="shared" si="6"/>
        <v>0</v>
      </c>
      <c r="T12" s="30">
        <f t="shared" si="7"/>
        <v>0</v>
      </c>
      <c r="U12" s="31" t="str">
        <f t="shared" si="8"/>
        <v>- -</v>
      </c>
    </row>
    <row r="13" spans="2:21" ht="18" customHeight="1">
      <c r="B13" s="32" t="str">
        <f>'Data Entry'!A13</f>
        <v>8. Cases Resulting in Probation Placement</v>
      </c>
      <c r="C13" s="33">
        <f>'Data Entry'!C13</f>
        <v>122</v>
      </c>
      <c r="D13" s="34">
        <f>IF(((AND(C70&gt;0,C13&gt;0))),(C13/(C70)),0)</f>
        <v>214.03508771929828</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122</v>
      </c>
      <c r="Q13" s="42">
        <f>(C70*L70)-C13</f>
        <v>-65</v>
      </c>
      <c r="R13" s="42">
        <f t="shared" si="5"/>
        <v>57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3.5087719298245617</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54.999999999999993</v>
      </c>
      <c r="R14" s="42">
        <f t="shared" si="5"/>
        <v>56.999999999999993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109.00000000000001</v>
      </c>
      <c r="R15" s="42">
        <f t="shared" si="5"/>
        <v>109.00000000000001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12.737</v>
      </c>
      <c r="D42" s="56">
        <f>E6/1000</f>
        <v>0</v>
      </c>
      <c r="E42" s="56">
        <f>MAX(C42:D42)</f>
        <v>12.737</v>
      </c>
      <c r="G42" s="1" t="str">
        <f>B42</f>
        <v>per 1000 youth</v>
      </c>
      <c r="L42" s="57">
        <v>1000</v>
      </c>
      <c r="M42" s="57"/>
      <c r="R42" s="49"/>
    </row>
    <row r="43" spans="2:18" ht="15" hidden="1" customHeight="1">
      <c r="B43" s="49" t="s">
        <v>87</v>
      </c>
      <c r="C43" s="56">
        <f>C7/100</f>
        <v>0.65</v>
      </c>
      <c r="D43" s="56">
        <f>E7/100</f>
        <v>0</v>
      </c>
      <c r="E43" s="56">
        <f>MAX(C43:D43,0)</f>
        <v>0.65</v>
      </c>
      <c r="G43" s="1" t="str">
        <f>B43</f>
        <v>per 100 arrests</v>
      </c>
      <c r="L43" s="57">
        <v>100</v>
      </c>
      <c r="M43" s="57"/>
      <c r="R43" s="49"/>
    </row>
    <row r="44" spans="2:18" ht="15" hidden="1" customHeight="1">
      <c r="B44" s="49" t="s">
        <v>88</v>
      </c>
      <c r="C44" s="56">
        <f>C8/100</f>
        <v>1.73</v>
      </c>
      <c r="D44" s="56">
        <f>E8/100</f>
        <v>0</v>
      </c>
      <c r="E44" s="56">
        <f>MAX(C44:D44,0)</f>
        <v>1.73</v>
      </c>
      <c r="G44" s="1" t="str">
        <f>B44</f>
        <v>per 100 referrals</v>
      </c>
      <c r="L44" s="57">
        <v>100</v>
      </c>
      <c r="M44" s="57"/>
      <c r="R44" s="49"/>
    </row>
    <row r="45" spans="2:18" ht="15" hidden="1" customHeight="1">
      <c r="B45" s="49" t="s">
        <v>89</v>
      </c>
      <c r="C45" s="49">
        <f>C11/100</f>
        <v>1.0900000000000001</v>
      </c>
      <c r="D45" s="49">
        <f>E11/100</f>
        <v>0</v>
      </c>
      <c r="E45" s="56">
        <f>MAX(C45:D45,0)</f>
        <v>1.0900000000000001</v>
      </c>
      <c r="G45" s="1" t="str">
        <f>B45</f>
        <v>per 100 youth petitioned</v>
      </c>
      <c r="L45" s="57">
        <v>100</v>
      </c>
      <c r="M45" s="57"/>
      <c r="R45" s="49"/>
    </row>
    <row r="46" spans="2:18" ht="15" hidden="1" customHeight="1">
      <c r="B46" s="49" t="s">
        <v>90</v>
      </c>
      <c r="C46" s="49">
        <f>C12/100</f>
        <v>0.56999999999999995</v>
      </c>
      <c r="D46" s="49">
        <f>E12/100</f>
        <v>0</v>
      </c>
      <c r="E46" s="56">
        <f>MAX(C46:D46)</f>
        <v>0.56999999999999995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12.737</v>
      </c>
      <c r="D48" s="56">
        <f>D42</f>
        <v>0</v>
      </c>
      <c r="E48" s="56">
        <f>MAX(C48:D48)</f>
        <v>12.737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0.65</v>
      </c>
      <c r="D49" s="49">
        <f t="shared" si="9"/>
        <v>0</v>
      </c>
      <c r="E49" s="49">
        <f>MAX(C49:D49)</f>
        <v>0.65</v>
      </c>
      <c r="G49" s="1" t="str">
        <f>G43</f>
        <v>per 100 arrests</v>
      </c>
      <c r="L49" s="58">
        <f>IF(($E43&gt;0),L43,L42)</f>
        <v>100</v>
      </c>
      <c r="M49" s="58"/>
      <c r="N49" s="21"/>
      <c r="O49" s="21"/>
      <c r="P49" s="21"/>
      <c r="Q49" s="21"/>
      <c r="R49" s="21"/>
    </row>
    <row r="50" spans="2:18" ht="15" hidden="1" customHeight="1">
      <c r="B50" s="49" t="str">
        <f t="shared" si="9"/>
        <v>per 100 referrals</v>
      </c>
      <c r="C50" s="49">
        <f t="shared" si="9"/>
        <v>1.73</v>
      </c>
      <c r="D50" s="49">
        <f t="shared" si="9"/>
        <v>0</v>
      </c>
      <c r="E50" s="49">
        <f>MAX(C50:D50)</f>
        <v>1.73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1.0900000000000001</v>
      </c>
      <c r="D51" s="49">
        <f>IF(($E45&gt;0),D45,D44)</f>
        <v>0</v>
      </c>
      <c r="E51" s="49">
        <f>MAX(C51:D51)</f>
        <v>1.0900000000000001</v>
      </c>
      <c r="G51" s="1" t="str">
        <f>G45</f>
        <v>per 100 youth petitioned</v>
      </c>
      <c r="L51" s="58">
        <f>IF(($E45&gt;0),L45,L44)</f>
        <v>100</v>
      </c>
      <c r="M51" s="58"/>
    </row>
    <row r="52" spans="2:18" ht="15" hidden="1" customHeight="1">
      <c r="B52" s="49" t="str">
        <f>IF(($E46&gt;0),B46,B45)</f>
        <v>per 100 youth found delinquent</v>
      </c>
      <c r="C52" s="49">
        <f>IF(($E46&gt;0),C46,C45)</f>
        <v>0.56999999999999995</v>
      </c>
      <c r="D52" s="49">
        <f>IF(($E46&gt;0),D46,D45)</f>
        <v>0</v>
      </c>
      <c r="E52" s="56">
        <f>MAX(C52:D52)</f>
        <v>0.56999999999999995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12.737</v>
      </c>
      <c r="D54" s="56">
        <f>D48</f>
        <v>0</v>
      </c>
      <c r="E54" s="56">
        <f>MAX(C54:D54)</f>
        <v>12.737</v>
      </c>
      <c r="G54" s="1" t="str">
        <f>G48</f>
        <v>per 1000 youth</v>
      </c>
      <c r="L54" s="58">
        <f>L48</f>
        <v>1000</v>
      </c>
      <c r="M54" s="58"/>
    </row>
    <row r="55" spans="2:18" ht="15" hidden="1" customHeight="1">
      <c r="B55" s="49" t="str">
        <f t="shared" ref="B55:D56" si="10">IF(($E49&gt;0),B49,B48)</f>
        <v>per 100 arrests</v>
      </c>
      <c r="C55" s="49">
        <f t="shared" si="10"/>
        <v>0.65</v>
      </c>
      <c r="D55" s="49">
        <f t="shared" si="10"/>
        <v>0</v>
      </c>
      <c r="E55" s="49">
        <f>MAX(C55:D55)</f>
        <v>0.65</v>
      </c>
      <c r="G55" s="1" t="str">
        <f>G49</f>
        <v>per 100 arrests</v>
      </c>
      <c r="L55" s="58">
        <f>IF(($E49&gt;0),L49,L48)</f>
        <v>100</v>
      </c>
      <c r="M55" s="58"/>
    </row>
    <row r="56" spans="2:18" ht="15" hidden="1" customHeight="1">
      <c r="B56" s="49" t="str">
        <f t="shared" si="10"/>
        <v>per 100 referrals</v>
      </c>
      <c r="C56" s="49">
        <f t="shared" si="10"/>
        <v>1.73</v>
      </c>
      <c r="D56" s="49">
        <f t="shared" si="10"/>
        <v>0</v>
      </c>
      <c r="E56" s="49">
        <f>MAX(C56:D56)</f>
        <v>1.73</v>
      </c>
      <c r="G56" s="1" t="str">
        <f>G50</f>
        <v>per 100 referrals</v>
      </c>
      <c r="L56" s="58">
        <f>IF(($E50&gt;0),L50,L49)</f>
        <v>100</v>
      </c>
      <c r="M56" s="58"/>
    </row>
    <row r="57" spans="2:18" ht="15" hidden="1" customHeight="1">
      <c r="B57" s="49" t="str">
        <f>IF(($E51&gt;0),B51,B49)</f>
        <v>per 100 youth petitioned</v>
      </c>
      <c r="C57" s="49">
        <f>IF(($E51&gt;0),C51,C50)</f>
        <v>1.0900000000000001</v>
      </c>
      <c r="D57" s="49">
        <f>IF(($E51&gt;0),D51,D50)</f>
        <v>0</v>
      </c>
      <c r="E57" s="49">
        <f>MAX(C57:D57)</f>
        <v>1.0900000000000001</v>
      </c>
      <c r="G57" s="1" t="str">
        <f>G51</f>
        <v>per 100 youth petitioned</v>
      </c>
      <c r="L57" s="58">
        <f>IF(($E51&gt;0),L51,L50)</f>
        <v>100</v>
      </c>
      <c r="M57" s="58"/>
    </row>
    <row r="58" spans="2:18" ht="15" hidden="1" customHeight="1">
      <c r="B58" s="49" t="str">
        <f>IF(($E52&gt;0),B52,B51)</f>
        <v>per 100 youth found delinquent</v>
      </c>
      <c r="C58" s="49">
        <f>IF(($E52&gt;0),C52,C51)</f>
        <v>0.56999999999999995</v>
      </c>
      <c r="D58" s="49">
        <f>IF(($E52&gt;0),D52,D51)</f>
        <v>0</v>
      </c>
      <c r="E58" s="56">
        <f>MAX(C58:D58)</f>
        <v>0.56999999999999995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12.737</v>
      </c>
      <c r="D60" s="56">
        <f>D54</f>
        <v>0</v>
      </c>
      <c r="E60" s="56">
        <f>MAX(C60:D60)</f>
        <v>12.737</v>
      </c>
      <c r="G60" s="1" t="str">
        <f>G54</f>
        <v>per 1000 youth</v>
      </c>
      <c r="L60" s="58">
        <f>L54</f>
        <v>1000</v>
      </c>
      <c r="M60" s="58"/>
    </row>
    <row r="61" spans="2:18" ht="15" hidden="1" customHeight="1">
      <c r="B61" s="49" t="str">
        <f t="shared" ref="B61:D62" si="11">IF(($E55&gt;0),B55,B54)</f>
        <v>per 100 arrests</v>
      </c>
      <c r="C61" s="49">
        <f t="shared" si="11"/>
        <v>0.65</v>
      </c>
      <c r="D61" s="49">
        <f t="shared" si="11"/>
        <v>0</v>
      </c>
      <c r="E61" s="49">
        <f>MAX(C61:D61)</f>
        <v>0.65</v>
      </c>
      <c r="G61" s="1" t="str">
        <f>G55</f>
        <v>per 100 arrests</v>
      </c>
      <c r="L61" s="58">
        <f>IF(($E55&gt;0),L55,L54)</f>
        <v>100</v>
      </c>
      <c r="M61" s="58"/>
    </row>
    <row r="62" spans="2:18" ht="15" hidden="1" customHeight="1">
      <c r="B62" s="49" t="str">
        <f t="shared" si="11"/>
        <v>per 100 referrals</v>
      </c>
      <c r="C62" s="49">
        <f t="shared" si="11"/>
        <v>1.73</v>
      </c>
      <c r="D62" s="49">
        <f t="shared" si="11"/>
        <v>0</v>
      </c>
      <c r="E62" s="49">
        <f>MAX(C62:D62)</f>
        <v>1.73</v>
      </c>
      <c r="G62" s="1" t="str">
        <f>G56</f>
        <v>per 100 referrals</v>
      </c>
      <c r="L62" s="58">
        <f>IF(($E56&gt;0),L56,L55)</f>
        <v>100</v>
      </c>
      <c r="M62" s="58"/>
    </row>
    <row r="63" spans="2:18" ht="15" hidden="1" customHeight="1">
      <c r="B63" s="49" t="str">
        <f>IF(($E57&gt;0),B57,B55)</f>
        <v>per 100 youth petitioned</v>
      </c>
      <c r="C63" s="49">
        <f>IF(($E57&gt;0),C57,C56)</f>
        <v>1.0900000000000001</v>
      </c>
      <c r="D63" s="49">
        <f>IF(($E57&gt;0),D57,D56)</f>
        <v>0</v>
      </c>
      <c r="E63" s="49">
        <f>MAX(C63:D63)</f>
        <v>1.0900000000000001</v>
      </c>
      <c r="G63" s="1" t="str">
        <f>G57</f>
        <v>per 100 youth petitioned</v>
      </c>
      <c r="L63" s="58">
        <f>IF(($E57&gt;0),L57,L56)</f>
        <v>100</v>
      </c>
      <c r="M63" s="58"/>
    </row>
    <row r="64" spans="2:18" ht="15" hidden="1" customHeight="1">
      <c r="B64" s="49" t="str">
        <f>IF(($E58&gt;0),B58,B57)</f>
        <v>per 100 youth found delinquent</v>
      </c>
      <c r="C64" s="49">
        <f>IF(($E58&gt;0),C58,C57)</f>
        <v>0.56999999999999995</v>
      </c>
      <c r="D64" s="49">
        <f>IF(($E58&gt;0),D58,D57)</f>
        <v>0</v>
      </c>
      <c r="E64" s="56">
        <f>MAX(C64:D64)</f>
        <v>0.56999999999999995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12.737</v>
      </c>
      <c r="D66" s="56">
        <f>D60</f>
        <v>0</v>
      </c>
      <c r="E66" s="56">
        <f>MAX(C66:D66)</f>
        <v>12.737</v>
      </c>
      <c r="G66" s="1" t="str">
        <f>G60</f>
        <v>per 1000 youth</v>
      </c>
      <c r="L66" s="58">
        <f>L60</f>
        <v>1000</v>
      </c>
      <c r="M66" s="58">
        <f>IF((B66=G66),1,2)</f>
        <v>1</v>
      </c>
    </row>
    <row r="67" spans="2:13" ht="15" hidden="1" customHeight="1">
      <c r="B67" s="49" t="str">
        <f t="shared" ref="B67:D68" si="12">IF(($E61&gt;0),B61,B60)</f>
        <v>per 100 arrests</v>
      </c>
      <c r="C67" s="49">
        <f t="shared" si="12"/>
        <v>0.65</v>
      </c>
      <c r="D67" s="49">
        <f t="shared" si="12"/>
        <v>0</v>
      </c>
      <c r="E67" s="49">
        <f>MAX(C67:D67)</f>
        <v>0.65</v>
      </c>
      <c r="G67" s="1" t="str">
        <f>G61</f>
        <v>per 100 arrests</v>
      </c>
      <c r="L67" s="58">
        <f>IF(($E61&gt;0),L61,L60)</f>
        <v>100</v>
      </c>
      <c r="M67" s="58">
        <f>IF((B67=G67),1,2)</f>
        <v>1</v>
      </c>
    </row>
    <row r="68" spans="2:13" ht="15" hidden="1" customHeight="1">
      <c r="B68" s="49" t="str">
        <f t="shared" si="12"/>
        <v>per 100 referrals</v>
      </c>
      <c r="C68" s="49">
        <f t="shared" si="12"/>
        <v>1.73</v>
      </c>
      <c r="D68" s="49">
        <f t="shared" si="12"/>
        <v>0</v>
      </c>
      <c r="E68" s="49">
        <f>MAX(C68:D68)</f>
        <v>1.73</v>
      </c>
      <c r="G68" s="1" t="str">
        <f>G62</f>
        <v>per 100 referrals</v>
      </c>
      <c r="L68" s="58">
        <f>IF(($E62&gt;0),L62,L61)</f>
        <v>100</v>
      </c>
      <c r="M68" s="58">
        <f>IF((B68=G68),1,2)</f>
        <v>1</v>
      </c>
    </row>
    <row r="69" spans="2:13" ht="15" hidden="1" customHeight="1">
      <c r="B69" s="49" t="str">
        <f>IF(($E63&gt;0),B63,B61)</f>
        <v>per 100 youth petitioned</v>
      </c>
      <c r="C69" s="49">
        <f>IF(($E63&gt;0),C63,C62)</f>
        <v>1.0900000000000001</v>
      </c>
      <c r="D69" s="49">
        <f>IF(($E63&gt;0),D63,D62)</f>
        <v>0</v>
      </c>
      <c r="E69" s="49">
        <f>MAX(C69:D69)</f>
        <v>1.0900000000000001</v>
      </c>
      <c r="G69" s="1" t="str">
        <f>G63</f>
        <v>per 100 youth petitioned</v>
      </c>
      <c r="L69" s="58">
        <f>IF(($E63&gt;0),L63,L62)</f>
        <v>100</v>
      </c>
      <c r="M69" s="58">
        <f>IF((B69=G69),1,2)</f>
        <v>1</v>
      </c>
    </row>
    <row r="70" spans="2:13" ht="15" hidden="1" customHeight="1">
      <c r="B70" s="49" t="str">
        <f>IF(($E64&gt;0),B64,B63)</f>
        <v>per 100 youth found delinquent</v>
      </c>
      <c r="C70" s="49">
        <f>IF(($E64&gt;0),C64,C63)</f>
        <v>0.56999999999999995</v>
      </c>
      <c r="D70" s="49">
        <f>IF(($E64&gt;0),D64,D63)</f>
        <v>0</v>
      </c>
      <c r="E70" s="56">
        <f>MAX(C70:D70)</f>
        <v>0.56999999999999995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Muskegon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12737</v>
      </c>
      <c r="D6" s="34"/>
      <c r="E6" s="33">
        <f>'Data Entry'!H6</f>
        <v>149</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65</v>
      </c>
      <c r="D7" s="34">
        <f>IF((AND(C66&gt;0,C7&gt;0)),(C7/C66),0)</f>
        <v>5.1032425217869202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149</v>
      </c>
      <c r="P7" s="42">
        <f t="shared" ref="P7:P15" si="4">C7</f>
        <v>65</v>
      </c>
      <c r="Q7" s="42">
        <f>C6-C7</f>
        <v>12672</v>
      </c>
      <c r="R7" s="42">
        <f t="shared" ref="R7:R15" si="5">SUM(N7:Q7)</f>
        <v>12886</v>
      </c>
      <c r="S7" s="30">
        <f t="shared" ref="S7:S15" si="6">R7*((((N7*Q7)-(O7*P7))^2))</f>
        <v>1208696813350</v>
      </c>
      <c r="T7" s="30">
        <f t="shared" ref="T7:T15" si="7">(N7+O7)*(P7+Q7)*(N7+P7)*(O7+Q7)</f>
        <v>1581570930745</v>
      </c>
      <c r="U7" s="31">
        <f t="shared" ref="U7:U15" si="8">IF((S7&gt;0),S7/T7,"- -")</f>
        <v>0.76423813175463629</v>
      </c>
    </row>
    <row r="8" spans="2:21" ht="18" customHeight="1">
      <c r="B8" s="32" t="str">
        <f>'Data Entry'!A8</f>
        <v>3. Refer to Juvenile Court</v>
      </c>
      <c r="C8" s="33">
        <f>'Data Entry'!C8</f>
        <v>173</v>
      </c>
      <c r="D8" s="34">
        <f>IF((AND(C67&gt;0,C8&gt;0)),(C8/C67),0)</f>
        <v>266.15384615384613</v>
      </c>
      <c r="E8" s="33">
        <f>'Data Entry'!H8</f>
        <v>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v>
      </c>
      <c r="O8" s="42">
        <f>((D67*L67)-E8)+0.05</f>
        <v>-1.95</v>
      </c>
      <c r="P8" s="42">
        <f t="shared" si="4"/>
        <v>173</v>
      </c>
      <c r="Q8" s="42">
        <f>(C$67*L67)-C8</f>
        <v>-108</v>
      </c>
      <c r="R8" s="42">
        <f t="shared" si="5"/>
        <v>65.050000000000011</v>
      </c>
      <c r="S8" s="30">
        <f t="shared" si="6"/>
        <v>957914.75362499955</v>
      </c>
      <c r="T8" s="30">
        <f t="shared" si="7"/>
        <v>-62534.062500000051</v>
      </c>
      <c r="U8" s="31">
        <f t="shared" si="8"/>
        <v>-15.318287591262742</v>
      </c>
    </row>
    <row r="9" spans="2:21" ht="18" customHeight="1">
      <c r="B9" s="32" t="str">
        <f>'Data Entry'!A9</f>
        <v xml:space="preserve">4. Cases Diverted </v>
      </c>
      <c r="C9" s="33">
        <f>'Data Entry'!C9</f>
        <v>22</v>
      </c>
      <c r="D9" s="34">
        <f>IF((AND(C68&gt;0,C9&gt;0)),((C9/C68)),0)</f>
        <v>12.716763005780347</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2</v>
      </c>
      <c r="P9" s="42">
        <f t="shared" si="4"/>
        <v>22</v>
      </c>
      <c r="Q9" s="42">
        <f>(C$68*L68)-C9</f>
        <v>151</v>
      </c>
      <c r="R9" s="42">
        <f t="shared" si="5"/>
        <v>175</v>
      </c>
      <c r="S9" s="30">
        <f t="shared" si="6"/>
        <v>338800</v>
      </c>
      <c r="T9" s="30">
        <f t="shared" si="7"/>
        <v>1164636</v>
      </c>
      <c r="U9" s="31">
        <f t="shared" si="8"/>
        <v>0.29090634326948506</v>
      </c>
    </row>
    <row r="10" spans="2:21" ht="18" customHeight="1">
      <c r="B10" s="32" t="str">
        <f>'Data Entry'!A10</f>
        <v>5. Cases Involving Secure Detention</v>
      </c>
      <c r="C10" s="33">
        <f>'Data Entry'!C10</f>
        <v>16</v>
      </c>
      <c r="D10" s="34">
        <f>IF(((AND(C68&gt;0,C10&gt;0))),(C10/(C68)),0)</f>
        <v>9.2485549132947984</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2</v>
      </c>
      <c r="P10" s="42">
        <f t="shared" si="4"/>
        <v>16</v>
      </c>
      <c r="Q10" s="42">
        <f>(C$68*L68)-C10</f>
        <v>157</v>
      </c>
      <c r="R10" s="42">
        <f t="shared" si="5"/>
        <v>175</v>
      </c>
      <c r="S10" s="30">
        <f t="shared" si="6"/>
        <v>179200</v>
      </c>
      <c r="T10" s="30">
        <f t="shared" si="7"/>
        <v>880224</v>
      </c>
      <c r="U10" s="31">
        <f t="shared" si="8"/>
        <v>0.20358454211655216</v>
      </c>
    </row>
    <row r="11" spans="2:21" ht="18" customHeight="1">
      <c r="B11" s="32" t="str">
        <f>'Data Entry'!A11</f>
        <v>6. Cases Petitioned (Charge Filed)</v>
      </c>
      <c r="C11" s="33">
        <f>'Data Entry'!C11</f>
        <v>109</v>
      </c>
      <c r="D11" s="34">
        <f>IF(((AND(C68&gt;0,C11&gt;0))),(C11/(C68)),0)</f>
        <v>63.005780346820806</v>
      </c>
      <c r="E11" s="33">
        <f>'Data Entry'!H11</f>
        <v>1</v>
      </c>
      <c r="F11" s="34">
        <f>IF(((AND($E$11&gt;0,$D$68&gt;0))),($E$11/($D$68)),0)</f>
        <v>50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1</v>
      </c>
      <c r="P11" s="42">
        <f t="shared" si="4"/>
        <v>109</v>
      </c>
      <c r="Q11" s="42">
        <f>(C$68*L68)-C11</f>
        <v>64</v>
      </c>
      <c r="R11" s="42">
        <f t="shared" si="5"/>
        <v>175</v>
      </c>
      <c r="S11" s="30">
        <f t="shared" si="6"/>
        <v>354375</v>
      </c>
      <c r="T11" s="30">
        <f t="shared" si="7"/>
        <v>2473900</v>
      </c>
      <c r="U11" s="31">
        <f t="shared" si="8"/>
        <v>0.14324548284085856</v>
      </c>
    </row>
    <row r="12" spans="2:21" ht="18" customHeight="1">
      <c r="B12" s="32" t="str">
        <f>'Data Entry'!A12</f>
        <v>7. Cases Resulting in Delinquent Findings</v>
      </c>
      <c r="C12" s="33">
        <f>'Data Entry'!C12</f>
        <v>57</v>
      </c>
      <c r="D12" s="34">
        <f>IF(((AND(C69&gt;0,C12&gt;0))),(C12/(C69)),0)</f>
        <v>52.293577981651374</v>
      </c>
      <c r="E12" s="33">
        <f>'Data Entry'!H12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57</v>
      </c>
      <c r="Q12" s="42">
        <f>(C69*L69)-C12</f>
        <v>52.000000000000014</v>
      </c>
      <c r="R12" s="42">
        <f t="shared" si="5"/>
        <v>110.00000000000001</v>
      </c>
      <c r="S12" s="30">
        <f t="shared" si="6"/>
        <v>297440.00000000017</v>
      </c>
      <c r="T12" s="30">
        <f t="shared" si="7"/>
        <v>328744.00000000012</v>
      </c>
      <c r="U12" s="31">
        <f t="shared" si="8"/>
        <v>0.90477696931350859</v>
      </c>
    </row>
    <row r="13" spans="2:21" ht="18" customHeight="1">
      <c r="B13" s="32" t="str">
        <f>'Data Entry'!A13</f>
        <v>8. Cases Resulting in Probation Placement</v>
      </c>
      <c r="C13" s="33">
        <f>'Data Entry'!C13</f>
        <v>122</v>
      </c>
      <c r="D13" s="34">
        <f>IF(((AND(C70&gt;0,C13&gt;0))),(C13/(C70)),0)</f>
        <v>214.03508771929828</v>
      </c>
      <c r="E13" s="33">
        <f>'Data Entry'!H13</f>
        <v>2</v>
      </c>
      <c r="F13" s="34">
        <f>IF(((AND($D$70&gt;0,$E$13&gt;0))),($E$13/($D$70)),0)</f>
        <v>200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2</v>
      </c>
      <c r="O13" s="42">
        <f>(D70*L70)-E13</f>
        <v>-1</v>
      </c>
      <c r="P13" s="42">
        <f t="shared" si="4"/>
        <v>122</v>
      </c>
      <c r="Q13" s="42">
        <f>(C70*L70)-C13</f>
        <v>-65</v>
      </c>
      <c r="R13" s="42">
        <f t="shared" si="5"/>
        <v>58</v>
      </c>
      <c r="S13" s="30">
        <f t="shared" si="6"/>
        <v>3712</v>
      </c>
      <c r="T13" s="30">
        <f t="shared" si="7"/>
        <v>-466488</v>
      </c>
      <c r="U13" s="31">
        <f t="shared" si="8"/>
        <v>-7.9573322357702671E-3</v>
      </c>
    </row>
    <row r="14" spans="2:21" ht="30.75" customHeight="1">
      <c r="B14" s="32" t="str">
        <f>'Data Entry'!A14</f>
        <v xml:space="preserve">9. Cases Resulting in Confinement in Secure Juvenile Correctional Facilities </v>
      </c>
      <c r="C14" s="33">
        <f>'Data Entry'!C14</f>
        <v>2</v>
      </c>
      <c r="D14" s="34">
        <f>IF(((AND(C70&gt;0,C14&gt;0))), ((C14/(C70))),0)</f>
        <v>3.5087719298245617</v>
      </c>
      <c r="E14" s="33">
        <f>'Data Entry'!H14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2</v>
      </c>
      <c r="Q14" s="42">
        <f>(C70*L70)-C14</f>
        <v>54.999999999999993</v>
      </c>
      <c r="R14" s="42">
        <f t="shared" si="5"/>
        <v>57.999999999999993</v>
      </c>
      <c r="S14" s="30">
        <f t="shared" si="6"/>
        <v>231.99999999999997</v>
      </c>
      <c r="T14" s="30">
        <f t="shared" si="7"/>
        <v>6383.9999999999982</v>
      </c>
      <c r="U14" s="31">
        <f t="shared" si="8"/>
        <v>3.6340852130325819E-2</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109.00000000000001</v>
      </c>
      <c r="R15" s="42">
        <f t="shared" si="5"/>
        <v>110.00000000000001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12.737</v>
      </c>
      <c r="D42" s="56">
        <f>E6/1000</f>
        <v>0.14899999999999999</v>
      </c>
      <c r="E42" s="56">
        <f>MAX(C42:D42)</f>
        <v>12.737</v>
      </c>
      <c r="G42" s="1" t="str">
        <f>B42</f>
        <v>per 1000 youth</v>
      </c>
      <c r="L42" s="57">
        <v>1000</v>
      </c>
      <c r="M42" s="57"/>
      <c r="R42" s="49"/>
    </row>
    <row r="43" spans="2:18" ht="15" hidden="1" customHeight="1">
      <c r="B43" s="49" t="s">
        <v>87</v>
      </c>
      <c r="C43" s="56">
        <f>C7/100</f>
        <v>0.65</v>
      </c>
      <c r="D43" s="56">
        <f>E7/100</f>
        <v>0</v>
      </c>
      <c r="E43" s="56">
        <f>MAX(C43:D43,0)</f>
        <v>0.65</v>
      </c>
      <c r="G43" s="1" t="str">
        <f>B43</f>
        <v>per 100 arrests</v>
      </c>
      <c r="L43" s="57">
        <v>100</v>
      </c>
      <c r="M43" s="57"/>
      <c r="R43" s="49"/>
    </row>
    <row r="44" spans="2:18" ht="15" hidden="1" customHeight="1">
      <c r="B44" s="49" t="s">
        <v>88</v>
      </c>
      <c r="C44" s="56">
        <f>C8/100</f>
        <v>1.73</v>
      </c>
      <c r="D44" s="56">
        <f>E8/100</f>
        <v>0.02</v>
      </c>
      <c r="E44" s="56">
        <f>MAX(C44:D44,0)</f>
        <v>1.73</v>
      </c>
      <c r="G44" s="1" t="str">
        <f>B44</f>
        <v>per 100 referrals</v>
      </c>
      <c r="L44" s="57">
        <v>100</v>
      </c>
      <c r="M44" s="57"/>
      <c r="R44" s="49"/>
    </row>
    <row r="45" spans="2:18" ht="15" hidden="1" customHeight="1">
      <c r="B45" s="49" t="s">
        <v>89</v>
      </c>
      <c r="C45" s="49">
        <f>C11/100</f>
        <v>1.0900000000000001</v>
      </c>
      <c r="D45" s="49">
        <f>E11/100</f>
        <v>0.01</v>
      </c>
      <c r="E45" s="56">
        <f>MAX(C45:D45,0)</f>
        <v>1.0900000000000001</v>
      </c>
      <c r="G45" s="1" t="str">
        <f>B45</f>
        <v>per 100 youth petitioned</v>
      </c>
      <c r="L45" s="57">
        <v>100</v>
      </c>
      <c r="M45" s="57"/>
      <c r="R45" s="49"/>
    </row>
    <row r="46" spans="2:18" ht="15" hidden="1" customHeight="1">
      <c r="B46" s="49" t="s">
        <v>90</v>
      </c>
      <c r="C46" s="49">
        <f>C12/100</f>
        <v>0.56999999999999995</v>
      </c>
      <c r="D46" s="49">
        <f>E12/100</f>
        <v>0.01</v>
      </c>
      <c r="E46" s="56">
        <f>MAX(C46:D46)</f>
        <v>0.56999999999999995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12.737</v>
      </c>
      <c r="D48" s="56">
        <f>D42</f>
        <v>0.14899999999999999</v>
      </c>
      <c r="E48" s="56">
        <f>MAX(C48:D48)</f>
        <v>12.737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0.65</v>
      </c>
      <c r="D49" s="49">
        <f t="shared" si="9"/>
        <v>0</v>
      </c>
      <c r="E49" s="49">
        <f>MAX(C49:D49)</f>
        <v>0.65</v>
      </c>
      <c r="G49" s="1" t="str">
        <f>G43</f>
        <v>per 100 arrests</v>
      </c>
      <c r="L49" s="58">
        <f>IF(($E43&gt;0),L43,L42)</f>
        <v>100</v>
      </c>
      <c r="M49" s="58"/>
      <c r="N49" s="21"/>
      <c r="O49" s="21"/>
      <c r="P49" s="21"/>
      <c r="Q49" s="21"/>
      <c r="R49" s="21"/>
    </row>
    <row r="50" spans="2:18" ht="15" hidden="1" customHeight="1">
      <c r="B50" s="49" t="str">
        <f t="shared" si="9"/>
        <v>per 100 referrals</v>
      </c>
      <c r="C50" s="49">
        <f t="shared" si="9"/>
        <v>1.73</v>
      </c>
      <c r="D50" s="49">
        <f t="shared" si="9"/>
        <v>0.02</v>
      </c>
      <c r="E50" s="49">
        <f>MAX(C50:D50)</f>
        <v>1.73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1.0900000000000001</v>
      </c>
      <c r="D51" s="49">
        <f>IF(($E45&gt;0),D45,D44)</f>
        <v>0.01</v>
      </c>
      <c r="E51" s="49">
        <f>MAX(C51:D51)</f>
        <v>1.0900000000000001</v>
      </c>
      <c r="G51" s="1" t="str">
        <f>G45</f>
        <v>per 100 youth petitioned</v>
      </c>
      <c r="L51" s="58">
        <f>IF(($E45&gt;0),L45,L44)</f>
        <v>100</v>
      </c>
      <c r="M51" s="58"/>
    </row>
    <row r="52" spans="2:18" ht="15" hidden="1" customHeight="1">
      <c r="B52" s="49" t="str">
        <f>IF(($E46&gt;0),B46,B45)</f>
        <v>per 100 youth found delinquent</v>
      </c>
      <c r="C52" s="49">
        <f>IF(($E46&gt;0),C46,C45)</f>
        <v>0.56999999999999995</v>
      </c>
      <c r="D52" s="49">
        <f>IF(($E46&gt;0),D46,D45)</f>
        <v>0.01</v>
      </c>
      <c r="E52" s="56">
        <f>MAX(C52:D52)</f>
        <v>0.56999999999999995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12.737</v>
      </c>
      <c r="D54" s="56">
        <f>D48</f>
        <v>0.14899999999999999</v>
      </c>
      <c r="E54" s="56">
        <f>MAX(C54:D54)</f>
        <v>12.737</v>
      </c>
      <c r="G54" s="1" t="str">
        <f>G48</f>
        <v>per 1000 youth</v>
      </c>
      <c r="L54" s="58">
        <f>L48</f>
        <v>1000</v>
      </c>
      <c r="M54" s="58"/>
    </row>
    <row r="55" spans="2:18" ht="15" hidden="1" customHeight="1">
      <c r="B55" s="49" t="str">
        <f t="shared" ref="B55:D56" si="10">IF(($E49&gt;0),B49,B48)</f>
        <v>per 100 arrests</v>
      </c>
      <c r="C55" s="49">
        <f t="shared" si="10"/>
        <v>0.65</v>
      </c>
      <c r="D55" s="49">
        <f t="shared" si="10"/>
        <v>0</v>
      </c>
      <c r="E55" s="49">
        <f>MAX(C55:D55)</f>
        <v>0.65</v>
      </c>
      <c r="G55" s="1" t="str">
        <f>G49</f>
        <v>per 100 arrests</v>
      </c>
      <c r="L55" s="58">
        <f>IF(($E49&gt;0),L49,L48)</f>
        <v>100</v>
      </c>
      <c r="M55" s="58"/>
    </row>
    <row r="56" spans="2:18" ht="15" hidden="1" customHeight="1">
      <c r="B56" s="49" t="str">
        <f t="shared" si="10"/>
        <v>per 100 referrals</v>
      </c>
      <c r="C56" s="49">
        <f t="shared" si="10"/>
        <v>1.73</v>
      </c>
      <c r="D56" s="49">
        <f t="shared" si="10"/>
        <v>0.02</v>
      </c>
      <c r="E56" s="49">
        <f>MAX(C56:D56)</f>
        <v>1.73</v>
      </c>
      <c r="G56" s="1" t="str">
        <f>G50</f>
        <v>per 100 referrals</v>
      </c>
      <c r="L56" s="58">
        <f>IF(($E50&gt;0),L50,L49)</f>
        <v>100</v>
      </c>
      <c r="M56" s="58"/>
    </row>
    <row r="57" spans="2:18" ht="15" hidden="1" customHeight="1">
      <c r="B57" s="49" t="str">
        <f>IF(($E51&gt;0),B51,B49)</f>
        <v>per 100 youth petitioned</v>
      </c>
      <c r="C57" s="49">
        <f>IF(($E51&gt;0),C51,C50)</f>
        <v>1.0900000000000001</v>
      </c>
      <c r="D57" s="49">
        <f>IF(($E51&gt;0),D51,D50)</f>
        <v>0.01</v>
      </c>
      <c r="E57" s="49">
        <f>MAX(C57:D57)</f>
        <v>1.0900000000000001</v>
      </c>
      <c r="G57" s="1" t="str">
        <f>G51</f>
        <v>per 100 youth petitioned</v>
      </c>
      <c r="L57" s="58">
        <f>IF(($E51&gt;0),L51,L50)</f>
        <v>100</v>
      </c>
      <c r="M57" s="58"/>
    </row>
    <row r="58" spans="2:18" ht="15" hidden="1" customHeight="1">
      <c r="B58" s="49" t="str">
        <f>IF(($E52&gt;0),B52,B51)</f>
        <v>per 100 youth found delinquent</v>
      </c>
      <c r="C58" s="49">
        <f>IF(($E52&gt;0),C52,C51)</f>
        <v>0.56999999999999995</v>
      </c>
      <c r="D58" s="49">
        <f>IF(($E52&gt;0),D52,D51)</f>
        <v>0.01</v>
      </c>
      <c r="E58" s="56">
        <f>MAX(C58:D58)</f>
        <v>0.56999999999999995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12.737</v>
      </c>
      <c r="D60" s="56">
        <f>D54</f>
        <v>0.14899999999999999</v>
      </c>
      <c r="E60" s="56">
        <f>MAX(C60:D60)</f>
        <v>12.737</v>
      </c>
      <c r="G60" s="1" t="str">
        <f>G54</f>
        <v>per 1000 youth</v>
      </c>
      <c r="L60" s="58">
        <f>L54</f>
        <v>1000</v>
      </c>
      <c r="M60" s="58"/>
    </row>
    <row r="61" spans="2:18" ht="15" hidden="1" customHeight="1">
      <c r="B61" s="49" t="str">
        <f t="shared" ref="B61:D62" si="11">IF(($E55&gt;0),B55,B54)</f>
        <v>per 100 arrests</v>
      </c>
      <c r="C61" s="49">
        <f t="shared" si="11"/>
        <v>0.65</v>
      </c>
      <c r="D61" s="49">
        <f t="shared" si="11"/>
        <v>0</v>
      </c>
      <c r="E61" s="49">
        <f>MAX(C61:D61)</f>
        <v>0.65</v>
      </c>
      <c r="G61" s="1" t="str">
        <f>G55</f>
        <v>per 100 arrests</v>
      </c>
      <c r="L61" s="58">
        <f>IF(($E55&gt;0),L55,L54)</f>
        <v>100</v>
      </c>
      <c r="M61" s="58"/>
    </row>
    <row r="62" spans="2:18" ht="15" hidden="1" customHeight="1">
      <c r="B62" s="49" t="str">
        <f t="shared" si="11"/>
        <v>per 100 referrals</v>
      </c>
      <c r="C62" s="49">
        <f t="shared" si="11"/>
        <v>1.73</v>
      </c>
      <c r="D62" s="49">
        <f t="shared" si="11"/>
        <v>0.02</v>
      </c>
      <c r="E62" s="49">
        <f>MAX(C62:D62)</f>
        <v>1.73</v>
      </c>
      <c r="G62" s="1" t="str">
        <f>G56</f>
        <v>per 100 referrals</v>
      </c>
      <c r="L62" s="58">
        <f>IF(($E56&gt;0),L56,L55)</f>
        <v>100</v>
      </c>
      <c r="M62" s="58"/>
    </row>
    <row r="63" spans="2:18" ht="15" hidden="1" customHeight="1">
      <c r="B63" s="49" t="str">
        <f>IF(($E57&gt;0),B57,B55)</f>
        <v>per 100 youth petitioned</v>
      </c>
      <c r="C63" s="49">
        <f>IF(($E57&gt;0),C57,C56)</f>
        <v>1.0900000000000001</v>
      </c>
      <c r="D63" s="49">
        <f>IF(($E57&gt;0),D57,D56)</f>
        <v>0.01</v>
      </c>
      <c r="E63" s="49">
        <f>MAX(C63:D63)</f>
        <v>1.0900000000000001</v>
      </c>
      <c r="G63" s="1" t="str">
        <f>G57</f>
        <v>per 100 youth petitioned</v>
      </c>
      <c r="L63" s="58">
        <f>IF(($E57&gt;0),L57,L56)</f>
        <v>100</v>
      </c>
      <c r="M63" s="58"/>
    </row>
    <row r="64" spans="2:18" ht="15" hidden="1" customHeight="1">
      <c r="B64" s="49" t="str">
        <f>IF(($E58&gt;0),B58,B57)</f>
        <v>per 100 youth found delinquent</v>
      </c>
      <c r="C64" s="49">
        <f>IF(($E58&gt;0),C58,C57)</f>
        <v>0.56999999999999995</v>
      </c>
      <c r="D64" s="49">
        <f>IF(($E58&gt;0),D58,D57)</f>
        <v>0.01</v>
      </c>
      <c r="E64" s="56">
        <f>MAX(C64:D64)</f>
        <v>0.56999999999999995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12.737</v>
      </c>
      <c r="D66" s="56">
        <f>D60</f>
        <v>0.14899999999999999</v>
      </c>
      <c r="E66" s="56">
        <f>MAX(C66:D66)</f>
        <v>12.737</v>
      </c>
      <c r="G66" s="1" t="str">
        <f>G60</f>
        <v>per 1000 youth</v>
      </c>
      <c r="L66" s="58">
        <f>L60</f>
        <v>1000</v>
      </c>
      <c r="M66" s="58">
        <f>IF((B66=G66),1,2)</f>
        <v>1</v>
      </c>
    </row>
    <row r="67" spans="2:13" ht="15" hidden="1" customHeight="1">
      <c r="B67" s="49" t="str">
        <f t="shared" ref="B67:D68" si="12">IF(($E61&gt;0),B61,B60)</f>
        <v>per 100 arrests</v>
      </c>
      <c r="C67" s="49">
        <f t="shared" si="12"/>
        <v>0.65</v>
      </c>
      <c r="D67" s="49">
        <f t="shared" si="12"/>
        <v>0</v>
      </c>
      <c r="E67" s="49">
        <f>MAX(C67:D67)</f>
        <v>0.65</v>
      </c>
      <c r="G67" s="1" t="str">
        <f>G61</f>
        <v>per 100 arrests</v>
      </c>
      <c r="L67" s="58">
        <f>IF(($E61&gt;0),L61,L60)</f>
        <v>100</v>
      </c>
      <c r="M67" s="58">
        <f>IF((B67=G67),1,2)</f>
        <v>1</v>
      </c>
    </row>
    <row r="68" spans="2:13" ht="15" hidden="1" customHeight="1">
      <c r="B68" s="49" t="str">
        <f t="shared" si="12"/>
        <v>per 100 referrals</v>
      </c>
      <c r="C68" s="49">
        <f t="shared" si="12"/>
        <v>1.73</v>
      </c>
      <c r="D68" s="49">
        <f t="shared" si="12"/>
        <v>0.02</v>
      </c>
      <c r="E68" s="49">
        <f>MAX(C68:D68)</f>
        <v>1.73</v>
      </c>
      <c r="G68" s="1" t="str">
        <f>G62</f>
        <v>per 100 referrals</v>
      </c>
      <c r="L68" s="58">
        <f>IF(($E62&gt;0),L62,L61)</f>
        <v>100</v>
      </c>
      <c r="M68" s="58">
        <f>IF((B68=G68),1,2)</f>
        <v>1</v>
      </c>
    </row>
    <row r="69" spans="2:13" ht="15" hidden="1" customHeight="1">
      <c r="B69" s="49" t="str">
        <f>IF(($E63&gt;0),B63,B61)</f>
        <v>per 100 youth petitioned</v>
      </c>
      <c r="C69" s="49">
        <f>IF(($E63&gt;0),C63,C62)</f>
        <v>1.0900000000000001</v>
      </c>
      <c r="D69" s="49">
        <f>IF(($E63&gt;0),D63,D62)</f>
        <v>0.01</v>
      </c>
      <c r="E69" s="49">
        <f>MAX(C69:D69)</f>
        <v>1.0900000000000001</v>
      </c>
      <c r="G69" s="1" t="str">
        <f>G63</f>
        <v>per 100 youth petitioned</v>
      </c>
      <c r="L69" s="58">
        <f>IF(($E63&gt;0),L63,L62)</f>
        <v>100</v>
      </c>
      <c r="M69" s="58">
        <f>IF((B69=G69),1,2)</f>
        <v>1</v>
      </c>
    </row>
    <row r="70" spans="2:13" ht="15" hidden="1" customHeight="1">
      <c r="B70" s="49" t="str">
        <f>IF(($E64&gt;0),B64,B63)</f>
        <v>per 100 youth found delinquent</v>
      </c>
      <c r="C70" s="49">
        <f>IF(($E64&gt;0),C64,C63)</f>
        <v>0.56999999999999995</v>
      </c>
      <c r="D70" s="49">
        <f>IF(($E64&gt;0),D64,D63)</f>
        <v>0.01</v>
      </c>
      <c r="E70" s="56">
        <f>MAX(C70:D70)</f>
        <v>0.56999999999999995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U47JMPN4QEAR-1806752177-35380</_dlc_DocId>
    <_dlc_DocIdUrl xmlns="ac3811b5-0f3e-49e2-ba69-f2ffa0c782af">
      <Url>https://michiganphi.sharepoint.com/sites/CMDMC/_layouts/15/DocIdRedir.aspx?ID=U47JMPN4QEAR-1806752177-35380</Url>
      <Description>U47JMPN4QEAR-1806752177-35380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D5673D6-098D-45C2-90BC-7D95102EED66}">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3B0155B6-13E9-4265-A66D-0F072570A91B}">
  <ds:schemaRefs>
    <ds:schemaRef ds:uri="http://schemas.microsoft.com/sharepoint/v3/contenttype/forms"/>
  </ds:schemaRefs>
</ds:datastoreItem>
</file>

<file path=customXml/itemProps3.xml><?xml version="1.0" encoding="utf-8"?>
<ds:datastoreItem xmlns:ds="http://schemas.openxmlformats.org/officeDocument/2006/customXml" ds:itemID="{C054A178-1ADA-4915-8E0A-5A24E5D87456}"/>
</file>

<file path=customXml/itemProps4.xml><?xml version="1.0" encoding="utf-8"?>
<ds:datastoreItem xmlns:ds="http://schemas.openxmlformats.org/officeDocument/2006/customXml" ds:itemID="{D64AD3E1-3F2C-4ACE-B198-6579DA3C45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54b99f3e-4cbf-4b63-928b-2f6611ae3aa3</vt:lpwstr>
  </property>
</Properties>
</file>