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0C289820-54E0-4506-A20A-98DC5875E1B8}"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J12" i="1" l="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2"/>
  <c r="M66" i="2"/>
  <c r="M66" i="7"/>
  <c r="F27" i="7"/>
  <c r="M66" i="4"/>
  <c r="F27" i="4"/>
  <c r="F27" i="6"/>
  <c r="M66"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3" i="16"/>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C50" i="6" s="1"/>
  <c r="E43" i="7"/>
  <c r="L49" i="7" s="1"/>
  <c r="E43" i="6"/>
  <c r="C49"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D49" i="6"/>
  <c r="D23" i="10"/>
  <c r="C48" i="7"/>
  <c r="E42" i="7"/>
  <c r="C54" i="8"/>
  <c r="E48" i="8"/>
  <c r="H26" i="10"/>
  <c r="D26" i="10"/>
  <c r="I26" i="10"/>
  <c r="C26" i="10"/>
  <c r="E20" i="10"/>
  <c r="C20" i="10"/>
  <c r="G20" i="10"/>
  <c r="H20" i="10"/>
  <c r="D20" i="10"/>
  <c r="G23" i="10"/>
  <c r="G19" i="10"/>
  <c r="E44" i="7"/>
  <c r="H23" i="10"/>
  <c r="E22" i="10"/>
  <c r="E25" i="10"/>
  <c r="F20" i="10"/>
  <c r="B50" i="6" l="1"/>
  <c r="C49" i="7"/>
  <c r="B49" i="7"/>
  <c r="D49" i="7"/>
  <c r="B49" i="6"/>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L51" i="2"/>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56" i="8"/>
  <c r="D64" i="5"/>
  <c r="L64" i="3"/>
  <c r="B56" i="8"/>
  <c r="C57" i="8"/>
  <c r="C64" i="8"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L70" i="5" s="1"/>
  <c r="F8" i="5"/>
  <c r="B70" i="5" l="1"/>
  <c r="F33" i="5" s="1"/>
  <c r="D63" i="8"/>
  <c r="B70" i="3"/>
  <c r="M70" i="3" s="1"/>
  <c r="D70" i="6"/>
  <c r="F13" i="6" s="1"/>
  <c r="L69" i="7"/>
  <c r="C69" i="7"/>
  <c r="D12" i="7" s="1"/>
  <c r="C63" i="8"/>
  <c r="L63" i="8"/>
  <c r="L70" i="8" s="1"/>
  <c r="E63" i="3"/>
  <c r="C69" i="3" s="1"/>
  <c r="D12"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F33" i="3"/>
  <c r="B69" i="6"/>
  <c r="M69" i="6" s="1"/>
  <c r="O13" i="6"/>
  <c r="O14" i="6"/>
  <c r="F14" i="6"/>
  <c r="E63" i="8"/>
  <c r="D69" i="8" s="1"/>
  <c r="F15" i="8" s="1"/>
  <c r="Q13" i="8"/>
  <c r="Q15" i="7"/>
  <c r="E70" i="6"/>
  <c r="D15" i="3"/>
  <c r="D13" i="6"/>
  <c r="E69" i="7"/>
  <c r="D13" i="3"/>
  <c r="D15" i="7"/>
  <c r="D69" i="3"/>
  <c r="E69" i="3" s="1"/>
  <c r="Q12" i="7"/>
  <c r="E70" i="3"/>
  <c r="L69" i="3"/>
  <c r="Q12" i="3" s="1"/>
  <c r="F14" i="3"/>
  <c r="O13" i="3"/>
  <c r="B69" i="3"/>
  <c r="M69" i="3" s="1"/>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3" i="3" l="1"/>
  <c r="F32" i="6"/>
  <c r="C69" i="8"/>
  <c r="E69" i="8" s="1"/>
  <c r="F35" i="6"/>
  <c r="U9" i="4"/>
  <c r="J9" i="4" s="1"/>
  <c r="M9" i="4" s="1"/>
  <c r="G9" i="4" s="1"/>
  <c r="G10" i="16" s="1"/>
  <c r="F12" i="8"/>
  <c r="B69" i="8"/>
  <c r="M69" i="8" s="1"/>
  <c r="F12" i="3"/>
  <c r="R14" i="3"/>
  <c r="S14" i="3" s="1"/>
  <c r="U14" i="3" s="1"/>
  <c r="J14" i="3" s="1"/>
  <c r="M14" i="3" s="1"/>
  <c r="G14" i="3" s="1"/>
  <c r="I15" i="16" s="1"/>
  <c r="T14" i="6"/>
  <c r="R13" i="6"/>
  <c r="S13" i="6" s="1"/>
  <c r="U13" i="6" s="1"/>
  <c r="J13" i="6" s="1"/>
  <c r="M13" i="6" s="1"/>
  <c r="G13" i="6" s="1"/>
  <c r="G13" i="9" s="1"/>
  <c r="L69" i="8"/>
  <c r="O15" i="8" s="1"/>
  <c r="T12" i="7"/>
  <c r="R13" i="8"/>
  <c r="S13" i="8" s="1"/>
  <c r="T15" i="7"/>
  <c r="T13" i="6"/>
  <c r="F35" i="3"/>
  <c r="F15" i="3"/>
  <c r="R15" i="7"/>
  <c r="S15" i="7" s="1"/>
  <c r="U15" i="7" s="1"/>
  <c r="J15" i="7" s="1"/>
  <c r="U10" i="4"/>
  <c r="J10" i="4" s="1"/>
  <c r="M10" i="4" s="1"/>
  <c r="G10" i="4" s="1"/>
  <c r="G11" i="16" s="1"/>
  <c r="U13" i="4"/>
  <c r="J13" i="4" s="1"/>
  <c r="M13" i="4" s="1"/>
  <c r="G13" i="4" s="1"/>
  <c r="G14" i="16" s="1"/>
  <c r="T13" i="8"/>
  <c r="K14" i="6"/>
  <c r="K12" i="7"/>
  <c r="R12" i="7"/>
  <c r="S12" i="7" s="1"/>
  <c r="U12" i="7" s="1"/>
  <c r="J12" i="7" s="1"/>
  <c r="M12" i="7" s="1"/>
  <c r="K13" i="6"/>
  <c r="R14" i="6"/>
  <c r="S14" i="6" s="1"/>
  <c r="D15" i="6"/>
  <c r="O15" i="3"/>
  <c r="O12" i="6"/>
  <c r="O12" i="3"/>
  <c r="R12" i="3" s="1"/>
  <c r="S12" i="3" s="1"/>
  <c r="U12" i="3" s="1"/>
  <c r="J12" i="3" s="1"/>
  <c r="Q15" i="3"/>
  <c r="F32" i="3"/>
  <c r="R14" i="8"/>
  <c r="S14" i="8" s="1"/>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D12" i="8"/>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6" l="1"/>
  <c r="J14" i="6" s="1"/>
  <c r="M14" i="6" s="1"/>
  <c r="G14" i="6" s="1"/>
  <c r="M15" i="13" s="1"/>
  <c r="I15" i="13"/>
  <c r="L13" i="4"/>
  <c r="O14" i="16" s="1"/>
  <c r="T12" i="6"/>
  <c r="D9" i="9"/>
  <c r="G10" i="13"/>
  <c r="L9" i="4"/>
  <c r="O10" i="16" s="1"/>
  <c r="F35" i="8"/>
  <c r="N30" i="3"/>
  <c r="M14" i="13"/>
  <c r="Q15" i="8"/>
  <c r="R15" i="8" s="1"/>
  <c r="S15" i="8" s="1"/>
  <c r="F32" i="8"/>
  <c r="Q12" i="8"/>
  <c r="E14" i="9"/>
  <c r="L14" i="3"/>
  <c r="P15" i="16" s="1"/>
  <c r="U13" i="8"/>
  <c r="J13" i="8" s="1"/>
  <c r="M13" i="8" s="1"/>
  <c r="G13" i="8" s="1"/>
  <c r="I13" i="9" s="1"/>
  <c r="O12" i="8"/>
  <c r="L13" i="6"/>
  <c r="R14" i="16" s="1"/>
  <c r="U13" i="7"/>
  <c r="J13" i="7" s="1"/>
  <c r="M13" i="7" s="1"/>
  <c r="L15" i="7"/>
  <c r="S16" i="16" s="1"/>
  <c r="M15" i="7"/>
  <c r="T12" i="3"/>
  <c r="D10" i="9"/>
  <c r="G11" i="13"/>
  <c r="L10" i="4"/>
  <c r="O11" i="16" s="1"/>
  <c r="R15" i="3"/>
  <c r="S15" i="3" s="1"/>
  <c r="U15" i="3" s="1"/>
  <c r="J15" i="3" s="1"/>
  <c r="M15" i="3" s="1"/>
  <c r="G15" i="3" s="1"/>
  <c r="I16" i="16" s="1"/>
  <c r="L12" i="7"/>
  <c r="S13" i="16" s="1"/>
  <c r="R12" i="6"/>
  <c r="S12" i="6" s="1"/>
  <c r="U12" i="6" s="1"/>
  <c r="J12" i="6" s="1"/>
  <c r="M12" i="6" s="1"/>
  <c r="G12" i="6" s="1"/>
  <c r="K12" i="6"/>
  <c r="T15" i="3"/>
  <c r="K15" i="3"/>
  <c r="K12" i="3"/>
  <c r="L12" i="3" s="1"/>
  <c r="P13" i="16" s="1"/>
  <c r="K15" i="6"/>
  <c r="L13" i="3"/>
  <c r="P14" i="16" s="1"/>
  <c r="U14" i="8"/>
  <c r="J14" i="8" s="1"/>
  <c r="N30" i="8" s="1"/>
  <c r="R15" i="6"/>
  <c r="S15" i="6" s="1"/>
  <c r="U15" i="6" s="1"/>
  <c r="J15" i="6" s="1"/>
  <c r="T15" i="6"/>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U10" i="13"/>
  <c r="N11" i="9"/>
  <c r="T15" i="5"/>
  <c r="W14" i="13"/>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X14" i="13" l="1"/>
  <c r="P13" i="9"/>
  <c r="K15" i="8"/>
  <c r="T15" i="8"/>
  <c r="U15" i="8" s="1"/>
  <c r="J15" i="8" s="1"/>
  <c r="Q15" i="9"/>
  <c r="T12" i="8"/>
  <c r="K12" i="8"/>
  <c r="Q12" i="9"/>
  <c r="R12" i="8"/>
  <c r="S12" i="8" s="1"/>
  <c r="N14" i="9"/>
  <c r="V15" i="13"/>
  <c r="L13" i="8"/>
  <c r="T14" i="16" s="1"/>
  <c r="Y16" i="13"/>
  <c r="L13" i="7"/>
  <c r="S14" i="16" s="1"/>
  <c r="U13" i="2"/>
  <c r="J13" i="2" s="1"/>
  <c r="M13" i="2" s="1"/>
  <c r="G13" i="2" s="1"/>
  <c r="E14" i="16" s="1"/>
  <c r="U11" i="7"/>
  <c r="J11" i="7" s="1"/>
  <c r="M11" i="7" s="1"/>
  <c r="Y13" i="13"/>
  <c r="U11" i="13"/>
  <c r="M10" i="9"/>
  <c r="K14" i="16"/>
  <c r="L12" i="6"/>
  <c r="R13" i="16" s="1"/>
  <c r="Q14" i="13"/>
  <c r="I16" i="13"/>
  <c r="E15" i="9"/>
  <c r="L15" i="3"/>
  <c r="P16" i="16" s="1"/>
  <c r="L15" i="6"/>
  <c r="R16" i="16" s="1"/>
  <c r="U14" i="2"/>
  <c r="J14" i="2" s="1"/>
  <c r="M14" i="2" s="1"/>
  <c r="G14" i="2" s="1"/>
  <c r="E15" i="16" s="1"/>
  <c r="N13" i="9"/>
  <c r="L14" i="8"/>
  <c r="T15" i="16" s="1"/>
  <c r="M15" i="6"/>
  <c r="G15" i="6" s="1"/>
  <c r="M16" i="13" s="1"/>
  <c r="U10" i="7"/>
  <c r="J10" i="7" s="1"/>
  <c r="M10" i="7" s="1"/>
  <c r="M14" i="8"/>
  <c r="G14" i="8" s="1"/>
  <c r="K15" i="16" s="1"/>
  <c r="V14" i="13"/>
  <c r="L8" i="6"/>
  <c r="R9" i="16" s="1"/>
  <c r="L15" i="5"/>
  <c r="Q16" i="16" s="1"/>
  <c r="T9" i="13"/>
  <c r="L8" i="9"/>
  <c r="X15" i="13"/>
  <c r="P14" i="9"/>
  <c r="G8" i="9"/>
  <c r="Q14" i="9"/>
  <c r="Y15" i="13"/>
  <c r="E9" i="13"/>
  <c r="Q13" i="9"/>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L15" i="8" l="1"/>
  <c r="T16" i="16" s="1"/>
  <c r="M15" i="8"/>
  <c r="G15" i="8" s="1"/>
  <c r="K16" i="16" s="1"/>
  <c r="U12" i="8"/>
  <c r="J12" i="8" s="1"/>
  <c r="M12" i="8" s="1"/>
  <c r="G12" i="8" s="1"/>
  <c r="K13" i="16" s="1"/>
  <c r="Z14" i="13"/>
  <c r="Y14" i="13"/>
  <c r="R13" i="9"/>
  <c r="L13" i="2"/>
  <c r="N14" i="16" s="1"/>
  <c r="L11" i="7"/>
  <c r="S12" i="16" s="1"/>
  <c r="X13" i="13"/>
  <c r="P12" i="9"/>
  <c r="C13" i="9"/>
  <c r="N30" i="2"/>
  <c r="C14" i="9"/>
  <c r="L14" i="2"/>
  <c r="N15" i="16" s="1"/>
  <c r="L10" i="7"/>
  <c r="S11" i="16" s="1"/>
  <c r="E15" i="13"/>
  <c r="N15" i="9"/>
  <c r="G15" i="9"/>
  <c r="P15" i="9"/>
  <c r="V16" i="13"/>
  <c r="X16" i="13"/>
  <c r="E14" i="13"/>
  <c r="Z15" i="13"/>
  <c r="R14" i="9"/>
  <c r="I14" i="9"/>
  <c r="Q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I9" i="9"/>
  <c r="Q10" i="13"/>
  <c r="D15" i="9"/>
  <c r="G16" i="13"/>
  <c r="M10" i="8"/>
  <c r="G10" i="8" s="1"/>
  <c r="K11" i="16" s="1"/>
  <c r="L10" i="8"/>
  <c r="T11" i="16" s="1"/>
  <c r="L11" i="8"/>
  <c r="T12" i="16" s="1"/>
  <c r="M11" i="8"/>
  <c r="G11" i="8" s="1"/>
  <c r="K12" i="16" s="1"/>
  <c r="I15" i="9" l="1"/>
  <c r="Z16" i="13"/>
  <c r="R15" i="9"/>
  <c r="I12" i="9"/>
  <c r="L12" i="8"/>
  <c r="T13" i="16" s="1"/>
  <c r="Q16" i="13"/>
  <c r="Q13" i="13"/>
  <c r="Y12" i="13"/>
  <c r="Q11" i="9"/>
  <c r="T14" i="13"/>
  <c r="L13" i="9"/>
  <c r="Y11" i="13"/>
  <c r="Q10" i="9"/>
  <c r="L14" i="9"/>
  <c r="T15" i="13"/>
  <c r="R9" i="9"/>
  <c r="Z10" i="13"/>
  <c r="R10" i="9"/>
  <c r="Z11" i="13"/>
  <c r="I11" i="9"/>
  <c r="Q12" i="13"/>
  <c r="I10" i="9"/>
  <c r="Q11" i="13"/>
  <c r="R11" i="9"/>
  <c r="Z12" i="13"/>
  <c r="Z13" i="13"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<sst xmlns="http://schemas.openxmlformats.org/spreadsheetml/2006/main" count="654" uniqueCount="141">
  <si>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</si>
  <si>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</si>
  <si>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</si>
  <si>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</si>
  <si>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</si>
  <si>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</si>
  <si>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</si>
  <si>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</si>
  <si>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</si>
  <si>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</si>
  <si>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</si>
  <si>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</si>
  <si>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</si>
  <si>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</si>
  <si>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</si>
  <si>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</si>
  <si>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</si>
  <si>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</si>
  <si>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</si>
  <si>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</si>
  <si>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</si>
  <si>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</si>
  <si>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</si>
  <si>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</si>
  <si>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</si>
  <si>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</si>
  <si>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</si>
  <si>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</si>
  <si>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</si>
  <si>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</si>
  <si>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</si>
  <si>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</si>
  <si>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</si>
  <si>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</si>
  <si>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</si>
  <si>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</si>
  <si>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</si>
  <si>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</si>
  <si>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</si>
  <si>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</si>
  <si>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</si>
  <si>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</si>
  <si>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</si>
  <si>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</si>
  <si>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</si>
  <si>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</si>
  <si>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</si>
  <si>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</si>
  <si>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</si>
  <si>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</si>
  <si>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</si>
  <si>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</si>
  <si>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</si>
  <si>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</si>
  <si>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</si>
  <si>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</si>
  <si>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</si>
  <si>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</si>
  <si>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</si>
  <si>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</si>
  <si>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</si>
  <si>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</si>
  <si>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</si>
  <si>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</si>
  <si>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</si>
  <si>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</si>
  <si>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</si>
  <si>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</si>
  <si>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</si>
  <si>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</si>
  <si>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</si>
  <si>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</si>
  <si>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</si>
  <si>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</si>
  <si>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</si>
  <si>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</si>
  <si>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</si>
  <si>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</si>
  <si>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</si>
  <si>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</si>
  <si>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</si>
  <si>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</si>
  <si>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</si>
  <si>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</si>
  <si>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</si>
  <si>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</si>
  <si>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</si>
  <si>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</si>
  <si>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</si>
  <si>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</si>
  <si>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</si>
  <si>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</si>
  <si>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</si>
  <si>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</si>
  <si>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</si>
  <si>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</si>
  <si>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</si>
  <si>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</si>
  <si>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</si>
  <si>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</si>
  <si>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</si>
  <si>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</si>
  <si>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</si>
  <si>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</si>
  <si>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</si>
  <si>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</si>
  <si>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</si>
  <si>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</si>
  <si>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</si>
  <si>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</si>
  <si>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</si>
  <si>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</si>
  <si>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</si>
  <si>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</si>
  <si>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</si>
  <si>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</si>
  <si>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</si>
  <si>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</si>
  <si>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</si>
  <si>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</si>
  <si>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</si>
  <si>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</si>
  <si>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</si>
  <si>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</si>
  <si>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</si>
  <si>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</si>
  <si>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</si>
  <si>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</si>
  <si>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</si>
  <si>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</si>
  <si>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</si>
  <si>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</si>
  <si>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</si>
  <si>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</si>
  <si>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</si>
  <si>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</si>
  <si>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</si>
  <si>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Muskegon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</si>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</sst>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Muskegon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N=22</c:v>
                </c:pt>
                <c:pt idx="2">
                  <c:v>Delinquent Findings, total N=100</c:v>
                </c:pt>
                <c:pt idx="3">
                  <c:v>Petitions, total N=142</c:v>
                </c:pt>
                <c:pt idx="4">
                  <c:v>Detentions, total N=16</c:v>
                </c:pt>
                <c:pt idx="5">
                  <c:v>Referrals, total N=249</c:v>
                </c:pt>
                <c:pt idx="6">
                  <c:v>Arrests, total N=51</c:v>
                </c:pt>
                <c:pt idx="7">
                  <c:v>Population, total N=15839</c:v>
                </c:pt>
              </c:strCache>
            </c:strRef>
          </c:cat>
          <c:val>
            <c:numRef>
              <c:f>'Stacked 100%'!$B$7:$B$14</c:f>
              <c:numCache>
                <c:formatCode>0%</c:formatCode>
                <c:ptCount val="8"/>
                <c:pt idx="0">
                  <c:v>0</c:v>
                </c:pt>
                <c:pt idx="1">
                  <c:v>0.5</c:v>
                </c:pt>
                <c:pt idx="2">
                  <c:v>0.46</c:v>
                </c:pt>
                <c:pt idx="3">
                  <c:v>0.42253521126760563</c:v>
                </c:pt>
                <c:pt idx="4">
                  <c:v>0.625</c:v>
                </c:pt>
                <c:pt idx="5">
                  <c:v>0.40963855421686746</c:v>
                </c:pt>
                <c:pt idx="6">
                  <c:v>0.49019607843137253</c:v>
                </c:pt>
                <c:pt idx="7">
                  <c:v>0.19073173811477998</c:v>
                </c:pt>
              </c:numCache>
            </c:numRef>
          </c:val>
          <c:extLst>
            <c:ext xmlns:c16="http://schemas.microsoft.com/office/drawing/2014/chart" uri="{C3380CC4-5D6E-409C-BE32-E72D297353CC}">
              <c16:uniqueId val="{00000000-CC26-4F36-8D80-C1D33054B54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N=22</c:v>
                </c:pt>
                <c:pt idx="2">
                  <c:v>Delinquent Findings, total N=100</c:v>
                </c:pt>
                <c:pt idx="3">
                  <c:v>Petitions, total N=142</c:v>
                </c:pt>
                <c:pt idx="4">
                  <c:v>Detentions, total N=16</c:v>
                </c:pt>
                <c:pt idx="5">
                  <c:v>Referrals, total N=249</c:v>
                </c:pt>
                <c:pt idx="6">
                  <c:v>Arrests, total N=51</c:v>
                </c:pt>
                <c:pt idx="7">
                  <c:v>Population, total N=15839</c:v>
                </c:pt>
              </c:strCache>
            </c:strRef>
          </c:cat>
          <c:val>
            <c:numRef>
              <c:f>'Stacked 100%'!$C$7:$C$14</c:f>
              <c:numCache>
                <c:formatCode>0%</c:formatCode>
                <c:ptCount val="8"/>
                <c:pt idx="0">
                  <c:v>0</c:v>
                </c:pt>
                <c:pt idx="1">
                  <c:v>0</c:v>
                </c:pt>
                <c:pt idx="2">
                  <c:v>0</c:v>
                </c:pt>
                <c:pt idx="3">
                  <c:v>0</c:v>
                </c:pt>
                <c:pt idx="4">
                  <c:v>0</c:v>
                </c:pt>
                <c:pt idx="5">
                  <c:v>1.2048192771084338E-2</c:v>
                </c:pt>
                <c:pt idx="6">
                  <c:v>0</c:v>
                </c:pt>
                <c:pt idx="7">
                  <c:v>0.10044826062251405</c:v>
                </c:pt>
              </c:numCache>
            </c:numRef>
          </c:val>
          <c:extLst>
            <c:ext xmlns:c16="http://schemas.microsoft.com/office/drawing/2014/chart" uri="{C3380CC4-5D6E-409C-BE32-E72D297353CC}">
              <c16:uniqueId val="{00000001-CC26-4F36-8D80-C1D33054B54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N=22</c:v>
                </c:pt>
                <c:pt idx="2">
                  <c:v>Delinquent Findings, total N=100</c:v>
                </c:pt>
                <c:pt idx="3">
                  <c:v>Petitions, total N=142</c:v>
                </c:pt>
                <c:pt idx="4">
                  <c:v>Detentions, total N=16</c:v>
                </c:pt>
                <c:pt idx="5">
                  <c:v>Referrals, total N=249</c:v>
                </c:pt>
                <c:pt idx="6">
                  <c:v>Arrests, total N=51</c:v>
                </c:pt>
                <c:pt idx="7">
                  <c:v>Population, total N=15839</c:v>
                </c:pt>
              </c:strCache>
            </c:strRef>
          </c:cat>
          <c:val>
            <c:numRef>
              <c:f>'Stacked 100%'!$H$7:$H$14</c:f>
              <c:numCache>
                <c:formatCode>0%</c:formatCode>
                <c:ptCount val="8"/>
                <c:pt idx="0">
                  <c:v>0</c:v>
                </c:pt>
                <c:pt idx="1">
                  <c:v>1.0330578512396695E-2</c:v>
                </c:pt>
                <c:pt idx="2">
                  <c:v>1.1999999999999999E-3</c:v>
                </c:pt>
                <c:pt idx="3">
                  <c:v>4.959333465582226E-4</c:v>
                </c:pt>
                <c:pt idx="4">
                  <c:v>1.5625E-2</c:v>
                </c:pt>
                <c:pt idx="5">
                  <c:v>3.2257544233157531E-4</c:v>
                </c:pt>
                <c:pt idx="6">
                  <c:v>0</c:v>
                </c:pt>
                <c:pt idx="7">
                  <c:v>8.9686484391496392E-7</c:v>
                </c:pt>
              </c:numCache>
            </c:numRef>
          </c:val>
          <c:extLst>
            <c:ext xmlns:c16="http://schemas.microsoft.com/office/drawing/2014/chart" uri="{C3380CC4-5D6E-409C-BE32-E72D297353CC}">
              <c16:uniqueId val="{00000002-CC26-4F36-8D80-C1D33054B54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N=22</c:v>
                </c:pt>
                <c:pt idx="2">
                  <c:v>Delinquent Findings, total N=100</c:v>
                </c:pt>
                <c:pt idx="3">
                  <c:v>Petitions, total N=142</c:v>
                </c:pt>
                <c:pt idx="4">
                  <c:v>Detentions, total N=16</c:v>
                </c:pt>
                <c:pt idx="5">
                  <c:v>Referrals, total N=249</c:v>
                </c:pt>
                <c:pt idx="6">
                  <c:v>Arrests, total N=51</c:v>
                </c:pt>
                <c:pt idx="7">
                  <c:v>Population, total N=15839</c:v>
                </c:pt>
              </c:strCache>
            </c:strRef>
          </c:cat>
          <c:val>
            <c:numRef>
              <c:f>'Stacked 100%'!$I$7:$I$14</c:f>
              <c:numCache>
                <c:formatCode>0%</c:formatCode>
                <c:ptCount val="8"/>
                <c:pt idx="0">
                  <c:v>0</c:v>
                </c:pt>
                <c:pt idx="1">
                  <c:v>0.27272727272727271</c:v>
                </c:pt>
                <c:pt idx="2">
                  <c:v>0.39</c:v>
                </c:pt>
                <c:pt idx="3">
                  <c:v>0.44366197183098594</c:v>
                </c:pt>
                <c:pt idx="4">
                  <c:v>0.125</c:v>
                </c:pt>
                <c:pt idx="5">
                  <c:v>0.42570281124497994</c:v>
                </c:pt>
                <c:pt idx="6">
                  <c:v>0.45098039215686275</c:v>
                </c:pt>
                <c:pt idx="7">
                  <c:v>0.69461455899993685</c:v>
                </c:pt>
              </c:numCache>
            </c:numRef>
          </c:val>
          <c:extLst>
            <c:ext xmlns:c16="http://schemas.microsoft.com/office/drawing/2014/chart" uri="{C3380CC4-5D6E-409C-BE32-E72D297353CC}">
              <c16:uniqueId val="{00000003-CC26-4F36-8D80-C1D33054B54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N=22</c:v>
                </c:pt>
                <c:pt idx="2">
                  <c:v>Delinquent Findings, total N=100</c:v>
                </c:pt>
                <c:pt idx="3">
                  <c:v>Petitions, total N=142</c:v>
                </c:pt>
                <c:pt idx="4">
                  <c:v>Detentions, total N=16</c:v>
                </c:pt>
                <c:pt idx="5">
                  <c:v>Referrals, total N=249</c:v>
                </c:pt>
                <c:pt idx="6">
                  <c:v>Arrests, total N=51</c:v>
                </c:pt>
                <c:pt idx="7">
                  <c:v>Population, total N=15839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C26-4F36-8D80-C1D33054B54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J14" sqref="J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69" t="s">
        <v>1</v>
      </c>
      <c r="C1" s="169"/>
      <c r="D1" s="169"/>
      <c r="E1" s="169"/>
      <c r="F1" s="169"/>
      <c r="G1" s="169"/>
      <c r="H1" s="169"/>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15839</v>
      </c>
      <c r="C6" s="11">
        <v>11002</v>
      </c>
      <c r="D6" s="11">
        <v>3021</v>
      </c>
      <c r="E6" s="11">
        <v>1591</v>
      </c>
      <c r="F6" s="11">
        <v>115</v>
      </c>
      <c r="G6" s="11"/>
      <c r="H6" s="11">
        <v>110</v>
      </c>
      <c r="I6" s="11"/>
      <c r="J6" s="91">
        <f>SUM(D6:I6)</f>
        <v>4837</v>
      </c>
      <c r="K6" s="92"/>
    </row>
    <row r="7" spans="1:11" ht="15.75" customHeight="1" thickBot="1" x14ac:dyDescent="0.25">
      <c r="A7" s="10" t="s">
        <v>8</v>
      </c>
      <c r="B7" s="11">
        <f t="shared" ref="B7:B15" si="0">SUM(C7:I7)+K7</f>
        <v>51</v>
      </c>
      <c r="C7" s="11">
        <v>23</v>
      </c>
      <c r="D7" s="11">
        <v>25</v>
      </c>
      <c r="E7" s="11"/>
      <c r="F7" s="11"/>
      <c r="G7" s="11"/>
      <c r="H7" s="11"/>
      <c r="I7" s="11"/>
      <c r="J7" s="91">
        <f t="shared" ref="J7:J15" si="1">SUM(D7:I7)</f>
        <v>25</v>
      </c>
      <c r="K7" s="92">
        <v>3</v>
      </c>
    </row>
    <row r="8" spans="1:11" ht="15.75" customHeight="1" thickBot="1" x14ac:dyDescent="0.25">
      <c r="A8" s="10" t="s">
        <v>9</v>
      </c>
      <c r="B8" s="11">
        <f t="shared" si="0"/>
        <v>249</v>
      </c>
      <c r="C8" s="11">
        <v>106</v>
      </c>
      <c r="D8" s="11">
        <v>102</v>
      </c>
      <c r="E8" s="11">
        <v>3</v>
      </c>
      <c r="F8" s="11"/>
      <c r="G8" s="11"/>
      <c r="H8" s="11">
        <v>4</v>
      </c>
      <c r="I8" s="11">
        <v>16</v>
      </c>
      <c r="J8" s="91">
        <f t="shared" si="1"/>
        <v>125</v>
      </c>
      <c r="K8" s="92">
        <v>18</v>
      </c>
    </row>
    <row r="9" spans="1:11" ht="15.75" customHeight="1" thickBot="1" x14ac:dyDescent="0.25">
      <c r="A9" s="10" t="s">
        <v>10</v>
      </c>
      <c r="B9" s="11">
        <f t="shared" si="0"/>
        <v>28</v>
      </c>
      <c r="C9" s="11">
        <v>18</v>
      </c>
      <c r="D9" s="11">
        <v>4</v>
      </c>
      <c r="E9" s="11">
        <v>1</v>
      </c>
      <c r="F9" s="11"/>
      <c r="G9" s="11"/>
      <c r="H9" s="11"/>
      <c r="I9" s="11">
        <v>1</v>
      </c>
      <c r="J9" s="91">
        <f t="shared" si="1"/>
        <v>6</v>
      </c>
      <c r="K9" s="92">
        <v>4</v>
      </c>
    </row>
    <row r="10" spans="1:11" ht="15.75" customHeight="1" thickBot="1" x14ac:dyDescent="0.25">
      <c r="A10" s="10" t="s">
        <v>11</v>
      </c>
      <c r="B10" s="11">
        <f t="shared" si="0"/>
        <v>16</v>
      </c>
      <c r="C10" s="11">
        <v>2</v>
      </c>
      <c r="D10" s="11">
        <v>10</v>
      </c>
      <c r="E10" s="11"/>
      <c r="F10" s="11"/>
      <c r="G10" s="11"/>
      <c r="H10" s="11">
        <v>1</v>
      </c>
      <c r="I10" s="11">
        <v>3</v>
      </c>
      <c r="J10" s="91">
        <f t="shared" si="1"/>
        <v>14</v>
      </c>
      <c r="K10" s="92"/>
    </row>
    <row r="11" spans="1:11" ht="15.75" customHeight="1" thickBot="1" x14ac:dyDescent="0.25">
      <c r="A11" s="10" t="s">
        <v>12</v>
      </c>
      <c r="B11" s="11">
        <f t="shared" si="0"/>
        <v>142</v>
      </c>
      <c r="C11" s="11">
        <v>63</v>
      </c>
      <c r="D11" s="11">
        <v>60</v>
      </c>
      <c r="E11" s="11"/>
      <c r="F11" s="11"/>
      <c r="G11" s="11"/>
      <c r="H11" s="11">
        <v>1</v>
      </c>
      <c r="I11" s="11">
        <v>9</v>
      </c>
      <c r="J11" s="91">
        <f t="shared" si="1"/>
        <v>70</v>
      </c>
      <c r="K11" s="92">
        <v>9</v>
      </c>
    </row>
    <row r="12" spans="1:11" ht="15.75" customHeight="1" thickBot="1" x14ac:dyDescent="0.25">
      <c r="A12" s="10" t="s">
        <v>13</v>
      </c>
      <c r="B12" s="11">
        <f t="shared" si="0"/>
        <v>100</v>
      </c>
      <c r="C12" s="11">
        <v>39</v>
      </c>
      <c r="D12" s="11">
        <v>46</v>
      </c>
      <c r="E12" s="11"/>
      <c r="F12" s="11"/>
      <c r="G12" s="11"/>
      <c r="H12" s="11">
        <v>1</v>
      </c>
      <c r="I12" s="11">
        <v>11</v>
      </c>
      <c r="J12" s="91">
        <f t="shared" si="1"/>
        <v>58</v>
      </c>
      <c r="K12" s="92">
        <v>3</v>
      </c>
    </row>
    <row r="13" spans="1:11" ht="15.75" customHeight="1" thickBot="1" x14ac:dyDescent="0.25">
      <c r="A13" s="10" t="s">
        <v>133</v>
      </c>
      <c r="B13" s="11">
        <f t="shared" si="0"/>
        <v>113</v>
      </c>
      <c r="C13" s="11">
        <v>56</v>
      </c>
      <c r="D13" s="11">
        <v>36</v>
      </c>
      <c r="E13" s="11">
        <v>1</v>
      </c>
      <c r="F13" s="11"/>
      <c r="G13" s="11"/>
      <c r="H13" s="11">
        <v>3</v>
      </c>
      <c r="I13" s="11">
        <v>11</v>
      </c>
      <c r="J13" s="91">
        <f t="shared" si="1"/>
        <v>51</v>
      </c>
      <c r="K13" s="92">
        <v>6</v>
      </c>
    </row>
    <row r="14" spans="1:11" ht="26.25" customHeight="1" thickBot="1" x14ac:dyDescent="0.25">
      <c r="A14" s="10" t="s">
        <v>123</v>
      </c>
      <c r="B14" s="11">
        <f t="shared" si="0"/>
        <v>22</v>
      </c>
      <c r="C14" s="11">
        <v>6</v>
      </c>
      <c r="D14" s="11">
        <v>11</v>
      </c>
      <c r="E14" s="11"/>
      <c r="F14" s="11"/>
      <c r="G14" s="11"/>
      <c r="H14" s="11">
        <v>3</v>
      </c>
      <c r="I14" s="11">
        <v>2</v>
      </c>
      <c r="J14" s="91">
        <f t="shared" si="1"/>
        <v>16</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0" t="s">
        <v>138</v>
      </c>
      <c r="B19" s="170"/>
      <c r="C19" s="8"/>
      <c r="D19" s="170" t="s">
        <v>139</v>
      </c>
      <c r="E19" s="170"/>
      <c r="F19" s="170"/>
      <c r="G19" s="170"/>
      <c r="H19" s="170"/>
      <c r="I19" s="170"/>
    </row>
    <row r="20" spans="1:9" ht="15" customHeight="1" x14ac:dyDescent="0.25">
      <c r="A20" s="170" t="s">
        <v>108</v>
      </c>
      <c r="B20" s="170"/>
      <c r="C20" s="8"/>
      <c r="D20" s="170" t="s">
        <v>109</v>
      </c>
      <c r="E20" s="170"/>
      <c r="F20" s="170"/>
      <c r="G20" s="170"/>
      <c r="H20" s="170"/>
      <c r="I20" s="170"/>
    </row>
    <row r="21" spans="1:9" ht="15" customHeight="1" x14ac:dyDescent="0.25">
      <c r="A21" s="170" t="s">
        <v>110</v>
      </c>
      <c r="B21" s="170"/>
      <c r="C21" s="8"/>
      <c r="D21" s="170" t="s">
        <v>111</v>
      </c>
      <c r="E21" s="170"/>
      <c r="F21" s="170"/>
      <c r="G21" s="170"/>
      <c r="H21" s="170"/>
      <c r="I21" s="170"/>
    </row>
    <row r="22" spans="1:9" ht="15" customHeight="1" x14ac:dyDescent="0.25">
      <c r="A22" s="170" t="s">
        <v>112</v>
      </c>
      <c r="B22" s="170"/>
      <c r="C22" s="8"/>
      <c r="D22" s="170" t="s">
        <v>113</v>
      </c>
      <c r="E22" s="170"/>
      <c r="F22" s="170"/>
      <c r="G22" s="170"/>
      <c r="H22" s="170"/>
      <c r="I22" s="170"/>
    </row>
    <row r="23" spans="1:9" ht="15" customHeight="1" x14ac:dyDescent="0.25">
      <c r="A23" s="170" t="s">
        <v>114</v>
      </c>
      <c r="B23" s="170"/>
      <c r="C23" s="8"/>
      <c r="D23" s="170" t="s">
        <v>115</v>
      </c>
      <c r="E23" s="170"/>
      <c r="F23" s="170"/>
      <c r="G23" s="170"/>
      <c r="H23" s="170"/>
      <c r="I23" s="170"/>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Muskegon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11002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2.0905289947282313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10979</v>
      </c>
      <c r="R7" s="42">
        <f t="shared" ref="R7:R15" si="5">SUM(N7:Q7)</f>
        <v>11002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106</v>
      </c>
      <c r="D8" s="34">
        <f>IF((AND(C67&gt;0,C8&gt;0)),(C8/C67),0)</f>
        <v>460.86956521739131</v>
      </c>
      <c r="E8" s="33">
        <f>'Data Entry'!I8</f>
        <v>16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16</v>
      </c>
      <c r="O8" s="42">
        <f>((D67*L67)-E8)+0.05</f>
        <v>-15.95</v>
      </c>
      <c r="P8" s="42">
        <f t="shared" si="4"/>
        <v>106</v>
      </c>
      <c r="Q8" s="42">
        <f>(C$67*L67)-C8</f>
        <v>-83</v>
      </c>
      <c r="R8" s="42">
        <f t="shared" si="5"/>
        <v>23.049999999999997</v>
      </c>
      <c r="S8" s="30">
        <f t="shared" si="6"/>
        <v>3032257.2344999965</v>
      </c>
      <c r="T8" s="30">
        <f t="shared" si="7"/>
        <v>-13882.685000000198</v>
      </c>
      <c r="U8" s="31">
        <f t="shared" si="8"/>
        <v>-218.42008476746057</v>
      </c>
    </row>
    <row r="9" spans="2:21" ht="18" customHeight="1" x14ac:dyDescent="0.25">
      <c r="B9" s="32" t="str">
        <f>'Data Entry'!A9</f>
        <v xml:space="preserve">4. Cases Diverted </v>
      </c>
      <c r="C9" s="33">
        <f>'Data Entry'!C9</f>
        <v>18</v>
      </c>
      <c r="D9" s="34">
        <f>IF((AND(C68&gt;0,C9&gt;0)),((C9/C68)),0)</f>
        <v>16.981132075471699</v>
      </c>
      <c r="E9" s="33">
        <f>'Data Entry'!I9</f>
        <v>1</v>
      </c>
      <c r="F9" s="34">
        <f>IF((AND($E$9&gt;0,$D$68&gt;0)),(($E$9/$D$68)),0)</f>
        <v>6.25</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15</v>
      </c>
      <c r="P9" s="42">
        <f t="shared" si="4"/>
        <v>18</v>
      </c>
      <c r="Q9" s="42">
        <f>(C$68*L68)-C9</f>
        <v>88</v>
      </c>
      <c r="R9" s="42">
        <f t="shared" si="5"/>
        <v>122</v>
      </c>
      <c r="S9" s="30">
        <f t="shared" si="6"/>
        <v>4041128</v>
      </c>
      <c r="T9" s="30">
        <f t="shared" si="7"/>
        <v>3319072</v>
      </c>
      <c r="U9" s="31">
        <f t="shared" si="8"/>
        <v>1.2175475554612856</v>
      </c>
    </row>
    <row r="10" spans="2:21" ht="18" customHeight="1" x14ac:dyDescent="0.25">
      <c r="B10" s="32" t="str">
        <f>'Data Entry'!A10</f>
        <v>5. Cases Involving Secure Detention</v>
      </c>
      <c r="C10" s="33">
        <f>'Data Entry'!C10</f>
        <v>2</v>
      </c>
      <c r="D10" s="34">
        <f>IF(((AND(C68&gt;0,C10&gt;0))),(C10/(C68)),0)</f>
        <v>1.8867924528301885</v>
      </c>
      <c r="E10" s="33">
        <f>'Data Entry'!I10</f>
        <v>3</v>
      </c>
      <c r="F10" s="34">
        <f>IF(((AND($E$10&gt;0,$D$68&gt;0))),($E$10/($D$68)),0)</f>
        <v>18.75</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3</v>
      </c>
      <c r="O10" s="42">
        <f>(D$68*L68)-E10</f>
        <v>13</v>
      </c>
      <c r="P10" s="42">
        <f t="shared" si="4"/>
        <v>2</v>
      </c>
      <c r="Q10" s="42">
        <f>(C$68*L68)-C10</f>
        <v>104</v>
      </c>
      <c r="R10" s="42">
        <f t="shared" si="5"/>
        <v>122</v>
      </c>
      <c r="S10" s="30">
        <f t="shared" si="6"/>
        <v>9979112</v>
      </c>
      <c r="T10" s="30">
        <f t="shared" si="7"/>
        <v>992160</v>
      </c>
      <c r="U10" s="31">
        <f t="shared" si="8"/>
        <v>10.057966457023062</v>
      </c>
    </row>
    <row r="11" spans="2:21" ht="18" customHeight="1" x14ac:dyDescent="0.25">
      <c r="B11" s="32" t="str">
        <f>'Data Entry'!A11</f>
        <v>6. Cases Petitioned (Charge Filed)</v>
      </c>
      <c r="C11" s="33">
        <f>'Data Entry'!C11</f>
        <v>63</v>
      </c>
      <c r="D11" s="34">
        <f>IF(((AND(C68&gt;0,C11&gt;0))),(C11/(C68)),0)</f>
        <v>59.433962264150942</v>
      </c>
      <c r="E11" s="33">
        <f>'Data Entry'!I11</f>
        <v>9</v>
      </c>
      <c r="F11" s="34">
        <f>IF(((AND($E$11&gt;0,$D$68&gt;0))),($E$11/($D$68)),0)</f>
        <v>56.25</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9</v>
      </c>
      <c r="O11" s="42">
        <f>(D$68*L68)-E11</f>
        <v>7</v>
      </c>
      <c r="P11" s="42">
        <f t="shared" si="4"/>
        <v>63</v>
      </c>
      <c r="Q11" s="42">
        <f>(C$68*L68)-C11</f>
        <v>43</v>
      </c>
      <c r="R11" s="42">
        <f t="shared" si="5"/>
        <v>122</v>
      </c>
      <c r="S11" s="30">
        <f t="shared" si="6"/>
        <v>355752</v>
      </c>
      <c r="T11" s="30">
        <f t="shared" si="7"/>
        <v>6105600</v>
      </c>
      <c r="U11" s="31">
        <f t="shared" si="8"/>
        <v>5.8266509433962263E-2</v>
      </c>
    </row>
    <row r="12" spans="2:21" ht="18" customHeight="1" x14ac:dyDescent="0.25">
      <c r="B12" s="32" t="str">
        <f>'Data Entry'!A12</f>
        <v>7. Cases Resulting in Delinquent Findings</v>
      </c>
      <c r="C12" s="33">
        <f>'Data Entry'!C12</f>
        <v>39</v>
      </c>
      <c r="D12" s="34">
        <f>IF(((AND(C69&gt;0,C12&gt;0))),(C12/(C69)),0)</f>
        <v>61.904761904761905</v>
      </c>
      <c r="E12" s="33">
        <f>'Data Entry'!I12</f>
        <v>11</v>
      </c>
      <c r="F12" s="34">
        <f>IF(((AND($D$69&gt;0,$E$12&gt;0))),(E12/(D69)),0)</f>
        <v>122.22222222222223</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11</v>
      </c>
      <c r="O12" s="42">
        <f>(D69*L69)-E12</f>
        <v>-2</v>
      </c>
      <c r="P12" s="42">
        <f t="shared" si="4"/>
        <v>39</v>
      </c>
      <c r="Q12" s="42">
        <f>(C69*L69)-C12</f>
        <v>24</v>
      </c>
      <c r="R12" s="42">
        <f t="shared" si="5"/>
        <v>72</v>
      </c>
      <c r="S12" s="30">
        <f t="shared" si="6"/>
        <v>8421408</v>
      </c>
      <c r="T12" s="30">
        <f t="shared" si="7"/>
        <v>623700</v>
      </c>
      <c r="U12" s="31">
        <f t="shared" si="8"/>
        <v>13.502337662337663</v>
      </c>
    </row>
    <row r="13" spans="2:21" ht="18" customHeight="1" x14ac:dyDescent="0.25">
      <c r="B13" s="32" t="str">
        <f>'Data Entry'!A13</f>
        <v>8. Cases Resulting in Probation Placement</v>
      </c>
      <c r="C13" s="33">
        <f>'Data Entry'!C13</f>
        <v>56</v>
      </c>
      <c r="D13" s="34">
        <f>IF(((AND(C70&gt;0,C13&gt;0))),(C13/(C70)),0)</f>
        <v>143.58974358974359</v>
      </c>
      <c r="E13" s="33">
        <f>'Data Entry'!I13</f>
        <v>11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11</v>
      </c>
      <c r="O13" s="42">
        <f>(D70*L70)-E13</f>
        <v>0</v>
      </c>
      <c r="P13" s="42">
        <f t="shared" si="4"/>
        <v>56</v>
      </c>
      <c r="Q13" s="42">
        <f>(C70*L70)-C13</f>
        <v>-17</v>
      </c>
      <c r="R13" s="42">
        <f t="shared" si="5"/>
        <v>50</v>
      </c>
      <c r="S13" s="30">
        <f t="shared" si="6"/>
        <v>1748450</v>
      </c>
      <c r="T13" s="30">
        <f t="shared" si="7"/>
        <v>-488631</v>
      </c>
      <c r="U13" s="31">
        <f t="shared" si="8"/>
        <v>-3.5782625334864142</v>
      </c>
    </row>
    <row r="14" spans="2:21" ht="30.75" customHeight="1" x14ac:dyDescent="0.25">
      <c r="B14" s="32" t="str">
        <f>'Data Entry'!A14</f>
        <v xml:space="preserve">9. Cases Resulting in Confinement in Secure Juvenile Correctional Facilities </v>
      </c>
      <c r="C14" s="33">
        <f>'Data Entry'!C14</f>
        <v>6</v>
      </c>
      <c r="D14" s="34">
        <f>IF(((AND(C70&gt;0,C14&gt;0))), ((C14/(C70))),0)</f>
        <v>15.384615384615383</v>
      </c>
      <c r="E14" s="33">
        <f>'Data Entry'!I14</f>
        <v>2</v>
      </c>
      <c r="F14" s="34">
        <f>IF(((AND($D$70&gt;0,$E$14&gt;0))), (($E$14/($D$70))),0)</f>
        <v>18.181818181818183</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2</v>
      </c>
      <c r="O14" s="42">
        <f>(D70*L70)-E14</f>
        <v>9</v>
      </c>
      <c r="P14" s="42">
        <f t="shared" si="4"/>
        <v>6</v>
      </c>
      <c r="Q14" s="42">
        <f>(C70*L70)-C14</f>
        <v>33</v>
      </c>
      <c r="R14" s="42">
        <f t="shared" si="5"/>
        <v>50</v>
      </c>
      <c r="S14" s="30">
        <f t="shared" si="6"/>
        <v>7200</v>
      </c>
      <c r="T14" s="30">
        <f t="shared" si="7"/>
        <v>144144</v>
      </c>
      <c r="U14" s="31">
        <f t="shared" si="8"/>
        <v>4.9950049950049952E-2</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9</v>
      </c>
      <c r="P15" s="42">
        <f t="shared" si="4"/>
        <v>0</v>
      </c>
      <c r="Q15" s="42">
        <f>(C69*L69)-C15</f>
        <v>63</v>
      </c>
      <c r="R15" s="42">
        <f t="shared" si="5"/>
        <v>72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11.002000000000001</v>
      </c>
      <c r="D42" s="56">
        <f>E6/1000</f>
        <v>0</v>
      </c>
      <c r="E42" s="56">
        <f>MAX(C42:D42)</f>
        <v>11.002000000000001</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1.06</v>
      </c>
      <c r="D44" s="56">
        <f>E8/100</f>
        <v>0.16</v>
      </c>
      <c r="E44" s="56">
        <f>MAX(C44:D44,0)</f>
        <v>1.06</v>
      </c>
      <c r="G44" s="1" t="str">
        <f>B44</f>
        <v>per 100 referrals</v>
      </c>
      <c r="L44" s="57">
        <v>100</v>
      </c>
      <c r="M44" s="57"/>
      <c r="R44" s="49"/>
    </row>
    <row r="45" spans="2:18" ht="15" hidden="1" customHeight="1" x14ac:dyDescent="0.25">
      <c r="B45" s="49" t="s">
        <v>89</v>
      </c>
      <c r="C45" s="49">
        <f>C11/100</f>
        <v>0.63</v>
      </c>
      <c r="D45" s="49">
        <f>E11/100</f>
        <v>0.09</v>
      </c>
      <c r="E45" s="56">
        <f>MAX(C45:D45,0)</f>
        <v>0.63</v>
      </c>
      <c r="G45" s="1" t="str">
        <f>B45</f>
        <v>per 100 youth petitioned</v>
      </c>
      <c r="L45" s="57">
        <v>100</v>
      </c>
      <c r="M45" s="57"/>
      <c r="R45" s="49"/>
    </row>
    <row r="46" spans="2:18" ht="15" hidden="1" customHeight="1" x14ac:dyDescent="0.25">
      <c r="B46" s="49" t="s">
        <v>90</v>
      </c>
      <c r="C46" s="49">
        <f>C12/100</f>
        <v>0.39</v>
      </c>
      <c r="D46" s="49">
        <f>E12/100</f>
        <v>0.11</v>
      </c>
      <c r="E46" s="56">
        <f>MAX(C46:D46)</f>
        <v>0.39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11.002000000000001</v>
      </c>
      <c r="D48" s="56">
        <f>D42</f>
        <v>0</v>
      </c>
      <c r="E48" s="56">
        <f>MAX(C48:D48)</f>
        <v>11.002000000000001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1.06</v>
      </c>
      <c r="D50" s="49">
        <f t="shared" si="9"/>
        <v>0.16</v>
      </c>
      <c r="E50" s="49">
        <f>MAX(C50:D50)</f>
        <v>1.06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0.63</v>
      </c>
      <c r="D51" s="49">
        <f>IF(($E45&gt;0),D45,D44)</f>
        <v>0.09</v>
      </c>
      <c r="E51" s="49">
        <f>MAX(C51:D51)</f>
        <v>0.63</v>
      </c>
      <c r="G51" s="1" t="str">
        <f>G45</f>
        <v>per 100 youth petitioned</v>
      </c>
      <c r="L51" s="58">
        <f>IF(($E45&gt;0),L45,L44)</f>
        <v>100</v>
      </c>
      <c r="M51" s="58"/>
    </row>
    <row r="52" spans="2:18" ht="15" hidden="1" customHeight="1" x14ac:dyDescent="0.25">
      <c r="B52" s="49" t="str">
        <f>IF(($E46&gt;0),B46,B45)</f>
        <v>per 100 youth found delinquent</v>
      </c>
      <c r="C52" s="49">
        <f>IF(($E46&gt;0),C46,C45)</f>
        <v>0.39</v>
      </c>
      <c r="D52" s="49">
        <f>IF(($E46&gt;0),D46,D45)</f>
        <v>0.11</v>
      </c>
      <c r="E52" s="56">
        <f>MAX(C52:D52)</f>
        <v>0.39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11.002000000000001</v>
      </c>
      <c r="D54" s="56">
        <f>D48</f>
        <v>0</v>
      </c>
      <c r="E54" s="56">
        <f>MAX(C54:D54)</f>
        <v>11.002000000000001</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1.06</v>
      </c>
      <c r="D56" s="49">
        <f t="shared" si="10"/>
        <v>0.16</v>
      </c>
      <c r="E56" s="49">
        <f>MAX(C56:D56)</f>
        <v>1.06</v>
      </c>
      <c r="G56" s="1" t="str">
        <f>G50</f>
        <v>per 100 referrals</v>
      </c>
      <c r="L56" s="58">
        <f>IF(($E50&gt;0),L50,L49)</f>
        <v>100</v>
      </c>
      <c r="M56" s="58"/>
    </row>
    <row r="57" spans="2:18" ht="15" hidden="1" customHeight="1" x14ac:dyDescent="0.25">
      <c r="B57" s="49" t="str">
        <f>IF(($E51&gt;0),B51,B49)</f>
        <v>per 100 youth petitioned</v>
      </c>
      <c r="C57" s="49">
        <f>IF(($E51&gt;0),C51,C50)</f>
        <v>0.63</v>
      </c>
      <c r="D57" s="49">
        <f>IF(($E51&gt;0),D51,D50)</f>
        <v>0.09</v>
      </c>
      <c r="E57" s="49">
        <f>MAX(C57:D57)</f>
        <v>0.63</v>
      </c>
      <c r="G57" s="1" t="str">
        <f>G51</f>
        <v>per 100 youth petitioned</v>
      </c>
      <c r="L57" s="58">
        <f>IF(($E51&gt;0),L51,L50)</f>
        <v>100</v>
      </c>
      <c r="M57" s="58"/>
    </row>
    <row r="58" spans="2:18" ht="15" hidden="1" customHeight="1" x14ac:dyDescent="0.25">
      <c r="B58" s="49" t="str">
        <f>IF(($E52&gt;0),B52,B51)</f>
        <v>per 100 youth found delinquent</v>
      </c>
      <c r="C58" s="49">
        <f>IF(($E52&gt;0),C52,C51)</f>
        <v>0.39</v>
      </c>
      <c r="D58" s="49">
        <f>IF(($E52&gt;0),D52,D51)</f>
        <v>0.11</v>
      </c>
      <c r="E58" s="56">
        <f>MAX(C58:D58)</f>
        <v>0.39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11.002000000000001</v>
      </c>
      <c r="D60" s="56">
        <f>D54</f>
        <v>0</v>
      </c>
      <c r="E60" s="56">
        <f>MAX(C60:D60)</f>
        <v>11.002000000000001</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1.06</v>
      </c>
      <c r="D62" s="49">
        <f t="shared" si="11"/>
        <v>0.16</v>
      </c>
      <c r="E62" s="49">
        <f>MAX(C62:D62)</f>
        <v>1.06</v>
      </c>
      <c r="G62" s="1" t="str">
        <f>G56</f>
        <v>per 100 referrals</v>
      </c>
      <c r="L62" s="58">
        <f>IF(($E56&gt;0),L56,L55)</f>
        <v>100</v>
      </c>
      <c r="M62" s="58"/>
    </row>
    <row r="63" spans="2:18" ht="15" hidden="1" customHeight="1" x14ac:dyDescent="0.25">
      <c r="B63" s="49" t="str">
        <f>IF(($E57&gt;0),B57,B55)</f>
        <v>per 100 youth petitioned</v>
      </c>
      <c r="C63" s="49">
        <f>IF(($E57&gt;0),C57,C56)</f>
        <v>0.63</v>
      </c>
      <c r="D63" s="49">
        <f>IF(($E57&gt;0),D57,D56)</f>
        <v>0.09</v>
      </c>
      <c r="E63" s="49">
        <f>MAX(C63:D63)</f>
        <v>0.63</v>
      </c>
      <c r="G63" s="1" t="str">
        <f>G57</f>
        <v>per 100 youth petitioned</v>
      </c>
      <c r="L63" s="58">
        <f>IF(($E57&gt;0),L57,L56)</f>
        <v>100</v>
      </c>
      <c r="M63" s="58"/>
    </row>
    <row r="64" spans="2:18" ht="15" hidden="1" customHeight="1" x14ac:dyDescent="0.25">
      <c r="B64" s="49" t="str">
        <f>IF(($E58&gt;0),B58,B57)</f>
        <v>per 100 youth found delinquent</v>
      </c>
      <c r="C64" s="49">
        <f>IF(($E58&gt;0),C58,C57)</f>
        <v>0.39</v>
      </c>
      <c r="D64" s="49">
        <f>IF(($E58&gt;0),D58,D57)</f>
        <v>0.11</v>
      </c>
      <c r="E64" s="56">
        <f>MAX(C64:D64)</f>
        <v>0.39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11.002000000000001</v>
      </c>
      <c r="D66" s="56">
        <f>D60</f>
        <v>0</v>
      </c>
      <c r="E66" s="56">
        <f>MAX(C66:D66)</f>
        <v>11.002000000000001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1.06</v>
      </c>
      <c r="D68" s="49">
        <f t="shared" si="12"/>
        <v>0.16</v>
      </c>
      <c r="E68" s="49">
        <f>MAX(C68:D68)</f>
        <v>1.06</v>
      </c>
      <c r="G68" s="1" t="str">
        <f>G62</f>
        <v>per 100 referrals</v>
      </c>
      <c r="L68" s="58">
        <f>IF(($E62&gt;0),L62,L61)</f>
        <v>100</v>
      </c>
      <c r="M68" s="58">
        <f>IF((B68=G68),1,2)</f>
        <v>1</v>
      </c>
    </row>
    <row r="69" spans="2:13" ht="15" hidden="1" customHeight="1" x14ac:dyDescent="0.25">
      <c r="B69" s="49" t="str">
        <f>IF(($E63&gt;0),B63,B61)</f>
        <v>per 100 youth petitioned</v>
      </c>
      <c r="C69" s="49">
        <f>IF(($E63&gt;0),C63,C62)</f>
        <v>0.63</v>
      </c>
      <c r="D69" s="49">
        <f>IF(($E63&gt;0),D63,D62)</f>
        <v>0.09</v>
      </c>
      <c r="E69" s="49">
        <f>MAX(C69:D69)</f>
        <v>0.63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0.39</v>
      </c>
      <c r="D70" s="49">
        <f>IF(($E64&gt;0),D64,D63)</f>
        <v>0.11</v>
      </c>
      <c r="E70" s="56">
        <f>MAX(C70:D70)</f>
        <v>0.39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Muskegon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11002</v>
      </c>
      <c r="D6" s="34"/>
      <c r="E6" s="33">
        <f>'Data Entry'!J6</f>
        <v>4837</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2.0905289947282313</v>
      </c>
      <c r="E7" s="33">
        <f>'Data Entry'!J7</f>
        <v>25</v>
      </c>
      <c r="F7" s="34">
        <f>IF((AND($E$7&gt;0,$D$66&gt;0)),($E$7/$D$66),0)</f>
        <v>5.1684928674798432</v>
      </c>
      <c r="G7" s="39">
        <f t="shared" ref="G7:G15" si="0">IF(L$6=100,"*",IF(M7=FALSE,"--",IF(K7=20,"**",($F7/$D7))))</f>
        <v>2.4723373273049232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25</v>
      </c>
      <c r="O7" s="42">
        <f>E6-E7</f>
        <v>4812</v>
      </c>
      <c r="P7" s="42">
        <f t="shared" ref="P7:P15" si="4">C7</f>
        <v>23</v>
      </c>
      <c r="Q7" s="42">
        <f>C6-C7</f>
        <v>10979</v>
      </c>
      <c r="R7" s="42">
        <f t="shared" ref="R7:R15" si="5">SUM(N7:Q7)</f>
        <v>15839</v>
      </c>
      <c r="S7" s="30">
        <f t="shared" ref="S7:S15" si="6">R7*((((N7*Q7)-(O7*P7))^2))</f>
        <v>424962150319439</v>
      </c>
      <c r="T7" s="30">
        <f t="shared" ref="T7:T15" si="7">(N7+O7)*(P7+Q7)*(N7+P7)*(O7+Q7)</f>
        <v>40336535958432</v>
      </c>
      <c r="U7" s="31">
        <f t="shared" ref="U7:U15" si="8">IF((S7&gt;0),S7/T7,"- -")</f>
        <v>10.535415107469197</v>
      </c>
    </row>
    <row r="8" spans="2:21" ht="18" customHeight="1" x14ac:dyDescent="0.25">
      <c r="B8" s="32" t="str">
        <f>'Data Entry'!A8</f>
        <v>3. Refer to Juvenile Court</v>
      </c>
      <c r="C8" s="33">
        <f>'Data Entry'!C8</f>
        <v>106</v>
      </c>
      <c r="D8" s="34">
        <f>IF((AND(C67&gt;0,C8&gt;0)),(C8/C67),0)</f>
        <v>460.86956521739131</v>
      </c>
      <c r="E8" s="33">
        <f>'Data Entry'!J8</f>
        <v>125</v>
      </c>
      <c r="F8" s="34">
        <f>IF((AND($E$8&gt;0,$D$67&gt;0)),($E8/$D67),0)</f>
        <v>500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125</v>
      </c>
      <c r="O8" s="42">
        <f>((D67*L67)-E8)+0.05</f>
        <v>-99.95</v>
      </c>
      <c r="P8" s="42">
        <f t="shared" si="4"/>
        <v>106</v>
      </c>
      <c r="Q8" s="42">
        <f>(C$67*L67)-C8</f>
        <v>-83</v>
      </c>
      <c r="R8" s="42">
        <f t="shared" si="5"/>
        <v>48.050000000000011</v>
      </c>
      <c r="S8" s="30">
        <f t="shared" si="6"/>
        <v>2319281.7245000158</v>
      </c>
      <c r="T8" s="30">
        <f t="shared" si="7"/>
        <v>-24348934.417499997</v>
      </c>
      <c r="U8" s="31">
        <f t="shared" si="8"/>
        <v>-9.5251877750884589E-2</v>
      </c>
    </row>
    <row r="9" spans="2:21" ht="18" customHeight="1" x14ac:dyDescent="0.25">
      <c r="B9" s="32" t="str">
        <f>'Data Entry'!A9</f>
        <v xml:space="preserve">4. Cases Diverted </v>
      </c>
      <c r="C9" s="33">
        <f>'Data Entry'!C9</f>
        <v>18</v>
      </c>
      <c r="D9" s="34">
        <f>IF((AND(C68&gt;0,C9&gt;0)),((C9/C68)),0)</f>
        <v>16.981132075471699</v>
      </c>
      <c r="E9" s="33">
        <f>'Data Entry'!J9</f>
        <v>6</v>
      </c>
      <c r="F9" s="34">
        <f>IF((AND($E$9&gt;0,$D$68&gt;0)),(($E$9/$D$68)),0)</f>
        <v>4.8</v>
      </c>
      <c r="G9" s="39">
        <f t="shared" si="0"/>
        <v>0.28266666666666662</v>
      </c>
      <c r="H9" s="40"/>
      <c r="I9" s="41"/>
      <c r="J9" s="40">
        <f>IF((ABS($U9)&gt;Defaults!D$7),1,2)</f>
        <v>1</v>
      </c>
      <c r="K9" s="39">
        <f>IF((AND(N9&gt;Defaults!B$12,(N9+O9)&gt;Defaults!B$13, P9 &gt; Defaults!B$12, (P9+Q9) &gt; Defaults!B$13)),1,20)</f>
        <v>1</v>
      </c>
      <c r="L9" s="1">
        <f t="shared" si="1"/>
        <v>1</v>
      </c>
      <c r="M9" s="1" t="b">
        <f t="shared" si="2"/>
        <v>1</v>
      </c>
      <c r="N9" s="42">
        <f t="shared" si="3"/>
        <v>6</v>
      </c>
      <c r="O9" s="42">
        <f>(D$68*L68)-E9</f>
        <v>119</v>
      </c>
      <c r="P9" s="42">
        <f t="shared" si="4"/>
        <v>18</v>
      </c>
      <c r="Q9" s="42">
        <f>(C$68*L68)-C9</f>
        <v>88</v>
      </c>
      <c r="R9" s="42">
        <f t="shared" si="5"/>
        <v>231</v>
      </c>
      <c r="S9" s="30">
        <f t="shared" si="6"/>
        <v>601754076</v>
      </c>
      <c r="T9" s="30">
        <f t="shared" si="7"/>
        <v>65826000</v>
      </c>
      <c r="U9" s="31">
        <f t="shared" si="8"/>
        <v>9.1415865463494672</v>
      </c>
    </row>
    <row r="10" spans="2:21" ht="18" customHeight="1" x14ac:dyDescent="0.25">
      <c r="B10" s="32" t="str">
        <f>'Data Entry'!A10</f>
        <v>5. Cases Involving Secure Detention</v>
      </c>
      <c r="C10" s="33">
        <f>'Data Entry'!C10</f>
        <v>2</v>
      </c>
      <c r="D10" s="34">
        <f>IF(((AND(C68&gt;0,C10&gt;0))),(C10/(C68)),0)</f>
        <v>1.8867924528301885</v>
      </c>
      <c r="E10" s="33">
        <f>'Data Entry'!J10</f>
        <v>14</v>
      </c>
      <c r="F10" s="34">
        <f>IF(((AND($E$10&gt;0,$D$68&gt;0))),($E$10/($D$68)),0)</f>
        <v>11.2</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14</v>
      </c>
      <c r="O10" s="42">
        <f>(D$68*L68)-E10</f>
        <v>111</v>
      </c>
      <c r="P10" s="42">
        <f t="shared" si="4"/>
        <v>2</v>
      </c>
      <c r="Q10" s="42">
        <f>(C$68*L68)-C10</f>
        <v>104</v>
      </c>
      <c r="R10" s="42">
        <f t="shared" si="5"/>
        <v>231</v>
      </c>
      <c r="S10" s="30">
        <f t="shared" si="6"/>
        <v>351756636</v>
      </c>
      <c r="T10" s="30">
        <f t="shared" si="7"/>
        <v>45580000</v>
      </c>
      <c r="U10" s="31">
        <f t="shared" si="8"/>
        <v>7.7173461167178585</v>
      </c>
    </row>
    <row r="11" spans="2:21" ht="18" customHeight="1" x14ac:dyDescent="0.25">
      <c r="B11" s="32" t="str">
        <f>'Data Entry'!A11</f>
        <v>6. Cases Petitioned (Charge Filed)</v>
      </c>
      <c r="C11" s="33">
        <f>'Data Entry'!C11</f>
        <v>63</v>
      </c>
      <c r="D11" s="34">
        <f>IF(((AND(C68&gt;0,C11&gt;0))),(C11/(C68)),0)</f>
        <v>59.433962264150942</v>
      </c>
      <c r="E11" s="33">
        <f>'Data Entry'!J11</f>
        <v>70</v>
      </c>
      <c r="F11" s="34">
        <f>IF(((AND($E$11&gt;0,$D$68&gt;0))),($E$11/($D$68)),0)</f>
        <v>56</v>
      </c>
      <c r="G11" s="39">
        <f t="shared" si="0"/>
        <v>0.94222222222222229</v>
      </c>
      <c r="H11" s="40"/>
      <c r="I11" s="41"/>
      <c r="J11" s="40">
        <f>IF((ABS($U11)&gt;Defaults!D$7),1,2)</f>
        <v>2</v>
      </c>
      <c r="K11" s="39">
        <f>IF((AND(N11&gt;Defaults!B$12,(N11+O11)&gt;Defaults!B$13, P11 &gt; Defaults!B$12, (P11+Q11) &gt; Defaults!B$13)),1,20)</f>
        <v>1</v>
      </c>
      <c r="L11" s="1">
        <f t="shared" si="1"/>
        <v>2</v>
      </c>
      <c r="M11" s="1" t="b">
        <f t="shared" si="2"/>
        <v>1</v>
      </c>
      <c r="N11" s="42">
        <f t="shared" si="3"/>
        <v>70</v>
      </c>
      <c r="O11" s="42">
        <f>(D$68*L68)-E11</f>
        <v>55</v>
      </c>
      <c r="P11" s="42">
        <f t="shared" si="4"/>
        <v>63</v>
      </c>
      <c r="Q11" s="42">
        <f>(C$68*L68)-C11</f>
        <v>43</v>
      </c>
      <c r="R11" s="42">
        <f t="shared" si="5"/>
        <v>231</v>
      </c>
      <c r="S11" s="30">
        <f t="shared" si="6"/>
        <v>47822775</v>
      </c>
      <c r="T11" s="30">
        <f t="shared" si="7"/>
        <v>172700500</v>
      </c>
      <c r="U11" s="31">
        <f t="shared" si="8"/>
        <v>0.2769116186693148</v>
      </c>
    </row>
    <row r="12" spans="2:21" ht="18" customHeight="1" x14ac:dyDescent="0.25">
      <c r="B12" s="32" t="str">
        <f>'Data Entry'!A12</f>
        <v>7. Cases Resulting in Delinquent Findings</v>
      </c>
      <c r="C12" s="33">
        <f>'Data Entry'!C12</f>
        <v>39</v>
      </c>
      <c r="D12" s="34">
        <f>IF(((AND(C69&gt;0,C12&gt;0))),(C12/(C69)),0)</f>
        <v>61.904761904761905</v>
      </c>
      <c r="E12" s="33">
        <f>'Data Entry'!J12</f>
        <v>58</v>
      </c>
      <c r="F12" s="34">
        <f>IF(((AND($D$69&gt;0,$E$12&gt;0))),(E12/(D69)),0)</f>
        <v>82.857142857142861</v>
      </c>
      <c r="G12" s="39">
        <f t="shared" si="0"/>
        <v>1.3384615384615386</v>
      </c>
      <c r="H12" s="40"/>
      <c r="I12" s="41"/>
      <c r="J12" s="40">
        <f>IF((ABS($U12)&gt;Defaults!D$7),1,2)</f>
        <v>1</v>
      </c>
      <c r="K12" s="39">
        <f>IF((AND(N12&gt;Defaults!B$12,(N12+O12)&gt;Defaults!B$13, P12 &gt; Defaults!B$12, (P12+Q12) &gt; Defaults!B$13)),1,20)</f>
        <v>1</v>
      </c>
      <c r="L12" s="1">
        <f t="shared" si="1"/>
        <v>1</v>
      </c>
      <c r="M12" s="1" t="b">
        <f t="shared" si="2"/>
        <v>1</v>
      </c>
      <c r="N12" s="42">
        <f t="shared" si="3"/>
        <v>58</v>
      </c>
      <c r="O12" s="42">
        <f>(D69*L69)-E12</f>
        <v>12</v>
      </c>
      <c r="P12" s="42">
        <f t="shared" si="4"/>
        <v>39</v>
      </c>
      <c r="Q12" s="42">
        <f>(C69*L69)-C12</f>
        <v>24</v>
      </c>
      <c r="R12" s="42">
        <f t="shared" si="5"/>
        <v>133</v>
      </c>
      <c r="S12" s="30">
        <f t="shared" si="6"/>
        <v>113552208</v>
      </c>
      <c r="T12" s="30">
        <f t="shared" si="7"/>
        <v>15399720</v>
      </c>
      <c r="U12" s="31">
        <f t="shared" si="8"/>
        <v>7.3736540664375712</v>
      </c>
    </row>
    <row r="13" spans="2:21" ht="18" customHeight="1" x14ac:dyDescent="0.25">
      <c r="B13" s="32" t="str">
        <f>'Data Entry'!A13</f>
        <v>8. Cases Resulting in Probation Placement</v>
      </c>
      <c r="C13" s="33">
        <f>'Data Entry'!C13</f>
        <v>56</v>
      </c>
      <c r="D13" s="34">
        <f>IF(((AND(C70&gt;0,C13&gt;0))),(C13/(C70)),0)</f>
        <v>143.58974358974359</v>
      </c>
      <c r="E13" s="33">
        <f>'Data Entry'!J13</f>
        <v>51</v>
      </c>
      <c r="F13" s="34">
        <f>IF(((AND($D$70&gt;0,$E$13&gt;0))),($E$13/($D$70)),0)</f>
        <v>87.931034482758633</v>
      </c>
      <c r="G13" s="39">
        <f t="shared" si="0"/>
        <v>0.61237684729064046</v>
      </c>
      <c r="H13" s="40"/>
      <c r="I13" s="41"/>
      <c r="J13" s="40">
        <f>IF((ABS($U13)&gt;Defaults!D$7),1,2)</f>
        <v>1</v>
      </c>
      <c r="K13" s="39">
        <f>IF((AND(N13&gt;Defaults!B$12,(N13+O13)&gt;Defaults!B$13, P13 &gt; Defaults!B$12, (P13+Q13) &gt; Defaults!B$13)),1,20)</f>
        <v>1</v>
      </c>
      <c r="L13" s="1">
        <f t="shared" si="1"/>
        <v>1</v>
      </c>
      <c r="M13" s="1" t="b">
        <f t="shared" si="2"/>
        <v>1</v>
      </c>
      <c r="N13" s="42">
        <f t="shared" si="3"/>
        <v>51</v>
      </c>
      <c r="O13" s="42">
        <f>(D70*L70)-E13</f>
        <v>6.9999999999999929</v>
      </c>
      <c r="P13" s="42">
        <f t="shared" si="4"/>
        <v>56</v>
      </c>
      <c r="Q13" s="42">
        <f>(C70*L70)-C13</f>
        <v>-17</v>
      </c>
      <c r="R13" s="42">
        <f t="shared" si="5"/>
        <v>97</v>
      </c>
      <c r="S13" s="30">
        <f t="shared" si="6"/>
        <v>153752856.99999988</v>
      </c>
      <c r="T13" s="30">
        <f t="shared" si="7"/>
        <v>-2420340.0000000009</v>
      </c>
      <c r="U13" s="31">
        <f t="shared" si="8"/>
        <v>-63.52531338572259</v>
      </c>
    </row>
    <row r="14" spans="2:21" ht="30.75" customHeight="1" x14ac:dyDescent="0.25">
      <c r="B14" s="32" t="str">
        <f>'Data Entry'!A14</f>
        <v xml:space="preserve">9. Cases Resulting in Confinement in Secure Juvenile Correctional Facilities </v>
      </c>
      <c r="C14" s="33">
        <f>'Data Entry'!C14</f>
        <v>6</v>
      </c>
      <c r="D14" s="34">
        <f>IF(((AND(C70&gt;0,C14&gt;0))), ((C14/(C70))),0)</f>
        <v>15.384615384615383</v>
      </c>
      <c r="E14" s="33">
        <f>'Data Entry'!J14</f>
        <v>16</v>
      </c>
      <c r="F14" s="34">
        <f>IF(((AND($D$70&gt;0,$E$14&gt;0))), (($E$14/($D$70))),0)</f>
        <v>27.586206896551726</v>
      </c>
      <c r="G14" s="39">
        <f t="shared" si="0"/>
        <v>1.7931034482758623</v>
      </c>
      <c r="H14" s="40"/>
      <c r="I14" s="41"/>
      <c r="J14" s="40">
        <f>IF((ABS($U14)&gt;Defaults!D$7),1,2)</f>
        <v>2</v>
      </c>
      <c r="K14" s="39">
        <f>IF((AND(N14&gt;Defaults!B$12,(N14+O14)&gt;Defaults!B$13, P14 &gt; Defaults!B$12, (P14+Q14) &gt; Defaults!B$13)),1,20)</f>
        <v>1</v>
      </c>
      <c r="L14" s="1">
        <f t="shared" si="1"/>
        <v>2</v>
      </c>
      <c r="M14" s="1" t="b">
        <f t="shared" si="2"/>
        <v>1</v>
      </c>
      <c r="N14" s="42">
        <f t="shared" si="3"/>
        <v>16</v>
      </c>
      <c r="O14" s="42">
        <f>(D70*L70)-E14</f>
        <v>41.999999999999993</v>
      </c>
      <c r="P14" s="42">
        <f t="shared" si="4"/>
        <v>6</v>
      </c>
      <c r="Q14" s="42">
        <f>(C70*L70)-C14</f>
        <v>33</v>
      </c>
      <c r="R14" s="42">
        <f t="shared" si="5"/>
        <v>97</v>
      </c>
      <c r="S14" s="30">
        <f t="shared" si="6"/>
        <v>7389072.0000000028</v>
      </c>
      <c r="T14" s="30">
        <f t="shared" si="7"/>
        <v>3732299.9999999995</v>
      </c>
      <c r="U14" s="31">
        <f t="shared" si="8"/>
        <v>1.9797636845912718</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v>
      </c>
      <c r="P15" s="42">
        <f t="shared" si="4"/>
        <v>0</v>
      </c>
      <c r="Q15" s="42">
        <f>(C69*L69)-C15</f>
        <v>63</v>
      </c>
      <c r="R15" s="42">
        <f t="shared" si="5"/>
        <v>133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11.002000000000001</v>
      </c>
      <c r="D42" s="56">
        <f>E6/1000</f>
        <v>4.8369999999999997</v>
      </c>
      <c r="E42" s="56">
        <f>MAX(C42:D42)</f>
        <v>11.002000000000001</v>
      </c>
      <c r="G42" s="1" t="str">
        <f>B42</f>
        <v>per 1000 youth</v>
      </c>
      <c r="L42" s="57">
        <v>1000</v>
      </c>
      <c r="M42" s="57"/>
      <c r="R42" s="49"/>
    </row>
    <row r="43" spans="2:18" ht="15" hidden="1" customHeight="1" x14ac:dyDescent="0.25">
      <c r="B43" s="49" t="s">
        <v>87</v>
      </c>
      <c r="C43" s="56">
        <f>C7/100</f>
        <v>0.23</v>
      </c>
      <c r="D43" s="56">
        <f>E7/100</f>
        <v>0.25</v>
      </c>
      <c r="E43" s="56">
        <f>MAX(C43:D43,0)</f>
        <v>0.25</v>
      </c>
      <c r="G43" s="1" t="str">
        <f>B43</f>
        <v>per 100 arrests</v>
      </c>
      <c r="L43" s="57">
        <v>100</v>
      </c>
      <c r="M43" s="57"/>
      <c r="R43" s="49"/>
    </row>
    <row r="44" spans="2:18" ht="15" hidden="1" customHeight="1" x14ac:dyDescent="0.25">
      <c r="B44" s="49" t="s">
        <v>88</v>
      </c>
      <c r="C44" s="56">
        <f>C8/100</f>
        <v>1.06</v>
      </c>
      <c r="D44" s="56">
        <f>E8/100</f>
        <v>1.25</v>
      </c>
      <c r="E44" s="56">
        <f>MAX(C44:D44,0)</f>
        <v>1.25</v>
      </c>
      <c r="G44" s="1" t="str">
        <f>B44</f>
        <v>per 100 referrals</v>
      </c>
      <c r="L44" s="57">
        <v>100</v>
      </c>
      <c r="M44" s="57"/>
      <c r="R44" s="49"/>
    </row>
    <row r="45" spans="2:18" ht="15" hidden="1" customHeight="1" x14ac:dyDescent="0.25">
      <c r="B45" s="49" t="s">
        <v>89</v>
      </c>
      <c r="C45" s="49">
        <f>C11/100</f>
        <v>0.63</v>
      </c>
      <c r="D45" s="49">
        <f>E11/100</f>
        <v>0.7</v>
      </c>
      <c r="E45" s="56">
        <f>MAX(C45:D45,0)</f>
        <v>0.7</v>
      </c>
      <c r="G45" s="1" t="str">
        <f>B45</f>
        <v>per 100 youth petitioned</v>
      </c>
      <c r="L45" s="57">
        <v>100</v>
      </c>
      <c r="M45" s="57"/>
      <c r="R45" s="49"/>
    </row>
    <row r="46" spans="2:18" ht="15" hidden="1" customHeight="1" x14ac:dyDescent="0.25">
      <c r="B46" s="49" t="s">
        <v>90</v>
      </c>
      <c r="C46" s="49">
        <f>C12/100</f>
        <v>0.39</v>
      </c>
      <c r="D46" s="49">
        <f>E12/100</f>
        <v>0.57999999999999996</v>
      </c>
      <c r="E46" s="56">
        <f>MAX(C46:D46)</f>
        <v>0.57999999999999996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11.002000000000001</v>
      </c>
      <c r="D48" s="56">
        <f>D42</f>
        <v>4.8369999999999997</v>
      </c>
      <c r="E48" s="56">
        <f>MAX(C48:D48)</f>
        <v>11.002000000000001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0.25</v>
      </c>
      <c r="E49" s="49">
        <f>MAX(C49:D49)</f>
        <v>0.25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1.06</v>
      </c>
      <c r="D50" s="49">
        <f t="shared" si="9"/>
        <v>1.25</v>
      </c>
      <c r="E50" s="49">
        <f>MAX(C50:D50)</f>
        <v>1.25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0.63</v>
      </c>
      <c r="D51" s="49">
        <f>IF(($E45&gt;0),D45,D44)</f>
        <v>0.7</v>
      </c>
      <c r="E51" s="49">
        <f>MAX(C51:D51)</f>
        <v>0.7</v>
      </c>
      <c r="G51" s="1" t="str">
        <f>G45</f>
        <v>per 100 youth petitioned</v>
      </c>
      <c r="L51" s="58">
        <f>IF(($E45&gt;0),L45,L44)</f>
        <v>100</v>
      </c>
      <c r="M51" s="58"/>
    </row>
    <row r="52" spans="2:18" ht="15" hidden="1" customHeight="1" x14ac:dyDescent="0.25">
      <c r="B52" s="49" t="str">
        <f>IF(($E46&gt;0),B46,B45)</f>
        <v>per 100 youth found delinquent</v>
      </c>
      <c r="C52" s="49">
        <f>IF(($E46&gt;0),C46,C45)</f>
        <v>0.39</v>
      </c>
      <c r="D52" s="49">
        <f>IF(($E46&gt;0),D46,D45)</f>
        <v>0.57999999999999996</v>
      </c>
      <c r="E52" s="56">
        <f>MAX(C52:D52)</f>
        <v>0.57999999999999996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11.002000000000001</v>
      </c>
      <c r="D54" s="56">
        <f>D48</f>
        <v>4.8369999999999997</v>
      </c>
      <c r="E54" s="56">
        <f>MAX(C54:D54)</f>
        <v>11.002000000000001</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0.25</v>
      </c>
      <c r="E55" s="49">
        <f>MAX(C55:D55)</f>
        <v>0.25</v>
      </c>
      <c r="G55" s="1" t="str">
        <f>G49</f>
        <v>per 100 arrests</v>
      </c>
      <c r="L55" s="58">
        <f>IF(($E49&gt;0),L49,L48)</f>
        <v>100</v>
      </c>
      <c r="M55" s="58"/>
    </row>
    <row r="56" spans="2:18" ht="15" hidden="1" customHeight="1" x14ac:dyDescent="0.25">
      <c r="B56" s="49" t="str">
        <f t="shared" si="10"/>
        <v>per 100 referrals</v>
      </c>
      <c r="C56" s="49">
        <f t="shared" si="10"/>
        <v>1.06</v>
      </c>
      <c r="D56" s="49">
        <f t="shared" si="10"/>
        <v>1.25</v>
      </c>
      <c r="E56" s="49">
        <f>MAX(C56:D56)</f>
        <v>1.25</v>
      </c>
      <c r="G56" s="1" t="str">
        <f>G50</f>
        <v>per 100 referrals</v>
      </c>
      <c r="L56" s="58">
        <f>IF(($E50&gt;0),L50,L49)</f>
        <v>100</v>
      </c>
      <c r="M56" s="58"/>
    </row>
    <row r="57" spans="2:18" ht="15" hidden="1" customHeight="1" x14ac:dyDescent="0.25">
      <c r="B57" s="49" t="str">
        <f>IF(($E51&gt;0),B51,B49)</f>
        <v>per 100 youth petitioned</v>
      </c>
      <c r="C57" s="49">
        <f>IF(($E51&gt;0),C51,C50)</f>
        <v>0.63</v>
      </c>
      <c r="D57" s="49">
        <f>IF(($E51&gt;0),D51,D50)</f>
        <v>0.7</v>
      </c>
      <c r="E57" s="49">
        <f>MAX(C57:D57)</f>
        <v>0.7</v>
      </c>
      <c r="G57" s="1" t="str">
        <f>G51</f>
        <v>per 100 youth petitioned</v>
      </c>
      <c r="L57" s="58">
        <f>IF(($E51&gt;0),L51,L50)</f>
        <v>100</v>
      </c>
      <c r="M57" s="58"/>
    </row>
    <row r="58" spans="2:18" ht="15" hidden="1" customHeight="1" x14ac:dyDescent="0.25">
      <c r="B58" s="49" t="str">
        <f>IF(($E52&gt;0),B52,B51)</f>
        <v>per 100 youth found delinquent</v>
      </c>
      <c r="C58" s="49">
        <f>IF(($E52&gt;0),C52,C51)</f>
        <v>0.39</v>
      </c>
      <c r="D58" s="49">
        <f>IF(($E52&gt;0),D52,D51)</f>
        <v>0.57999999999999996</v>
      </c>
      <c r="E58" s="56">
        <f>MAX(C58:D58)</f>
        <v>0.57999999999999996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11.002000000000001</v>
      </c>
      <c r="D60" s="56">
        <f>D54</f>
        <v>4.8369999999999997</v>
      </c>
      <c r="E60" s="56">
        <f>MAX(C60:D60)</f>
        <v>11.002000000000001</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0.25</v>
      </c>
      <c r="E61" s="49">
        <f>MAX(C61:D61)</f>
        <v>0.25</v>
      </c>
      <c r="G61" s="1" t="str">
        <f>G55</f>
        <v>per 100 arrests</v>
      </c>
      <c r="L61" s="58">
        <f>IF(($E55&gt;0),L55,L54)</f>
        <v>100</v>
      </c>
      <c r="M61" s="58"/>
    </row>
    <row r="62" spans="2:18" ht="15" hidden="1" customHeight="1" x14ac:dyDescent="0.25">
      <c r="B62" s="49" t="str">
        <f t="shared" si="11"/>
        <v>per 100 referrals</v>
      </c>
      <c r="C62" s="49">
        <f t="shared" si="11"/>
        <v>1.06</v>
      </c>
      <c r="D62" s="49">
        <f t="shared" si="11"/>
        <v>1.25</v>
      </c>
      <c r="E62" s="49">
        <f>MAX(C62:D62)</f>
        <v>1.25</v>
      </c>
      <c r="G62" s="1" t="str">
        <f>G56</f>
        <v>per 100 referrals</v>
      </c>
      <c r="L62" s="58">
        <f>IF(($E56&gt;0),L56,L55)</f>
        <v>100</v>
      </c>
      <c r="M62" s="58"/>
    </row>
    <row r="63" spans="2:18" ht="15" hidden="1" customHeight="1" x14ac:dyDescent="0.25">
      <c r="B63" s="49" t="str">
        <f>IF(($E57&gt;0),B57,B55)</f>
        <v>per 100 youth petitioned</v>
      </c>
      <c r="C63" s="49">
        <f>IF(($E57&gt;0),C57,C56)</f>
        <v>0.63</v>
      </c>
      <c r="D63" s="49">
        <f>IF(($E57&gt;0),D57,D56)</f>
        <v>0.7</v>
      </c>
      <c r="E63" s="49">
        <f>MAX(C63:D63)</f>
        <v>0.7</v>
      </c>
      <c r="G63" s="1" t="str">
        <f>G57</f>
        <v>per 100 youth petitioned</v>
      </c>
      <c r="L63" s="58">
        <f>IF(($E57&gt;0),L57,L56)</f>
        <v>100</v>
      </c>
      <c r="M63" s="58"/>
    </row>
    <row r="64" spans="2:18" ht="15" hidden="1" customHeight="1" x14ac:dyDescent="0.25">
      <c r="B64" s="49" t="str">
        <f>IF(($E58&gt;0),B58,B57)</f>
        <v>per 100 youth found delinquent</v>
      </c>
      <c r="C64" s="49">
        <f>IF(($E58&gt;0),C58,C57)</f>
        <v>0.39</v>
      </c>
      <c r="D64" s="49">
        <f>IF(($E58&gt;0),D58,D57)</f>
        <v>0.57999999999999996</v>
      </c>
      <c r="E64" s="56">
        <f>MAX(C64:D64)</f>
        <v>0.57999999999999996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11.002000000000001</v>
      </c>
      <c r="D66" s="56">
        <f>D60</f>
        <v>4.8369999999999997</v>
      </c>
      <c r="E66" s="56">
        <f>MAX(C66:D66)</f>
        <v>11.002000000000001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0.25</v>
      </c>
      <c r="E67" s="49">
        <f>MAX(C67:D67)</f>
        <v>0.25</v>
      </c>
      <c r="G67" s="1" t="str">
        <f>G61</f>
        <v>per 100 arrests</v>
      </c>
      <c r="L67" s="58">
        <f>IF(($E61&gt;0),L61,L60)</f>
        <v>100</v>
      </c>
      <c r="M67" s="58">
        <f>IF((B67=G67),1,2)</f>
        <v>1</v>
      </c>
    </row>
    <row r="68" spans="2:13" ht="15" hidden="1" customHeight="1" x14ac:dyDescent="0.25">
      <c r="B68" s="49" t="str">
        <f t="shared" si="12"/>
        <v>per 100 referrals</v>
      </c>
      <c r="C68" s="49">
        <f t="shared" si="12"/>
        <v>1.06</v>
      </c>
      <c r="D68" s="49">
        <f t="shared" si="12"/>
        <v>1.25</v>
      </c>
      <c r="E68" s="49">
        <f>MAX(C68:D68)</f>
        <v>1.25</v>
      </c>
      <c r="G68" s="1" t="str">
        <f>G62</f>
        <v>per 100 referrals</v>
      </c>
      <c r="L68" s="58">
        <f>IF(($E62&gt;0),L62,L61)</f>
        <v>100</v>
      </c>
      <c r="M68" s="58">
        <f>IF((B68=G68),1,2)</f>
        <v>1</v>
      </c>
    </row>
    <row r="69" spans="2:13" ht="15" hidden="1" customHeight="1" x14ac:dyDescent="0.25">
      <c r="B69" s="49" t="str">
        <f>IF(($E63&gt;0),B63,B61)</f>
        <v>per 100 youth petitioned</v>
      </c>
      <c r="C69" s="49">
        <f>IF(($E63&gt;0),C63,C62)</f>
        <v>0.63</v>
      </c>
      <c r="D69" s="49">
        <f>IF(($E63&gt;0),D63,D62)</f>
        <v>0.7</v>
      </c>
      <c r="E69" s="49">
        <f>MAX(C69:D69)</f>
        <v>0.7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0.39</v>
      </c>
      <c r="D70" s="49">
        <f>IF(($E64&gt;0),D64,D63)</f>
        <v>0.57999999999999996</v>
      </c>
      <c r="E70" s="56">
        <f>MAX(C70:D70)</f>
        <v>0.57999999999999996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Muskegon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3.9585222284587598</v>
      </c>
      <c r="D7" s="72" t="str">
        <f>Hispanic!G7</f>
        <v>**</v>
      </c>
      <c r="E7" s="72" t="str">
        <f>Asian!G7</f>
        <v>*</v>
      </c>
      <c r="F7" s="72" t="str">
        <f>Hawaiian!G7</f>
        <v>*</v>
      </c>
      <c r="G7" s="72" t="str">
        <f>'Am Indian'!G7</f>
        <v>*</v>
      </c>
      <c r="H7" s="72" t="str">
        <f>'Other - Mixed'!G7</f>
        <v>*</v>
      </c>
      <c r="I7" s="73">
        <f>'All Minorities'!G7</f>
        <v>2.4723373273049232</v>
      </c>
      <c r="L7" s="1">
        <f>'Black or African-American'!L7</f>
        <v>1</v>
      </c>
      <c r="M7" s="1">
        <f>Hispanic!L7</f>
        <v>40</v>
      </c>
      <c r="N7" s="1">
        <f>Asian!L7</f>
        <v>139</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139</v>
      </c>
      <c r="O8" s="1">
        <f>Hawaiian!L8</f>
        <v>139</v>
      </c>
      <c r="P8" s="1">
        <f>'Am Indian'!L8</f>
        <v>119</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f>'All Minorities'!G9</f>
        <v>0.28266666666666662</v>
      </c>
      <c r="L9" s="1">
        <f>'Black or African-American'!L9</f>
        <v>20</v>
      </c>
      <c r="M9" s="1">
        <f>Hispanic!L9</f>
        <v>40</v>
      </c>
      <c r="N9" s="1" t="e">
        <f>Asian!L9</f>
        <v>#VALUE!</v>
      </c>
      <c r="O9" s="1" t="e">
        <f>Hawaiian!L9</f>
        <v>#VALUE!</v>
      </c>
      <c r="P9" s="1">
        <f>'Am Indian'!L9</f>
        <v>139</v>
      </c>
      <c r="Q9" s="1">
        <f>'Other - Mixed'!L9</f>
        <v>139</v>
      </c>
      <c r="R9" s="1">
        <f>'All Minorities'!L9</f>
        <v>1</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20</v>
      </c>
      <c r="M10" s="1">
        <f>Hispanic!L10</f>
        <v>40</v>
      </c>
      <c r="N10" s="1" t="e">
        <f>Asian!L10</f>
        <v>#VALUE!</v>
      </c>
      <c r="O10" s="1" t="e">
        <f>Hawaiian!L10</f>
        <v>#VALUE!</v>
      </c>
      <c r="P10" s="1">
        <f>'Am Indian'!L10</f>
        <v>119</v>
      </c>
      <c r="Q10" s="1">
        <f>'Other - Mixed'!L10</f>
        <v>119</v>
      </c>
      <c r="R10" s="1">
        <f>'All Minorities'!L10</f>
        <v>20</v>
      </c>
    </row>
    <row r="11" spans="2:18" ht="15" customHeight="1" x14ac:dyDescent="0.25">
      <c r="B11" s="71" t="s">
        <v>95</v>
      </c>
      <c r="C11" s="72">
        <f>'Black or African-American'!$G11</f>
        <v>0.9897292250233426</v>
      </c>
      <c r="D11" s="72" t="str">
        <f>Hispanic!G11</f>
        <v>**</v>
      </c>
      <c r="E11" s="72" t="str">
        <f>Asian!G11</f>
        <v>*</v>
      </c>
      <c r="F11" s="72" t="str">
        <f>Hawaiian!G11</f>
        <v>*</v>
      </c>
      <c r="G11" s="72" t="str">
        <f>'Am Indian'!G11</f>
        <v>*</v>
      </c>
      <c r="H11" s="72" t="str">
        <f>'Other - Mixed'!G11</f>
        <v>*</v>
      </c>
      <c r="I11" s="73">
        <f>'All Minorities'!G11</f>
        <v>0.94222222222222229</v>
      </c>
      <c r="L11" s="1">
        <f>'Black or African-American'!L11</f>
        <v>2</v>
      </c>
      <c r="M11" s="1">
        <f>Hispanic!L11</f>
        <v>20</v>
      </c>
      <c r="N11" s="1" t="e">
        <f>Asian!L11</f>
        <v>#VALUE!</v>
      </c>
      <c r="O11" s="1" t="e">
        <f>Hawaiian!L11</f>
        <v>#VALUE!</v>
      </c>
      <c r="P11" s="1">
        <f>'Am Indian'!L11</f>
        <v>139</v>
      </c>
      <c r="Q11" s="1">
        <f>'Other - Mixed'!L11</f>
        <v>139</v>
      </c>
      <c r="R11" s="1">
        <f>'All Minorities'!L11</f>
        <v>2</v>
      </c>
    </row>
    <row r="12" spans="2:18" ht="15" customHeight="1" x14ac:dyDescent="0.25">
      <c r="B12" s="71" t="s">
        <v>13</v>
      </c>
      <c r="C12" s="72">
        <f>'Black or African-American'!$G12</f>
        <v>1.2384615384615385</v>
      </c>
      <c r="D12" s="72" t="str">
        <f>Hispanic!G12</f>
        <v>--</v>
      </c>
      <c r="E12" s="72" t="str">
        <f>Asian!G12</f>
        <v>*</v>
      </c>
      <c r="F12" s="72" t="str">
        <f>Hawaiian!G12</f>
        <v>*</v>
      </c>
      <c r="G12" s="72" t="str">
        <f>'Am Indian'!G12</f>
        <v>*</v>
      </c>
      <c r="H12" s="72" t="str">
        <f>'Other - Mixed'!G12</f>
        <v>*</v>
      </c>
      <c r="I12" s="73">
        <f>'All Minorities'!G12</f>
        <v>1.3384615384615386</v>
      </c>
      <c r="L12" s="1">
        <f>'Black or African-American'!L12</f>
        <v>2</v>
      </c>
      <c r="M12" s="1" t="e">
        <f>Hispanic!L12</f>
        <v>#VALUE!</v>
      </c>
      <c r="N12" s="1" t="e">
        <f>Asian!L12</f>
        <v>#VALUE!</v>
      </c>
      <c r="O12" s="1" t="e">
        <f>Hawaiian!L12</f>
        <v>#VALUE!</v>
      </c>
      <c r="P12" s="1">
        <f>'Am Indian'!L12</f>
        <v>139</v>
      </c>
      <c r="Q12" s="1">
        <f>'Other - Mixed'!L12</f>
        <v>119</v>
      </c>
      <c r="R12" s="1">
        <f>'All Minorities'!L12</f>
        <v>1</v>
      </c>
    </row>
    <row r="13" spans="2:18" ht="15" customHeight="1" x14ac:dyDescent="0.25">
      <c r="B13" s="71" t="s">
        <v>14</v>
      </c>
      <c r="C13" s="72">
        <f>'Black or African-American'!$G13</f>
        <v>0.54503105590062106</v>
      </c>
      <c r="D13" s="72" t="str">
        <f>Hispanic!G13</f>
        <v>--</v>
      </c>
      <c r="E13" s="72" t="str">
        <f>Asian!G13</f>
        <v>*</v>
      </c>
      <c r="F13" s="72" t="str">
        <f>Hawaiian!G13</f>
        <v>*</v>
      </c>
      <c r="G13" s="72" t="str">
        <f>'Am Indian'!G13</f>
        <v>*</v>
      </c>
      <c r="H13" s="72" t="str">
        <f>'Other - Mixed'!G13</f>
        <v>*</v>
      </c>
      <c r="I13" s="73">
        <f>'All Minorities'!G13</f>
        <v>0.61237684729064046</v>
      </c>
      <c r="L13" s="1">
        <f>'Black or African-American'!L13</f>
        <v>1</v>
      </c>
      <c r="M13" s="1" t="e">
        <f>Hispanic!L13</f>
        <v>#DIV/0!</v>
      </c>
      <c r="N13" s="1" t="e">
        <f>Asian!L13</f>
        <v>#VALUE!</v>
      </c>
      <c r="O13" s="1" t="e">
        <f>Hawaiian!L13</f>
        <v>#VALUE!</v>
      </c>
      <c r="P13" s="1">
        <f>'Am Indian'!L13</f>
        <v>139</v>
      </c>
      <c r="Q13" s="1">
        <f>'Other - Mixed'!L13</f>
        <v>139</v>
      </c>
      <c r="R13" s="1">
        <f>'All Minorities'!L13</f>
        <v>1</v>
      </c>
    </row>
    <row r="14" spans="2:18" ht="25.5" customHeight="1" x14ac:dyDescent="0.25">
      <c r="B14" s="71" t="s">
        <v>15</v>
      </c>
      <c r="C14" s="72">
        <f>'Black or African-American'!$G14</f>
        <v>1.5543478260869565</v>
      </c>
      <c r="D14" s="72" t="str">
        <f>Hispanic!G14</f>
        <v>--</v>
      </c>
      <c r="E14" s="72" t="str">
        <f>Asian!G14</f>
        <v>*</v>
      </c>
      <c r="F14" s="72" t="str">
        <f>Hawaiian!G14</f>
        <v>*</v>
      </c>
      <c r="G14" s="72" t="str">
        <f>'Am Indian'!G14</f>
        <v>*</v>
      </c>
      <c r="H14" s="72" t="str">
        <f>'Other - Mixed'!G14</f>
        <v>*</v>
      </c>
      <c r="I14" s="73">
        <f>'All Minorities'!G14</f>
        <v>1.7931034482758623</v>
      </c>
      <c r="L14" s="1">
        <f>'Black or African-American'!L14</f>
        <v>2</v>
      </c>
      <c r="M14" s="1" t="e">
        <f>Hispanic!L14</f>
        <v>#VALUE!</v>
      </c>
      <c r="N14" s="1" t="e">
        <f>Asian!L14</f>
        <v>#VALUE!</v>
      </c>
      <c r="O14" s="1" t="e">
        <f>Hawaiian!L14</f>
        <v>#VALUE!</v>
      </c>
      <c r="P14" s="1">
        <f>'Am Indian'!L14</f>
        <v>119</v>
      </c>
      <c r="Q14" s="1">
        <f>'Other - Mixed'!L14</f>
        <v>139</v>
      </c>
      <c r="R14" s="1">
        <f>'All Minorities'!L14</f>
        <v>2</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15839</v>
      </c>
      <c r="D3" s="57">
        <f>'Data Entry'!C6</f>
        <v>11002</v>
      </c>
      <c r="E3" s="57">
        <f>'Data Entry'!D6</f>
        <v>3021</v>
      </c>
      <c r="F3" s="57">
        <f>'Data Entry'!E6</f>
        <v>1591</v>
      </c>
      <c r="G3" s="57">
        <f>'Data Entry'!F6</f>
        <v>115</v>
      </c>
      <c r="H3" s="57">
        <f>'Data Entry'!G6</f>
        <v>0</v>
      </c>
      <c r="I3" s="57">
        <f>'Data Entry'!H6</f>
        <v>110</v>
      </c>
      <c r="J3" s="57">
        <f>'Data Entry'!I6</f>
        <v>0</v>
      </c>
      <c r="K3" s="57">
        <f>'Data Entry'!J6</f>
        <v>4837</v>
      </c>
    </row>
    <row r="4" spans="2:11" ht="15" customHeight="1" x14ac:dyDescent="0.25">
      <c r="B4" s="16" t="s">
        <v>8</v>
      </c>
      <c r="C4" s="1">
        <f>IF((C$3&gt;0),(1000*('Data Entry'!B7/'Data Entry'!B$6)), 0)</f>
        <v>3.2199002462276658</v>
      </c>
      <c r="D4" s="1">
        <f>IF((D$3&gt;0),(1000*('Data Entry'!C7/'Data Entry'!C$6)), 0)</f>
        <v>2.0905289947282313</v>
      </c>
      <c r="E4" s="1">
        <f>IF((E$3&gt;0),(1000*('Data Entry'!D7/'Data Entry'!D$6)), 0)</f>
        <v>8.2754054948692488</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5.1684928674798423</v>
      </c>
    </row>
    <row r="5" spans="2:11" ht="15" customHeight="1" x14ac:dyDescent="0.25">
      <c r="B5" s="16" t="s">
        <v>9</v>
      </c>
      <c r="C5" s="1">
        <f>IF((C$3&gt;0),(1000*('Data Entry'!B8/'Data Entry'!B$6)), 0)</f>
        <v>15.720689437464488</v>
      </c>
      <c r="D5" s="1">
        <f>IF((D$3&gt;0),(1000*('Data Entry'!C8/'Data Entry'!C$6)), 0)</f>
        <v>9.6346118887475001</v>
      </c>
      <c r="E5" s="1">
        <f>IF((E$3&gt;0),(1000*('Data Entry'!D8/'Data Entry'!D$6)), 0)</f>
        <v>33.763654419066533</v>
      </c>
      <c r="F5" s="1">
        <f>IF((F$3&gt;0),(1000*('Data Entry'!E8/'Data Entry'!E$6)), 0)</f>
        <v>1.8856065367693275</v>
      </c>
      <c r="G5" s="1">
        <f>IF((G$3&gt;0),(1000*('Data Entry'!F8/'Data Entry'!F$6)), 0)</f>
        <v>0</v>
      </c>
      <c r="H5" s="1">
        <f>IF((H$3&gt;0),(1000*('Data Entry'!G8/'Data Entry'!G$6)), 0)</f>
        <v>0</v>
      </c>
      <c r="I5" s="1">
        <f>IF((I$3&gt;0),(1000*('Data Entry'!H8/'Data Entry'!H$6)), 0)</f>
        <v>36.36363636363636</v>
      </c>
      <c r="J5" s="1">
        <f>IF((J$3&gt;0),(1000*('Data Entry'!I8/'Data Entry'!I$6)), 0)</f>
        <v>0</v>
      </c>
      <c r="K5" s="1">
        <f>IF((K$3&gt;0),(1000*('Data Entry'!J8/'Data Entry'!J$6)), 0)</f>
        <v>25.842464337399214</v>
      </c>
    </row>
    <row r="6" spans="2:11" ht="15" customHeight="1" x14ac:dyDescent="0.25">
      <c r="B6" s="16" t="s">
        <v>10</v>
      </c>
      <c r="C6" s="1">
        <f>IF((C$3&gt;0),(1000*('Data Entry'!B9/'Data Entry'!B$6)), 0)</f>
        <v>1.7677883704779342</v>
      </c>
      <c r="D6" s="1">
        <f>IF((D$3&gt;0),(1000*('Data Entry'!C9/'Data Entry'!C$6)), 0)</f>
        <v>1.6360661697873113</v>
      </c>
      <c r="E6" s="1">
        <f>IF((E$3&gt;0),(1000*('Data Entry'!D9/'Data Entry'!D$6)), 0)</f>
        <v>1.3240648791790799</v>
      </c>
      <c r="F6" s="1">
        <f>IF((F$3&gt;0),(1000*('Data Entry'!E9/'Data Entry'!E$6)), 0)</f>
        <v>0.62853551225644255</v>
      </c>
      <c r="G6" s="1">
        <f>IF((G$3&gt;0),(1000*('Data Entry'!F9/'Data Entry'!F$6)), 0)</f>
        <v>0</v>
      </c>
      <c r="H6" s="1">
        <f>IF((H$3&gt;0),(1000*('Data Entry'!G9/'Data Entry'!G$6)), 0)</f>
        <v>0</v>
      </c>
      <c r="I6" s="1">
        <f>IF((I$3&gt;0),(1000*('Data Entry'!H9/'Data Entry'!H$6)), 0)</f>
        <v>0</v>
      </c>
      <c r="J6" s="1">
        <f>IF((J$3&gt;0),(1000*('Data Entry'!I9/'Data Entry'!I$6)), 0)</f>
        <v>0</v>
      </c>
      <c r="K6" s="1">
        <f>IF((K$3&gt;0),(1000*('Data Entry'!J9/'Data Entry'!J$6)), 0)</f>
        <v>1.2404382881951623</v>
      </c>
    </row>
    <row r="7" spans="2:11" ht="15" customHeight="1" x14ac:dyDescent="0.25">
      <c r="B7" s="16" t="s">
        <v>11</v>
      </c>
      <c r="C7" s="1">
        <f>IF((C$3&gt;0),(1000*('Data Entry'!B10/'Data Entry'!B$6)), 0)</f>
        <v>1.0101647831302483</v>
      </c>
      <c r="D7" s="1">
        <f>IF((D$3&gt;0),(1000*('Data Entry'!C10/'Data Entry'!C$6)), 0)</f>
        <v>0.18178512997636792</v>
      </c>
      <c r="E7" s="1">
        <f>IF((E$3&gt;0),(1000*('Data Entry'!D10/'Data Entry'!D$6)), 0)</f>
        <v>3.3101621979476996</v>
      </c>
      <c r="F7" s="1">
        <f>IF((F$3&gt;0),(1000*('Data Entry'!E10/'Data Entry'!E$6)), 0)</f>
        <v>0</v>
      </c>
      <c r="G7" s="1">
        <f>IF((G$3&gt;0),(1000*('Data Entry'!F10/'Data Entry'!F$6)), 0)</f>
        <v>0</v>
      </c>
      <c r="H7" s="1">
        <f>IF((H$3&gt;0),(1000*('Data Entry'!G10/'Data Entry'!G$6)), 0)</f>
        <v>0</v>
      </c>
      <c r="I7" s="1">
        <f>IF((I$3&gt;0),(1000*('Data Entry'!H10/'Data Entry'!H$6)), 0)</f>
        <v>9.0909090909090899</v>
      </c>
      <c r="J7" s="1">
        <f>IF((J$3&gt;0),(1000*('Data Entry'!I10/'Data Entry'!I$6)), 0)</f>
        <v>0</v>
      </c>
      <c r="K7" s="1">
        <f>IF((K$3&gt;0),(1000*('Data Entry'!J10/'Data Entry'!J$6)), 0)</f>
        <v>2.8943560057887119</v>
      </c>
    </row>
    <row r="8" spans="2:11" ht="15" customHeight="1" x14ac:dyDescent="0.25">
      <c r="B8" s="16" t="s">
        <v>95</v>
      </c>
      <c r="C8" s="1">
        <f>IF((C$3&gt;0),(1000*('Data Entry'!B11/'Data Entry'!B$6)), 0)</f>
        <v>8.9652124502809514</v>
      </c>
      <c r="D8" s="1">
        <f>IF((D$3&gt;0),(1000*('Data Entry'!C11/'Data Entry'!C$6)), 0)</f>
        <v>5.7262315942555899</v>
      </c>
      <c r="E8" s="1">
        <f>IF((E$3&gt;0),(1000*('Data Entry'!D11/'Data Entry'!D$6)), 0)</f>
        <v>19.860973187686199</v>
      </c>
      <c r="F8" s="1">
        <f>IF((F$3&gt;0),(1000*('Data Entry'!E11/'Data Entry'!E$6)), 0)</f>
        <v>0</v>
      </c>
      <c r="G8" s="1">
        <f>IF((G$3&gt;0),(1000*('Data Entry'!F11/'Data Entry'!F$6)), 0)</f>
        <v>0</v>
      </c>
      <c r="H8" s="1">
        <f>IF((H$3&gt;0),(1000*('Data Entry'!G11/'Data Entry'!G$6)), 0)</f>
        <v>0</v>
      </c>
      <c r="I8" s="1">
        <f>IF((I$3&gt;0),(1000*('Data Entry'!H11/'Data Entry'!H$6)), 0)</f>
        <v>9.0909090909090899</v>
      </c>
      <c r="J8" s="1">
        <f>IF((J$3&gt;0),(1000*('Data Entry'!I11/'Data Entry'!I$6)), 0)</f>
        <v>0</v>
      </c>
      <c r="K8" s="1">
        <f>IF((K$3&gt;0),(1000*('Data Entry'!J11/'Data Entry'!J$6)), 0)</f>
        <v>14.471780028943559</v>
      </c>
    </row>
    <row r="9" spans="2:11" ht="15" customHeight="1" x14ac:dyDescent="0.25">
      <c r="B9" s="16" t="s">
        <v>13</v>
      </c>
      <c r="C9" s="1">
        <f>IF((C$3&gt;0),(1000*('Data Entry'!B12/'Data Entry'!B$6)), 0)</f>
        <v>6.3135298945640503</v>
      </c>
      <c r="D9" s="1">
        <f>IF((D$3&gt;0),(1000*('Data Entry'!C12/'Data Entry'!C$6)), 0)</f>
        <v>3.5448100345391746</v>
      </c>
      <c r="E9" s="1">
        <f>IF((E$3&gt;0),(1000*('Data Entry'!D12/'Data Entry'!D$6)), 0)</f>
        <v>15.226746110559416</v>
      </c>
      <c r="F9" s="1">
        <f>IF((F$3&gt;0),(1000*('Data Entry'!E12/'Data Entry'!E$6)), 0)</f>
        <v>0</v>
      </c>
      <c r="G9" s="1">
        <f>IF((G$3&gt;0),(1000*('Data Entry'!F12/'Data Entry'!F$6)), 0)</f>
        <v>0</v>
      </c>
      <c r="H9" s="1">
        <f>IF((H$3&gt;0),(1000*('Data Entry'!G12/'Data Entry'!G$6)), 0)</f>
        <v>0</v>
      </c>
      <c r="I9" s="1">
        <f>IF((I$3&gt;0),(1000*('Data Entry'!H12/'Data Entry'!H$6)), 0)</f>
        <v>9.0909090909090899</v>
      </c>
      <c r="J9" s="1">
        <f>IF((J$3&gt;0),(1000*('Data Entry'!I12/'Data Entry'!I$6)), 0)</f>
        <v>0</v>
      </c>
      <c r="K9" s="1">
        <f>IF((K$3&gt;0),(1000*('Data Entry'!J12/'Data Entry'!J$6)), 0)</f>
        <v>11.990903452553235</v>
      </c>
    </row>
    <row r="10" spans="2:11" ht="15" customHeight="1" x14ac:dyDescent="0.25">
      <c r="B10" s="16" t="s">
        <v>14</v>
      </c>
      <c r="C10" s="1">
        <f>IF((C$3&gt;0),(1000*('Data Entry'!B13/'Data Entry'!B$6)), 0)</f>
        <v>7.1342887808573767</v>
      </c>
      <c r="D10" s="1">
        <f>IF((D$3&gt;0),(1000*('Data Entry'!C13/'Data Entry'!C$6)), 0)</f>
        <v>5.0899836393383024</v>
      </c>
      <c r="E10" s="1">
        <f>IF((E$3&gt;0),(1000*('Data Entry'!D13/'Data Entry'!D$6)), 0)</f>
        <v>11.916583912611719</v>
      </c>
      <c r="F10" s="1">
        <f>IF((F$3&gt;0),(1000*('Data Entry'!E13/'Data Entry'!E$6)), 0)</f>
        <v>0.62853551225644255</v>
      </c>
      <c r="G10" s="1">
        <f>IF((G$3&gt;0),(1000*('Data Entry'!F13/'Data Entry'!F$6)), 0)</f>
        <v>0</v>
      </c>
      <c r="H10" s="1">
        <f>IF((H$3&gt;0),(1000*('Data Entry'!G13/'Data Entry'!G$6)), 0)</f>
        <v>0</v>
      </c>
      <c r="I10" s="1">
        <f>IF((I$3&gt;0),(1000*('Data Entry'!H13/'Data Entry'!H$6)), 0)</f>
        <v>27.27272727272727</v>
      </c>
      <c r="J10" s="1">
        <f>IF((J$3&gt;0),(1000*('Data Entry'!I13/'Data Entry'!I$6)), 0)</f>
        <v>0</v>
      </c>
      <c r="K10" s="1">
        <f>IF((K$3&gt;0),(1000*('Data Entry'!J13/'Data Entry'!J$6)), 0)</f>
        <v>10.543725449658879</v>
      </c>
    </row>
    <row r="11" spans="2:11" ht="25.5" customHeight="1" x14ac:dyDescent="0.25">
      <c r="B11" s="16" t="s">
        <v>15</v>
      </c>
      <c r="C11" s="1">
        <f>IF((C$3&gt;0),(1000*('Data Entry'!B14/'Data Entry'!B$6)), 0)</f>
        <v>1.3889765768040911</v>
      </c>
      <c r="D11" s="1">
        <f>IF((D$3&gt;0),(1000*('Data Entry'!C14/'Data Entry'!C$6)), 0)</f>
        <v>0.54535538992910382</v>
      </c>
      <c r="E11" s="1">
        <f>IF((E$3&gt;0),(1000*('Data Entry'!D14/'Data Entry'!D$6)), 0)</f>
        <v>3.6411784177424691</v>
      </c>
      <c r="F11" s="1">
        <f>IF((F$3&gt;0),(1000*('Data Entry'!E14/'Data Entry'!E$6)), 0)</f>
        <v>0</v>
      </c>
      <c r="G11" s="1">
        <f>IF((G$3&gt;0),(1000*('Data Entry'!F14/'Data Entry'!F$6)), 0)</f>
        <v>0</v>
      </c>
      <c r="H11" s="1">
        <f>IF((H$3&gt;0),(1000*('Data Entry'!G14/'Data Entry'!G$6)), 0)</f>
        <v>0</v>
      </c>
      <c r="I11" s="1">
        <f>IF((I$3&gt;0),(1000*('Data Entry'!H14/'Data Entry'!H$6)), 0)</f>
        <v>27.27272727272727</v>
      </c>
      <c r="J11" s="1">
        <f>IF((J$3&gt;0),(1000*('Data Entry'!I14/'Data Entry'!I$6)), 0)</f>
        <v>0</v>
      </c>
      <c r="K11" s="1">
        <f>IF((K$3&gt;0),(1000*('Data Entry'!J14/'Data Entry'!J$6)), 0)</f>
        <v>3.3078354351870991</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Muskegon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3.9585222284587598</v>
      </c>
      <c r="E19" s="72" t="str">
        <f t="shared" si="1"/>
        <v>--</v>
      </c>
      <c r="F19" s="72" t="str">
        <f t="shared" si="1"/>
        <v>--</v>
      </c>
      <c r="G19" s="72" t="str">
        <f t="shared" si="1"/>
        <v>--</v>
      </c>
      <c r="H19" s="72" t="str">
        <f t="shared" si="1"/>
        <v>--</v>
      </c>
      <c r="I19" s="72" t="str">
        <f t="shared" si="1"/>
        <v>--</v>
      </c>
      <c r="J19" s="73">
        <f t="shared" si="1"/>
        <v>2.4723373273049227</v>
      </c>
    </row>
    <row r="20" spans="2:10" ht="15" customHeight="1" x14ac:dyDescent="0.25">
      <c r="B20" s="71" t="s">
        <v>9</v>
      </c>
      <c r="C20" s="72">
        <f t="shared" ref="C20:J27" si="2">IF(AND(($D5&gt;0),(D5&gt;0)), (D5/$D5),"--")</f>
        <v>1</v>
      </c>
      <c r="D20" s="72">
        <f t="shared" si="2"/>
        <v>3.5044125086657547</v>
      </c>
      <c r="E20" s="72">
        <f t="shared" si="2"/>
        <v>0.19571172752392588</v>
      </c>
      <c r="F20" s="72" t="str">
        <f t="shared" si="2"/>
        <v>--</v>
      </c>
      <c r="G20" s="72" t="str">
        <f t="shared" si="2"/>
        <v>--</v>
      </c>
      <c r="H20" s="72">
        <f t="shared" si="2"/>
        <v>3.774271012006861</v>
      </c>
      <c r="I20" s="72" t="str">
        <f t="shared" si="2"/>
        <v>--</v>
      </c>
      <c r="J20" s="73">
        <f t="shared" si="2"/>
        <v>2.682252760755341</v>
      </c>
    </row>
    <row r="21" spans="2:10" ht="15" customHeight="1" x14ac:dyDescent="0.25">
      <c r="B21" s="71" t="s">
        <v>10</v>
      </c>
      <c r="C21" s="72">
        <f t="shared" si="2"/>
        <v>1</v>
      </c>
      <c r="D21" s="72">
        <f t="shared" si="2"/>
        <v>0.80929787781823537</v>
      </c>
      <c r="E21" s="72">
        <f t="shared" si="2"/>
        <v>0.38417487254696564</v>
      </c>
      <c r="F21" s="72" t="str">
        <f t="shared" si="2"/>
        <v>--</v>
      </c>
      <c r="G21" s="72" t="str">
        <f t="shared" si="2"/>
        <v>--</v>
      </c>
      <c r="H21" s="72" t="str">
        <f t="shared" si="2"/>
        <v>--</v>
      </c>
      <c r="I21" s="72" t="str">
        <f t="shared" si="2"/>
        <v>--</v>
      </c>
      <c r="J21" s="73">
        <f t="shared" si="2"/>
        <v>0.75818344704017648</v>
      </c>
    </row>
    <row r="22" spans="2:10" ht="15" customHeight="1" x14ac:dyDescent="0.25">
      <c r="B22" s="71" t="s">
        <v>11</v>
      </c>
      <c r="C22" s="72">
        <f t="shared" si="2"/>
        <v>1</v>
      </c>
      <c r="D22" s="72">
        <f t="shared" si="2"/>
        <v>18.209202250910298</v>
      </c>
      <c r="E22" s="72" t="str">
        <f t="shared" si="2"/>
        <v>--</v>
      </c>
      <c r="F22" s="72" t="str">
        <f t="shared" si="2"/>
        <v>--</v>
      </c>
      <c r="G22" s="72" t="str">
        <f t="shared" si="2"/>
        <v>--</v>
      </c>
      <c r="H22" s="72">
        <f t="shared" si="2"/>
        <v>50.009090909090908</v>
      </c>
      <c r="I22" s="72" t="str">
        <f t="shared" si="2"/>
        <v>--</v>
      </c>
      <c r="J22" s="73">
        <f t="shared" si="2"/>
        <v>15.921852387843705</v>
      </c>
    </row>
    <row r="23" spans="2:10" ht="15" customHeight="1" x14ac:dyDescent="0.25">
      <c r="B23" s="71" t="s">
        <v>95</v>
      </c>
      <c r="C23" s="72">
        <f t="shared" si="2"/>
        <v>1</v>
      </c>
      <c r="D23" s="72">
        <f t="shared" si="2"/>
        <v>3.468419476363866</v>
      </c>
      <c r="E23" s="72" t="str">
        <f t="shared" si="2"/>
        <v>--</v>
      </c>
      <c r="F23" s="72" t="str">
        <f t="shared" si="2"/>
        <v>--</v>
      </c>
      <c r="G23" s="72" t="str">
        <f t="shared" si="2"/>
        <v>--</v>
      </c>
      <c r="H23" s="72">
        <f t="shared" si="2"/>
        <v>1.5875901875901874</v>
      </c>
      <c r="I23" s="72" t="str">
        <f t="shared" si="2"/>
        <v>--</v>
      </c>
      <c r="J23" s="73">
        <f t="shared" si="2"/>
        <v>2.527278156800588</v>
      </c>
    </row>
    <row r="24" spans="2:10" ht="15" customHeight="1" x14ac:dyDescent="0.25">
      <c r="B24" s="71" t="s">
        <v>13</v>
      </c>
      <c r="C24" s="72">
        <f t="shared" si="2"/>
        <v>1</v>
      </c>
      <c r="D24" s="72">
        <f t="shared" si="2"/>
        <v>4.2955041207275562</v>
      </c>
      <c r="E24" s="72" t="str">
        <f t="shared" si="2"/>
        <v>--</v>
      </c>
      <c r="F24" s="72" t="str">
        <f t="shared" si="2"/>
        <v>--</v>
      </c>
      <c r="G24" s="72" t="str">
        <f t="shared" si="2"/>
        <v>--</v>
      </c>
      <c r="H24" s="72">
        <f t="shared" si="2"/>
        <v>2.5645687645687643</v>
      </c>
      <c r="I24" s="72" t="str">
        <f t="shared" si="2"/>
        <v>--</v>
      </c>
      <c r="J24" s="73">
        <f t="shared" si="2"/>
        <v>3.3826646098715565</v>
      </c>
    </row>
    <row r="25" spans="2:10" ht="15" customHeight="1" x14ac:dyDescent="0.25">
      <c r="B25" s="71" t="s">
        <v>14</v>
      </c>
      <c r="C25" s="72">
        <f t="shared" si="2"/>
        <v>1</v>
      </c>
      <c r="D25" s="72">
        <f t="shared" si="2"/>
        <v>2.3411831465456094</v>
      </c>
      <c r="E25" s="72">
        <f t="shared" si="2"/>
        <v>0.12348478046152465</v>
      </c>
      <c r="F25" s="72" t="str">
        <f t="shared" si="2"/>
        <v>--</v>
      </c>
      <c r="G25" s="72" t="str">
        <f t="shared" si="2"/>
        <v>--</v>
      </c>
      <c r="H25" s="72">
        <f t="shared" si="2"/>
        <v>5.3581168831168826</v>
      </c>
      <c r="I25" s="72" t="str">
        <f t="shared" si="2"/>
        <v>--</v>
      </c>
      <c r="J25" s="73">
        <f t="shared" si="2"/>
        <v>2.0714654892347677</v>
      </c>
    </row>
    <row r="26" spans="2:10" ht="25.5" customHeight="1" x14ac:dyDescent="0.25">
      <c r="B26" s="71" t="s">
        <v>15</v>
      </c>
      <c r="C26" s="72">
        <f t="shared" si="2"/>
        <v>1</v>
      </c>
      <c r="D26" s="72">
        <f t="shared" si="2"/>
        <v>6.6767074920004408</v>
      </c>
      <c r="E26" s="72" t="str">
        <f t="shared" si="2"/>
        <v>--</v>
      </c>
      <c r="F26" s="72" t="str">
        <f t="shared" si="2"/>
        <v>--</v>
      </c>
      <c r="G26" s="72" t="str">
        <f t="shared" si="2"/>
        <v>--</v>
      </c>
      <c r="H26" s="72">
        <f t="shared" si="2"/>
        <v>50.009090909090901</v>
      </c>
      <c r="I26" s="72" t="str">
        <f t="shared" si="2"/>
        <v>--</v>
      </c>
      <c r="J26" s="73">
        <f t="shared" si="2"/>
        <v>6.0654675763214101</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Muskegon</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11002</v>
      </c>
      <c r="D7" s="104">
        <f>'Data Entry'!D6</f>
        <v>3021</v>
      </c>
      <c r="E7" s="105"/>
      <c r="F7" s="106">
        <f>'Data Entry'!E6</f>
        <v>1591</v>
      </c>
      <c r="G7" s="105"/>
      <c r="H7" s="106">
        <f>'Data Entry'!F6</f>
        <v>115</v>
      </c>
      <c r="I7" s="105"/>
      <c r="J7" s="106">
        <f>'Data Entry'!G6</f>
        <v>0</v>
      </c>
      <c r="K7" s="105"/>
      <c r="L7" s="106">
        <f>'Data Entry'!H6</f>
        <v>110</v>
      </c>
      <c r="M7" s="105"/>
      <c r="N7" s="106">
        <f>'Data Entry'!I6</f>
        <v>0</v>
      </c>
      <c r="O7" s="105"/>
      <c r="P7" s="106">
        <f>'Data Entry'!J6</f>
        <v>4837</v>
      </c>
      <c r="Q7" s="107"/>
    </row>
    <row r="8" spans="2:26" s="1" customFormat="1" ht="15" customHeight="1" x14ac:dyDescent="0.3">
      <c r="B8" s="142" t="s">
        <v>8</v>
      </c>
      <c r="C8" s="103">
        <f>'Data Entry'!C7</f>
        <v>23</v>
      </c>
      <c r="D8" s="104">
        <f>'Data Entry'!D7</f>
        <v>25</v>
      </c>
      <c r="E8" s="105">
        <f>'Black or African-American'!$G7</f>
        <v>3.9585222284587598</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25</v>
      </c>
      <c r="Q8" s="107">
        <f>'All Minorities'!G7</f>
        <v>2.4723373273049232</v>
      </c>
      <c r="R8"/>
      <c r="T8" s="1">
        <f>'Black or African-American'!L7</f>
        <v>1</v>
      </c>
      <c r="U8" s="1">
        <f>Hispanic!L7</f>
        <v>40</v>
      </c>
      <c r="V8" s="1">
        <f>Asian!L7</f>
        <v>139</v>
      </c>
      <c r="W8" s="1" t="e">
        <f>Hawaiian!L7</f>
        <v>#VALUE!</v>
      </c>
      <c r="X8" s="1">
        <f>'Am Indian'!L7</f>
        <v>139</v>
      </c>
      <c r="Y8" s="1" t="e">
        <f>'Other - Mixed'!L7</f>
        <v>#VALUE!</v>
      </c>
      <c r="Z8" s="1">
        <f>'All Minorities'!L7</f>
        <v>1</v>
      </c>
    </row>
    <row r="9" spans="2:26" s="1" customFormat="1" ht="15" customHeight="1" x14ac:dyDescent="0.3">
      <c r="B9" s="142" t="s">
        <v>134</v>
      </c>
      <c r="C9" s="103">
        <f>'Data Entry'!C8</f>
        <v>106</v>
      </c>
      <c r="D9" s="108">
        <f>'Data Entry'!D8</f>
        <v>102</v>
      </c>
      <c r="E9" s="109" t="str">
        <f>'Black or African-American'!$G8</f>
        <v>**</v>
      </c>
      <c r="F9" s="110">
        <f>'Data Entry'!E8</f>
        <v>3</v>
      </c>
      <c r="G9" s="109" t="str">
        <f>Hispanic!G8</f>
        <v>**</v>
      </c>
      <c r="H9" s="110">
        <f>'Data Entry'!F8</f>
        <v>0</v>
      </c>
      <c r="I9" s="109" t="str">
        <f>Asian!G8</f>
        <v>*</v>
      </c>
      <c r="J9" s="110">
        <f>'Data Entry'!G8</f>
        <v>0</v>
      </c>
      <c r="K9" s="109" t="str">
        <f>Hawaiian!G8</f>
        <v>*</v>
      </c>
      <c r="L9" s="110">
        <f>'Data Entry'!H8</f>
        <v>4</v>
      </c>
      <c r="M9" s="109" t="str">
        <f>'Am Indian'!G8</f>
        <v>*</v>
      </c>
      <c r="N9" s="110">
        <f>'Data Entry'!I8</f>
        <v>16</v>
      </c>
      <c r="O9" s="109" t="str">
        <f>'Other - Mixed'!G8</f>
        <v>*</v>
      </c>
      <c r="P9" s="110">
        <f>'Data Entry'!J8</f>
        <v>125</v>
      </c>
      <c r="Q9" s="111" t="str">
        <f>'All Minorities'!G8</f>
        <v>**</v>
      </c>
      <c r="R9"/>
      <c r="T9" s="1">
        <f>'Black or African-American'!L8</f>
        <v>40</v>
      </c>
      <c r="U9" s="1">
        <f>Hispanic!L8</f>
        <v>20</v>
      </c>
      <c r="V9" s="1">
        <f>Asian!L8</f>
        <v>139</v>
      </c>
      <c r="W9" s="1">
        <f>Hawaiian!L8</f>
        <v>139</v>
      </c>
      <c r="X9" s="1">
        <f>'Am Indian'!L8</f>
        <v>119</v>
      </c>
      <c r="Y9" s="1">
        <f>'Other - Mixed'!L8</f>
        <v>119</v>
      </c>
      <c r="Z9" s="1">
        <f>'All Minorities'!L8</f>
        <v>40</v>
      </c>
    </row>
    <row r="10" spans="2:26" s="1" customFormat="1" ht="15" customHeight="1" x14ac:dyDescent="0.3">
      <c r="B10" s="142" t="s">
        <v>10</v>
      </c>
      <c r="C10" s="103">
        <f>'Data Entry'!C9</f>
        <v>18</v>
      </c>
      <c r="D10" s="112">
        <f>'Data Entry'!D9</f>
        <v>4</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6</v>
      </c>
      <c r="Q10" s="115">
        <f>'All Minorities'!G9</f>
        <v>0.28266666666666662</v>
      </c>
      <c r="R10"/>
      <c r="T10" s="1">
        <f>'Black or African-American'!L9</f>
        <v>20</v>
      </c>
      <c r="U10" s="1">
        <f>Hispanic!L9</f>
        <v>40</v>
      </c>
      <c r="V10" s="1" t="e">
        <f>Asian!L9</f>
        <v>#VALUE!</v>
      </c>
      <c r="W10" s="1" t="e">
        <f>Hawaiian!L9</f>
        <v>#VALUE!</v>
      </c>
      <c r="X10" s="1">
        <f>'Am Indian'!L9</f>
        <v>139</v>
      </c>
      <c r="Y10" s="1">
        <f>'Other - Mixed'!L9</f>
        <v>139</v>
      </c>
      <c r="Z10" s="1">
        <f>'All Minorities'!L9</f>
        <v>1</v>
      </c>
    </row>
    <row r="11" spans="2:26" s="1" customFormat="1" ht="15" customHeight="1" x14ac:dyDescent="0.3">
      <c r="B11" s="142" t="s">
        <v>11</v>
      </c>
      <c r="C11" s="103">
        <f>'Data Entry'!C10</f>
        <v>2</v>
      </c>
      <c r="D11" s="108">
        <f>'Data Entry'!D10</f>
        <v>10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1</v>
      </c>
      <c r="M11" s="109" t="str">
        <f>'Am Indian'!G10</f>
        <v>*</v>
      </c>
      <c r="N11" s="110">
        <f>'Data Entry'!I10</f>
        <v>3</v>
      </c>
      <c r="O11" s="109" t="str">
        <f>'Other - Mixed'!G10</f>
        <v>*</v>
      </c>
      <c r="P11" s="110">
        <f>'Data Entry'!J10</f>
        <v>14</v>
      </c>
      <c r="Q11" s="111" t="str">
        <f>'All Minorities'!G10</f>
        <v>**</v>
      </c>
      <c r="R11"/>
      <c r="T11" s="1">
        <f>'Black or African-American'!L10</f>
        <v>20</v>
      </c>
      <c r="U11" s="1">
        <f>Hispanic!L10</f>
        <v>40</v>
      </c>
      <c r="V11" s="1" t="e">
        <f>Asian!L10</f>
        <v>#VALUE!</v>
      </c>
      <c r="W11" s="1" t="e">
        <f>Hawaiian!L10</f>
        <v>#VALUE!</v>
      </c>
      <c r="X11" s="1">
        <f>'Am Indian'!L10</f>
        <v>119</v>
      </c>
      <c r="Y11" s="1">
        <f>'Other - Mixed'!L10</f>
        <v>119</v>
      </c>
      <c r="Z11" s="1">
        <f>'All Minorities'!L10</f>
        <v>20</v>
      </c>
    </row>
    <row r="12" spans="2:26" s="1" customFormat="1" ht="15" customHeight="1" x14ac:dyDescent="0.3">
      <c r="B12" s="142" t="s">
        <v>95</v>
      </c>
      <c r="C12" s="103">
        <f>'Data Entry'!C11</f>
        <v>63</v>
      </c>
      <c r="D12" s="112">
        <f>'Data Entry'!D11</f>
        <v>60</v>
      </c>
      <c r="E12" s="113">
        <f>'Black or African-American'!$G11</f>
        <v>0.9897292250233426</v>
      </c>
      <c r="F12" s="114">
        <f>'Data Entry'!E11</f>
        <v>0</v>
      </c>
      <c r="G12" s="113" t="str">
        <f>Hispanic!G11</f>
        <v>**</v>
      </c>
      <c r="H12" s="114">
        <f>'Data Entry'!F11</f>
        <v>0</v>
      </c>
      <c r="I12" s="113" t="str">
        <f>Asian!G11</f>
        <v>*</v>
      </c>
      <c r="J12" s="114">
        <f>'Data Entry'!G11</f>
        <v>0</v>
      </c>
      <c r="K12" s="113" t="str">
        <f>Hawaiian!G11</f>
        <v>*</v>
      </c>
      <c r="L12" s="114">
        <f>'Data Entry'!H11</f>
        <v>1</v>
      </c>
      <c r="M12" s="113" t="str">
        <f>'Am Indian'!G11</f>
        <v>*</v>
      </c>
      <c r="N12" s="114">
        <f>'Data Entry'!I11</f>
        <v>9</v>
      </c>
      <c r="O12" s="113" t="str">
        <f>'Other - Mixed'!G11</f>
        <v>*</v>
      </c>
      <c r="P12" s="114">
        <f>'Data Entry'!J11</f>
        <v>70</v>
      </c>
      <c r="Q12" s="115">
        <f>'All Minorities'!G11</f>
        <v>0.94222222222222229</v>
      </c>
      <c r="R12"/>
      <c r="T12" s="1">
        <f>'Black or African-American'!L11</f>
        <v>2</v>
      </c>
      <c r="U12" s="1">
        <f>Hispanic!L11</f>
        <v>20</v>
      </c>
      <c r="V12" s="1" t="e">
        <f>Asian!L11</f>
        <v>#VALUE!</v>
      </c>
      <c r="W12" s="1" t="e">
        <f>Hawaiian!L11</f>
        <v>#VALUE!</v>
      </c>
      <c r="X12" s="1">
        <f>'Am Indian'!L11</f>
        <v>139</v>
      </c>
      <c r="Y12" s="1">
        <f>'Other - Mixed'!L11</f>
        <v>139</v>
      </c>
      <c r="Z12" s="1">
        <f>'All Minorities'!L11</f>
        <v>2</v>
      </c>
    </row>
    <row r="13" spans="2:26" s="1" customFormat="1" ht="15" customHeight="1" x14ac:dyDescent="0.3">
      <c r="B13" s="142" t="s">
        <v>13</v>
      </c>
      <c r="C13" s="103">
        <f>'Data Entry'!C12</f>
        <v>39</v>
      </c>
      <c r="D13" s="108">
        <f>'Data Entry'!D12</f>
        <v>46</v>
      </c>
      <c r="E13" s="109">
        <f>'Black or African-American'!$G12</f>
        <v>1.2384615384615385</v>
      </c>
      <c r="F13" s="110">
        <f>'Data Entry'!E12</f>
        <v>0</v>
      </c>
      <c r="G13" s="109" t="str">
        <f>Hispanic!G12</f>
        <v>--</v>
      </c>
      <c r="H13" s="110">
        <f>'Data Entry'!F12</f>
        <v>0</v>
      </c>
      <c r="I13" s="109" t="str">
        <f>Asian!G12</f>
        <v>*</v>
      </c>
      <c r="J13" s="110">
        <f>'Data Entry'!G12</f>
        <v>0</v>
      </c>
      <c r="K13" s="109" t="str">
        <f>Hawaiian!G12</f>
        <v>*</v>
      </c>
      <c r="L13" s="110">
        <f>'Data Entry'!H12</f>
        <v>1</v>
      </c>
      <c r="M13" s="109" t="str">
        <f>'Am Indian'!G12</f>
        <v>*</v>
      </c>
      <c r="N13" s="110">
        <f>'Data Entry'!I12</f>
        <v>11</v>
      </c>
      <c r="O13" s="109" t="str">
        <f>'Other - Mixed'!G12</f>
        <v>*</v>
      </c>
      <c r="P13" s="110">
        <f>'Data Entry'!J12</f>
        <v>58</v>
      </c>
      <c r="Q13" s="111">
        <f>'All Minorities'!G12</f>
        <v>1.3384615384615386</v>
      </c>
      <c r="R13"/>
      <c r="T13" s="1">
        <f>'Black or African-American'!L12</f>
        <v>2</v>
      </c>
      <c r="U13" s="1" t="e">
        <f>Hispanic!L12</f>
        <v>#VALUE!</v>
      </c>
      <c r="V13" s="1" t="e">
        <f>Asian!L12</f>
        <v>#VALUE!</v>
      </c>
      <c r="W13" s="1" t="e">
        <f>Hawaiian!L12</f>
        <v>#VALUE!</v>
      </c>
      <c r="X13" s="1">
        <f>'Am Indian'!L12</f>
        <v>139</v>
      </c>
      <c r="Y13" s="1">
        <f>'Other - Mixed'!L12</f>
        <v>119</v>
      </c>
      <c r="Z13" s="1">
        <f>'All Minorities'!L12</f>
        <v>1</v>
      </c>
    </row>
    <row r="14" spans="2:26" s="1" customFormat="1" ht="15" customHeight="1" x14ac:dyDescent="0.3">
      <c r="B14" s="142" t="s">
        <v>133</v>
      </c>
      <c r="C14" s="103">
        <f>'Data Entry'!C13</f>
        <v>56</v>
      </c>
      <c r="D14" s="112">
        <f>'Data Entry'!D13</f>
        <v>36</v>
      </c>
      <c r="E14" s="113">
        <f>'Black or African-American'!$G13</f>
        <v>0.54503105590062106</v>
      </c>
      <c r="F14" s="114">
        <f>'Data Entry'!E13</f>
        <v>1</v>
      </c>
      <c r="G14" s="113" t="str">
        <f>Hispanic!G13</f>
        <v>--</v>
      </c>
      <c r="H14" s="114">
        <f>'Data Entry'!F13</f>
        <v>0</v>
      </c>
      <c r="I14" s="113" t="str">
        <f>Asian!G13</f>
        <v>*</v>
      </c>
      <c r="J14" s="114">
        <f>'Data Entry'!G13</f>
        <v>0</v>
      </c>
      <c r="K14" s="113" t="str">
        <f>Hawaiian!G13</f>
        <v>*</v>
      </c>
      <c r="L14" s="114">
        <f>'Data Entry'!H13</f>
        <v>3</v>
      </c>
      <c r="M14" s="113" t="str">
        <f>'Am Indian'!G13</f>
        <v>*</v>
      </c>
      <c r="N14" s="114">
        <f>'Data Entry'!I13</f>
        <v>11</v>
      </c>
      <c r="O14" s="113" t="str">
        <f>'Other - Mixed'!G13</f>
        <v>*</v>
      </c>
      <c r="P14" s="114">
        <f>'Data Entry'!J13</f>
        <v>51</v>
      </c>
      <c r="Q14" s="115">
        <f>'All Minorities'!G13</f>
        <v>0.61237684729064046</v>
      </c>
      <c r="R14"/>
      <c r="T14" s="1">
        <f>'Black or African-American'!L13</f>
        <v>1</v>
      </c>
      <c r="U14" s="1" t="e">
        <f>Hispanic!L13</f>
        <v>#DIV/0!</v>
      </c>
      <c r="V14" s="1" t="e">
        <f>Asian!L13</f>
        <v>#VALUE!</v>
      </c>
      <c r="W14" s="1" t="e">
        <f>Hawaiian!L13</f>
        <v>#VALUE!</v>
      </c>
      <c r="X14" s="1">
        <f>'Am Indian'!L13</f>
        <v>139</v>
      </c>
      <c r="Y14" s="1">
        <f>'Other - Mixed'!L13</f>
        <v>139</v>
      </c>
      <c r="Z14" s="1">
        <f>'All Minorities'!L13</f>
        <v>1</v>
      </c>
    </row>
    <row r="15" spans="2:26" s="1" customFormat="1" ht="33" x14ac:dyDescent="0.3">
      <c r="B15" s="144" t="s">
        <v>123</v>
      </c>
      <c r="C15" s="103">
        <f>'Data Entry'!C14</f>
        <v>6</v>
      </c>
      <c r="D15" s="108">
        <f>'Data Entry'!D14</f>
        <v>11</v>
      </c>
      <c r="E15" s="109">
        <f>'Black or African-American'!$G14</f>
        <v>1.5543478260869565</v>
      </c>
      <c r="F15" s="110">
        <f>'Data Entry'!E14</f>
        <v>0</v>
      </c>
      <c r="G15" s="109" t="str">
        <f>Hispanic!G14</f>
        <v>--</v>
      </c>
      <c r="H15" s="110">
        <f>'Data Entry'!F14</f>
        <v>0</v>
      </c>
      <c r="I15" s="109" t="str">
        <f>Asian!G14</f>
        <v>*</v>
      </c>
      <c r="J15" s="110">
        <f>'Data Entry'!G14</f>
        <v>0</v>
      </c>
      <c r="K15" s="109" t="str">
        <f>Hawaiian!G14</f>
        <v>*</v>
      </c>
      <c r="L15" s="110">
        <f>'Data Entry'!H14</f>
        <v>3</v>
      </c>
      <c r="M15" s="109" t="str">
        <f>'Am Indian'!G14</f>
        <v>*</v>
      </c>
      <c r="N15" s="110">
        <f>'Data Entry'!I14</f>
        <v>2</v>
      </c>
      <c r="O15" s="109" t="str">
        <f>'Other - Mixed'!G14</f>
        <v>*</v>
      </c>
      <c r="P15" s="110">
        <f>'Data Entry'!J14</f>
        <v>16</v>
      </c>
      <c r="Q15" s="111">
        <f>'All Minorities'!G14</f>
        <v>1.7931034482758623</v>
      </c>
      <c r="R15"/>
      <c r="T15" s="1">
        <f>'Black or African-American'!L14</f>
        <v>2</v>
      </c>
      <c r="U15" s="1" t="e">
        <f>Hispanic!L14</f>
        <v>#VALUE!</v>
      </c>
      <c r="V15" s="1" t="e">
        <f>Asian!L14</f>
        <v>#VALUE!</v>
      </c>
      <c r="W15" s="1" t="e">
        <f>Hawaiian!L14</f>
        <v>#VALUE!</v>
      </c>
      <c r="X15" s="1">
        <f>'Am Indian'!L14</f>
        <v>119</v>
      </c>
      <c r="Y15" s="1">
        <f>'Other - Mixed'!L14</f>
        <v>139</v>
      </c>
      <c r="Z15" s="1">
        <f>'All Minorities'!L14</f>
        <v>2</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Muskegon</v>
      </c>
    </row>
    <row r="6" spans="1:12" x14ac:dyDescent="0.2">
      <c r="A6" s="135" t="str">
        <f>CONCATENATE("Percentage of Minorities at Stages of the Juvenile Justice System, ", A5, " 2021")</f>
        <v>Percentage of Minorities at Stages of the Juvenile Justice System, County: Muskegon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2.2745503411205292</v>
      </c>
    </row>
    <row r="8" spans="1:12" ht="25.5" customHeight="1" x14ac:dyDescent="0.2">
      <c r="A8" s="151" t="str">
        <f>CONCATENATE("Confinement, total N=", 'Data Entry'!B14)</f>
        <v>Confinement, total N=22</v>
      </c>
      <c r="B8" s="150">
        <f>'Data Entry'!D14/'Data Entry'!B14</f>
        <v>0.5</v>
      </c>
      <c r="C8" s="150">
        <f>'Data Entry'!E14/'Data Entry'!B14</f>
        <v>0</v>
      </c>
      <c r="D8" s="150">
        <f>'Data Entry'!F14/'Data Entry'!B14</f>
        <v>0</v>
      </c>
      <c r="E8" s="150">
        <f>'Data Entry'!G14/'Data Entry'!B14</f>
        <v>0</v>
      </c>
      <c r="F8" s="150">
        <f>'Data Entry'!H14/'Data Entry'!B14</f>
        <v>0.13636363636363635</v>
      </c>
      <c r="G8" s="150">
        <f>'Data Entry'!I14/'Data Entry'!B14</f>
        <v>9.0909090909090912E-2</v>
      </c>
      <c r="H8" s="150">
        <f>SUM(D8:G8)/'Data Entry'!B14</f>
        <v>1.0330578512396695E-2</v>
      </c>
      <c r="I8" s="150">
        <f>'Data Entry'!C14/'Data Entry'!B14</f>
        <v>0.27272727272727271</v>
      </c>
      <c r="K8" s="96" t="str">
        <f>A8</f>
        <v>Confinement, total N=22</v>
      </c>
      <c r="L8">
        <f>I14/(SUM(B14:G14))</f>
        <v>2.2745503411205292</v>
      </c>
    </row>
    <row r="9" spans="1:12" x14ac:dyDescent="0.2">
      <c r="A9" s="128" t="str">
        <f>CONCATENATE("Delinquent Findings, total N=", 'Data Entry'!B12)</f>
        <v>Delinquent Findings, total N=100</v>
      </c>
      <c r="B9" s="150">
        <f>'Data Entry'!D12/'Data Entry'!B12</f>
        <v>0.46</v>
      </c>
      <c r="C9" s="150">
        <f>'Data Entry'!E12/'Data Entry'!B12</f>
        <v>0</v>
      </c>
      <c r="D9" s="150">
        <f>'Data Entry'!F12/'Data Entry'!B12</f>
        <v>0</v>
      </c>
      <c r="E9" s="150">
        <f>'Data Entry'!G12/'Data Entry'!B12</f>
        <v>0</v>
      </c>
      <c r="F9" s="150">
        <f>'Data Entry'!H12/'Data Entry'!B12</f>
        <v>0.01</v>
      </c>
      <c r="G9" s="150">
        <f>'Data Entry'!I12/'Data Entry'!B12</f>
        <v>0.11</v>
      </c>
      <c r="H9" s="150">
        <f>SUM(D9:G9)/'Data Entry'!B12</f>
        <v>1.1999999999999999E-3</v>
      </c>
      <c r="I9" s="150">
        <f>'Data Entry'!C12/'Data Entry'!B12</f>
        <v>0.39</v>
      </c>
      <c r="K9" s="96" t="str">
        <f t="shared" si="0"/>
        <v>Delinquent Findings, total N=100</v>
      </c>
      <c r="L9">
        <f>I14/(SUM(B14:G14))</f>
        <v>2.2745503411205292</v>
      </c>
    </row>
    <row r="10" spans="1:12" x14ac:dyDescent="0.2">
      <c r="A10" s="128" t="str">
        <f>CONCATENATE("Petitions, total N=", 'Data Entry'!B11)</f>
        <v>Petitions, total N=142</v>
      </c>
      <c r="B10" s="150">
        <f>'Data Entry'!D11/'Data Entry'!B11</f>
        <v>0.42253521126760563</v>
      </c>
      <c r="C10" s="150">
        <f>'Data Entry'!E11/'Data Entry'!B11</f>
        <v>0</v>
      </c>
      <c r="D10" s="150">
        <f>'Data Entry'!F11/'Data Entry'!B11</f>
        <v>0</v>
      </c>
      <c r="E10" s="150">
        <f>'Data Entry'!G11/'Data Entry'!B11</f>
        <v>0</v>
      </c>
      <c r="F10" s="150">
        <f>'Data Entry'!H11/'Data Entry'!B11</f>
        <v>7.0422535211267607E-3</v>
      </c>
      <c r="G10" s="150">
        <f>'Data Entry'!I11/'Data Entry'!B11</f>
        <v>6.3380281690140844E-2</v>
      </c>
      <c r="H10" s="150">
        <f>SUM(D10:G10)/'Data Entry'!B11</f>
        <v>4.959333465582226E-4</v>
      </c>
      <c r="I10" s="150">
        <f>'Data Entry'!C11/'Data Entry'!B11</f>
        <v>0.44366197183098594</v>
      </c>
      <c r="K10" s="96" t="str">
        <f t="shared" si="0"/>
        <v>Petitions, total N=142</v>
      </c>
      <c r="L10">
        <f>I14/(SUM(B14:G14))</f>
        <v>2.2745503411205292</v>
      </c>
    </row>
    <row r="11" spans="1:12" x14ac:dyDescent="0.2">
      <c r="A11" s="128" t="str">
        <f>CONCATENATE("Detentions, total N=", 'Data Entry'!B10)</f>
        <v>Detentions, total N=16</v>
      </c>
      <c r="B11" s="150">
        <f>'Data Entry'!D10/'Data Entry'!B10</f>
        <v>0.625</v>
      </c>
      <c r="C11" s="150">
        <f>'Data Entry'!E10/'Data Entry'!B10</f>
        <v>0</v>
      </c>
      <c r="D11" s="150">
        <f>'Data Entry'!F10/'Data Entry'!B10</f>
        <v>0</v>
      </c>
      <c r="E11" s="150">
        <f>'Data Entry'!G10/'Data Entry'!B10</f>
        <v>0</v>
      </c>
      <c r="F11" s="150">
        <f>'Data Entry'!H10/'Data Entry'!B10</f>
        <v>6.25E-2</v>
      </c>
      <c r="G11" s="150">
        <f>'Data Entry'!I10/'Data Entry'!B10</f>
        <v>0.1875</v>
      </c>
      <c r="H11" s="150">
        <f>SUM(D11:G11)/'Data Entry'!B10</f>
        <v>1.5625E-2</v>
      </c>
      <c r="I11" s="150">
        <f>'Data Entry'!C10/'Data Entry'!B10</f>
        <v>0.125</v>
      </c>
      <c r="K11" s="96" t="str">
        <f t="shared" si="0"/>
        <v>Detentions, total N=16</v>
      </c>
      <c r="L11">
        <f>I14/(SUM(B14:G14))</f>
        <v>2.2745503411205292</v>
      </c>
    </row>
    <row r="12" spans="1:12" x14ac:dyDescent="0.2">
      <c r="A12" s="128" t="str">
        <f>CONCATENATE("Referrals, total N=", 'Data Entry'!B8)</f>
        <v>Referrals, total N=249</v>
      </c>
      <c r="B12" s="150">
        <f>'Data Entry'!D8/'Data Entry'!B8</f>
        <v>0.40963855421686746</v>
      </c>
      <c r="C12" s="150">
        <f>'Data Entry'!E8/'Data Entry'!B8</f>
        <v>1.2048192771084338E-2</v>
      </c>
      <c r="D12" s="150">
        <f>'Data Entry'!F8/'Data Entry'!B8</f>
        <v>0</v>
      </c>
      <c r="E12" s="150">
        <f>'Data Entry'!G8/'Data Entry'!B8</f>
        <v>0</v>
      </c>
      <c r="F12" s="150">
        <f>'Data Entry'!H8/'Data Entry'!B8</f>
        <v>1.6064257028112448E-2</v>
      </c>
      <c r="G12" s="150">
        <f>'Data Entry'!I8/'Data Entry'!B8</f>
        <v>6.4257028112449793E-2</v>
      </c>
      <c r="H12" s="150">
        <f>SUM(D12:G12)/'Data Entry'!B8</f>
        <v>3.2257544233157531E-4</v>
      </c>
      <c r="I12" s="150">
        <f>'Data Entry'!C8/'Data Entry'!B8</f>
        <v>0.42570281124497994</v>
      </c>
      <c r="K12" s="96" t="str">
        <f t="shared" si="0"/>
        <v>Referrals, total N=249</v>
      </c>
      <c r="L12">
        <f>I14/(SUM(B14:G14))</f>
        <v>2.2745503411205292</v>
      </c>
    </row>
    <row r="13" spans="1:12" x14ac:dyDescent="0.2">
      <c r="A13" s="128" t="str">
        <f>CONCATENATE("Arrests, total N=", 'Data Entry'!B7)</f>
        <v>Arrests, total N=51</v>
      </c>
      <c r="B13" s="150">
        <f>'Data Entry'!D7/'Data Entry'!B7</f>
        <v>0.49019607843137253</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0.45098039215686275</v>
      </c>
      <c r="K13" s="96" t="str">
        <f t="shared" si="0"/>
        <v>Arrests, total N=51</v>
      </c>
      <c r="L13">
        <f>I14/(SUM(B14:G14))</f>
        <v>2.2745503411205292</v>
      </c>
    </row>
    <row r="14" spans="1:12" x14ac:dyDescent="0.2">
      <c r="A14" s="128" t="str">
        <f>CONCATENATE("Population, total N=", 'Data Entry'!B6)</f>
        <v>Population, total N=15839</v>
      </c>
      <c r="B14" s="150">
        <f>'Data Entry'!D6/'Data Entry'!B6</f>
        <v>0.19073173811477998</v>
      </c>
      <c r="C14" s="150">
        <f>'Data Entry'!E6/'Data Entry'!B6</f>
        <v>0.10044826062251405</v>
      </c>
      <c r="D14" s="150">
        <f>'Data Entry'!F6/'Data Entry'!B6</f>
        <v>7.2605593787486581E-3</v>
      </c>
      <c r="E14" s="150">
        <f>'Data Entry'!G6/'Data Entry'!B6</f>
        <v>0</v>
      </c>
      <c r="F14" s="150">
        <f>'Data Entry'!H6/'Data Entry'!B6</f>
        <v>6.9448828840204561E-3</v>
      </c>
      <c r="G14" s="150">
        <f>'Data Entry'!I6/'Data Entry'!B6</f>
        <v>0</v>
      </c>
      <c r="H14" s="150">
        <f>SUM(D14:G14)/'Data Entry'!B6</f>
        <v>8.9686484391496392E-7</v>
      </c>
      <c r="I14" s="150">
        <f>'Data Entry'!C6/'Data Entry'!B6</f>
        <v>0.69461455899993685</v>
      </c>
      <c r="K14" s="96" t="str">
        <f t="shared" si="0"/>
        <v>Population, total N=15839</v>
      </c>
      <c r="L14">
        <f>I14/(SUM(B14:G14))</f>
        <v>2.2745503411205292</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187" t="str">
        <f>'Data Entry'!C3</f>
        <v xml:space="preserve">Reporting Period:  </v>
      </c>
      <c r="I3" s="188"/>
      <c r="J3" s="188"/>
      <c r="K3" s="189"/>
    </row>
    <row r="4" spans="2:30" s="1" customFormat="1" ht="19.5" thickBot="1" x14ac:dyDescent="0.4">
      <c r="B4" s="101" t="str">
        <f>'Data Entry'!A3</f>
        <v>County: Muskegon</v>
      </c>
      <c r="C4" s="102"/>
      <c r="D4" s="102"/>
      <c r="E4" s="120"/>
      <c r="F4" s="120"/>
      <c r="G4" s="120"/>
      <c r="H4" s="177" t="str">
        <f>'Data Entry'!C4</f>
        <v>10/1/20 through 9/30/21</v>
      </c>
      <c r="I4" s="190"/>
      <c r="J4" s="190"/>
      <c r="K4" s="191"/>
    </row>
    <row r="5" spans="2:30" s="8" customFormat="1" ht="69" customHeight="1" x14ac:dyDescent="0.35">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11002</v>
      </c>
      <c r="D7" s="104">
        <f>'Data Entry'!D6</f>
        <v>3021</v>
      </c>
      <c r="E7" s="105"/>
      <c r="F7" s="106">
        <f>'Data Entry'!E6</f>
        <v>1591</v>
      </c>
      <c r="G7" s="105"/>
      <c r="H7" s="106">
        <f>'Data Entry'!F6</f>
        <v>115</v>
      </c>
      <c r="I7" s="105"/>
      <c r="J7" s="106">
        <f>'Data Entry'!J6</f>
        <v>4837</v>
      </c>
      <c r="K7" s="107"/>
    </row>
    <row r="8" spans="2:30" s="1" customFormat="1" ht="15" customHeight="1" x14ac:dyDescent="0.3">
      <c r="B8" s="121" t="s">
        <v>8</v>
      </c>
      <c r="C8" s="103">
        <f>'Data Entry'!C7</f>
        <v>23</v>
      </c>
      <c r="D8" s="104">
        <f>'Data Entry'!D7</f>
        <v>25</v>
      </c>
      <c r="E8" s="105">
        <f>'Black or African-American'!$G7</f>
        <v>3.9585222284587598</v>
      </c>
      <c r="F8" s="106">
        <f>'Data Entry'!E7</f>
        <v>0</v>
      </c>
      <c r="G8" s="105" t="str">
        <f>Hispanic!G7</f>
        <v>**</v>
      </c>
      <c r="H8" s="106">
        <f>'Data Entry'!F7</f>
        <v>0</v>
      </c>
      <c r="I8" s="105" t="str">
        <f>Asian!G7</f>
        <v>*</v>
      </c>
      <c r="J8" s="106">
        <f>'Data Entry'!J7</f>
        <v>25</v>
      </c>
      <c r="K8" s="107">
        <f>'All Minorities'!G7</f>
        <v>2.4723373273049232</v>
      </c>
      <c r="L8"/>
      <c r="N8" s="1">
        <f>'Black or African-American'!L7</f>
        <v>1</v>
      </c>
      <c r="O8" s="1">
        <f>Hispanic!L7</f>
        <v>40</v>
      </c>
      <c r="P8" s="1">
        <f>Asian!L7</f>
        <v>139</v>
      </c>
      <c r="Q8" s="1" t="e">
        <f>Hawaiian!L7</f>
        <v>#VALUE!</v>
      </c>
      <c r="R8" s="1">
        <f>'Am Indian'!L7</f>
        <v>139</v>
      </c>
      <c r="S8" s="1" t="e">
        <f>'Other - Mixed'!L7</f>
        <v>#VALUE!</v>
      </c>
      <c r="T8" s="1">
        <f>'All Minorities'!L7</f>
        <v>1</v>
      </c>
    </row>
    <row r="9" spans="2:30" s="1" customFormat="1" ht="15" customHeight="1" x14ac:dyDescent="0.3">
      <c r="B9" s="121" t="s">
        <v>134</v>
      </c>
      <c r="C9" s="103">
        <f>'Data Entry'!C8</f>
        <v>106</v>
      </c>
      <c r="D9" s="108">
        <f>'Data Entry'!D8</f>
        <v>102</v>
      </c>
      <c r="E9" s="109" t="str">
        <f>'Black or African-American'!$G8</f>
        <v>**</v>
      </c>
      <c r="F9" s="110">
        <f>'Data Entry'!E8</f>
        <v>3</v>
      </c>
      <c r="G9" s="109" t="str">
        <f>Hispanic!G8</f>
        <v>**</v>
      </c>
      <c r="H9" s="110">
        <f>'Data Entry'!F8</f>
        <v>0</v>
      </c>
      <c r="I9" s="109" t="str">
        <f>Asian!G8</f>
        <v>*</v>
      </c>
      <c r="J9" s="110">
        <f>'Data Entry'!J8</f>
        <v>125</v>
      </c>
      <c r="K9" s="111" t="str">
        <f>'All Minorities'!G8</f>
        <v>**</v>
      </c>
      <c r="L9"/>
      <c r="N9" s="1">
        <f>'Black or African-American'!L8</f>
        <v>40</v>
      </c>
      <c r="O9" s="1">
        <f>Hispanic!L8</f>
        <v>20</v>
      </c>
      <c r="P9" s="1">
        <f>Asian!L8</f>
        <v>139</v>
      </c>
      <c r="Q9" s="1">
        <f>Hawaiian!L8</f>
        <v>139</v>
      </c>
      <c r="R9" s="1">
        <f>'Am Indian'!L8</f>
        <v>119</v>
      </c>
      <c r="S9" s="1">
        <f>'Other - Mixed'!L8</f>
        <v>119</v>
      </c>
      <c r="T9" s="1">
        <f>'All Minorities'!L8</f>
        <v>40</v>
      </c>
    </row>
    <row r="10" spans="2:30" s="1" customFormat="1" ht="15" customHeight="1" x14ac:dyDescent="0.3">
      <c r="B10" s="121" t="s">
        <v>10</v>
      </c>
      <c r="C10" s="103">
        <f>'Data Entry'!C9</f>
        <v>18</v>
      </c>
      <c r="D10" s="112">
        <f>'Data Entry'!D9</f>
        <v>4</v>
      </c>
      <c r="E10" s="113" t="str">
        <f>'Black or African-American'!$G9</f>
        <v>**</v>
      </c>
      <c r="F10" s="114">
        <f>'Data Entry'!E9</f>
        <v>1</v>
      </c>
      <c r="G10" s="113" t="str">
        <f>Hispanic!G9</f>
        <v>**</v>
      </c>
      <c r="H10" s="114">
        <f>'Data Entry'!F9</f>
        <v>0</v>
      </c>
      <c r="I10" s="113" t="str">
        <f>Asian!G9</f>
        <v>*</v>
      </c>
      <c r="J10" s="114">
        <f>'Data Entry'!J9</f>
        <v>6</v>
      </c>
      <c r="K10" s="115">
        <f>'All Minorities'!G9</f>
        <v>0.28266666666666662</v>
      </c>
      <c r="L10"/>
      <c r="N10" s="1">
        <f>'Black or African-American'!L9</f>
        <v>20</v>
      </c>
      <c r="O10" s="1">
        <f>Hispanic!L9</f>
        <v>40</v>
      </c>
      <c r="P10" s="1" t="e">
        <f>Asian!L9</f>
        <v>#VALUE!</v>
      </c>
      <c r="Q10" s="1" t="e">
        <f>Hawaiian!L9</f>
        <v>#VALUE!</v>
      </c>
      <c r="R10" s="1">
        <f>'Am Indian'!L9</f>
        <v>139</v>
      </c>
      <c r="S10" s="1">
        <f>'Other - Mixed'!L9</f>
        <v>139</v>
      </c>
      <c r="T10" s="1">
        <f>'All Minorities'!L9</f>
        <v>1</v>
      </c>
    </row>
    <row r="11" spans="2:30" s="1" customFormat="1" ht="15" customHeight="1" x14ac:dyDescent="0.3">
      <c r="B11" s="121" t="s">
        <v>11</v>
      </c>
      <c r="C11" s="103">
        <f>'Data Entry'!C10</f>
        <v>2</v>
      </c>
      <c r="D11" s="108">
        <f>'Data Entry'!D10</f>
        <v>10</v>
      </c>
      <c r="E11" s="109" t="str">
        <f>'Black or African-American'!$G10</f>
        <v>**</v>
      </c>
      <c r="F11" s="110">
        <f>'Data Entry'!E10</f>
        <v>0</v>
      </c>
      <c r="G11" s="109" t="str">
        <f>Hispanic!G10</f>
        <v>**</v>
      </c>
      <c r="H11" s="110">
        <f>'Data Entry'!F10</f>
        <v>0</v>
      </c>
      <c r="I11" s="109" t="str">
        <f>Asian!G10</f>
        <v>*</v>
      </c>
      <c r="J11" s="110">
        <f>'Data Entry'!J10</f>
        <v>14</v>
      </c>
      <c r="K11" s="111" t="str">
        <f>'All Minorities'!G10</f>
        <v>**</v>
      </c>
      <c r="L11"/>
      <c r="N11" s="1">
        <f>'Black or African-American'!L10</f>
        <v>20</v>
      </c>
      <c r="O11" s="1">
        <f>Hispanic!L10</f>
        <v>40</v>
      </c>
      <c r="P11" s="1" t="e">
        <f>Asian!L10</f>
        <v>#VALUE!</v>
      </c>
      <c r="Q11" s="1" t="e">
        <f>Hawaiian!L10</f>
        <v>#VALUE!</v>
      </c>
      <c r="R11" s="1">
        <f>'Am Indian'!L10</f>
        <v>119</v>
      </c>
      <c r="S11" s="1">
        <f>'Other - Mixed'!L10</f>
        <v>119</v>
      </c>
      <c r="T11" s="1">
        <f>'All Minorities'!L10</f>
        <v>20</v>
      </c>
    </row>
    <row r="12" spans="2:30" s="1" customFormat="1" ht="15" customHeight="1" x14ac:dyDescent="0.3">
      <c r="B12" s="121" t="s">
        <v>95</v>
      </c>
      <c r="C12" s="103">
        <f>'Data Entry'!C11</f>
        <v>63</v>
      </c>
      <c r="D12" s="112">
        <f>'Data Entry'!D11</f>
        <v>60</v>
      </c>
      <c r="E12" s="113">
        <f>'Black or African-American'!$G11</f>
        <v>0.9897292250233426</v>
      </c>
      <c r="F12" s="114">
        <f>'Data Entry'!E11</f>
        <v>0</v>
      </c>
      <c r="G12" s="113" t="str">
        <f>Hispanic!G11</f>
        <v>**</v>
      </c>
      <c r="H12" s="114">
        <f>'Data Entry'!F11</f>
        <v>0</v>
      </c>
      <c r="I12" s="113" t="str">
        <f>Asian!G11</f>
        <v>*</v>
      </c>
      <c r="J12" s="114">
        <f>'Data Entry'!J11</f>
        <v>70</v>
      </c>
      <c r="K12" s="115">
        <f>'All Minorities'!G11</f>
        <v>0.94222222222222229</v>
      </c>
      <c r="L12"/>
      <c r="N12" s="1">
        <f>'Black or African-American'!L11</f>
        <v>2</v>
      </c>
      <c r="O12" s="1">
        <f>Hispanic!L11</f>
        <v>20</v>
      </c>
      <c r="P12" s="1" t="e">
        <f>Asian!L11</f>
        <v>#VALUE!</v>
      </c>
      <c r="Q12" s="1" t="e">
        <f>Hawaiian!L11</f>
        <v>#VALUE!</v>
      </c>
      <c r="R12" s="1">
        <f>'Am Indian'!L11</f>
        <v>139</v>
      </c>
      <c r="S12" s="1">
        <f>'Other - Mixed'!L11</f>
        <v>139</v>
      </c>
      <c r="T12" s="1">
        <f>'All Minorities'!L11</f>
        <v>2</v>
      </c>
    </row>
    <row r="13" spans="2:30" s="1" customFormat="1" ht="15" customHeight="1" x14ac:dyDescent="0.3">
      <c r="B13" s="121" t="s">
        <v>13</v>
      </c>
      <c r="C13" s="103">
        <f>'Data Entry'!C12</f>
        <v>39</v>
      </c>
      <c r="D13" s="108">
        <f>'Data Entry'!D12</f>
        <v>46</v>
      </c>
      <c r="E13" s="109">
        <f>'Black or African-American'!$G12</f>
        <v>1.2384615384615385</v>
      </c>
      <c r="F13" s="110">
        <f>'Data Entry'!E12</f>
        <v>0</v>
      </c>
      <c r="G13" s="109" t="str">
        <f>Hispanic!G12</f>
        <v>--</v>
      </c>
      <c r="H13" s="110">
        <f>'Data Entry'!F12</f>
        <v>0</v>
      </c>
      <c r="I13" s="109" t="str">
        <f>Asian!G12</f>
        <v>*</v>
      </c>
      <c r="J13" s="110">
        <f>'Data Entry'!J12</f>
        <v>58</v>
      </c>
      <c r="K13" s="111">
        <f>'All Minorities'!G12</f>
        <v>1.3384615384615386</v>
      </c>
      <c r="L13"/>
      <c r="N13" s="1">
        <f>'Black or African-American'!L12</f>
        <v>2</v>
      </c>
      <c r="O13" s="1" t="e">
        <f>Hispanic!L12</f>
        <v>#VALUE!</v>
      </c>
      <c r="P13" s="1" t="e">
        <f>Asian!L12</f>
        <v>#VALUE!</v>
      </c>
      <c r="Q13" s="1" t="e">
        <f>Hawaiian!L12</f>
        <v>#VALUE!</v>
      </c>
      <c r="R13" s="1">
        <f>'Am Indian'!L12</f>
        <v>139</v>
      </c>
      <c r="S13" s="1">
        <f>'Other - Mixed'!L12</f>
        <v>119</v>
      </c>
      <c r="T13" s="1">
        <f>'All Minorities'!L12</f>
        <v>1</v>
      </c>
      <c r="W13" s="8"/>
      <c r="X13" s="8"/>
      <c r="Y13" s="8"/>
      <c r="Z13" s="8"/>
      <c r="AA13" s="8"/>
      <c r="AB13" s="8"/>
      <c r="AC13" s="8"/>
      <c r="AD13" s="8"/>
    </row>
    <row r="14" spans="2:30" s="1" customFormat="1" ht="15" customHeight="1" x14ac:dyDescent="0.3">
      <c r="B14" s="121" t="s">
        <v>14</v>
      </c>
      <c r="C14" s="103">
        <f>'Data Entry'!C13</f>
        <v>56</v>
      </c>
      <c r="D14" s="112">
        <f>'Data Entry'!D13</f>
        <v>36</v>
      </c>
      <c r="E14" s="113">
        <f>'Black or African-American'!$G13</f>
        <v>0.54503105590062106</v>
      </c>
      <c r="F14" s="114">
        <f>'Data Entry'!E13</f>
        <v>1</v>
      </c>
      <c r="G14" s="113" t="str">
        <f>Hispanic!G13</f>
        <v>--</v>
      </c>
      <c r="H14" s="114">
        <f>'Data Entry'!F13</f>
        <v>0</v>
      </c>
      <c r="I14" s="113" t="str">
        <f>Asian!G13</f>
        <v>*</v>
      </c>
      <c r="J14" s="114">
        <f>'Data Entry'!J13</f>
        <v>51</v>
      </c>
      <c r="K14" s="115">
        <f>'All Minorities'!G13</f>
        <v>0.61237684729064046</v>
      </c>
      <c r="L14"/>
      <c r="N14" s="1">
        <f>'Black or African-American'!L13</f>
        <v>1</v>
      </c>
      <c r="O14" s="1" t="e">
        <f>Hispanic!L13</f>
        <v>#DIV/0!</v>
      </c>
      <c r="P14" s="1" t="e">
        <f>Asian!L13</f>
        <v>#VALUE!</v>
      </c>
      <c r="Q14" s="1" t="e">
        <f>Hawaiian!L13</f>
        <v>#VALUE!</v>
      </c>
      <c r="R14" s="1">
        <f>'Am Indian'!L13</f>
        <v>139</v>
      </c>
      <c r="S14" s="1">
        <f>'Other - Mixed'!L13</f>
        <v>139</v>
      </c>
      <c r="T14" s="1">
        <f>'All Minorities'!L13</f>
        <v>1</v>
      </c>
      <c r="W14" s="8"/>
      <c r="X14" s="8"/>
      <c r="Y14" s="8"/>
      <c r="Z14" s="8"/>
      <c r="AA14" s="8"/>
      <c r="AB14" s="8"/>
      <c r="AC14" s="8"/>
      <c r="AD14" s="8"/>
    </row>
    <row r="15" spans="2:30" s="1" customFormat="1" ht="33" x14ac:dyDescent="0.3">
      <c r="B15" s="126" t="s">
        <v>123</v>
      </c>
      <c r="C15" s="103">
        <f>'Data Entry'!C14</f>
        <v>6</v>
      </c>
      <c r="D15" s="108">
        <f>'Data Entry'!D14</f>
        <v>11</v>
      </c>
      <c r="E15" s="109">
        <f>'Black or African-American'!$G14</f>
        <v>1.5543478260869565</v>
      </c>
      <c r="F15" s="110">
        <f>'Data Entry'!E14</f>
        <v>0</v>
      </c>
      <c r="G15" s="109" t="str">
        <f>Hispanic!G14</f>
        <v>--</v>
      </c>
      <c r="H15" s="110">
        <f>'Data Entry'!F14</f>
        <v>0</v>
      </c>
      <c r="I15" s="109" t="str">
        <f>Asian!G14</f>
        <v>*</v>
      </c>
      <c r="J15" s="110">
        <f>'Data Entry'!J14</f>
        <v>16</v>
      </c>
      <c r="K15" s="111">
        <f>'All Minorities'!G14</f>
        <v>1.7931034482758623</v>
      </c>
      <c r="L15"/>
      <c r="N15" s="1">
        <f>'Black or African-American'!L14</f>
        <v>2</v>
      </c>
      <c r="O15" s="1" t="e">
        <f>Hispanic!L14</f>
        <v>#VALUE!</v>
      </c>
      <c r="P15" s="1" t="e">
        <f>Asian!L14</f>
        <v>#VALUE!</v>
      </c>
      <c r="Q15" s="1" t="e">
        <f>Hawaiian!L14</f>
        <v>#VALUE!</v>
      </c>
      <c r="R15" s="1">
        <f>'Am Indian'!L14</f>
        <v>119</v>
      </c>
      <c r="S15" s="1">
        <f>'Other - Mixed'!L14</f>
        <v>139</v>
      </c>
      <c r="T15" s="1">
        <f>'All Minorities'!L14</f>
        <v>2</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200" t="s">
        <v>120</v>
      </c>
      <c r="C19" s="201"/>
      <c r="D19" s="201"/>
      <c r="E19" s="201"/>
      <c r="F19" s="201"/>
      <c r="G19" s="201"/>
      <c r="H19" s="201"/>
      <c r="I19" s="202"/>
      <c r="J19" s="203"/>
      <c r="K19" s="204"/>
    </row>
    <row r="20" spans="2:30" ht="15.75" x14ac:dyDescent="0.3">
      <c r="B20" s="153" t="s">
        <v>125</v>
      </c>
      <c r="C20" s="208" t="s">
        <v>53</v>
      </c>
      <c r="D20" s="209"/>
      <c r="E20" s="192" t="s">
        <v>56</v>
      </c>
      <c r="F20" s="193"/>
      <c r="G20" s="193"/>
      <c r="H20" s="193"/>
      <c r="I20" s="193"/>
      <c r="J20" s="193"/>
      <c r="K20" s="154" t="s">
        <v>57</v>
      </c>
    </row>
    <row r="21" spans="2:30" ht="15" customHeight="1" x14ac:dyDescent="0.3">
      <c r="B21" s="155" t="s">
        <v>126</v>
      </c>
      <c r="C21" s="194" t="s">
        <v>55</v>
      </c>
      <c r="D21" s="195"/>
      <c r="E21" s="196" t="s">
        <v>58</v>
      </c>
      <c r="F21" s="197"/>
      <c r="G21" s="197"/>
      <c r="H21" s="197"/>
      <c r="I21" s="197"/>
      <c r="J21" s="197"/>
      <c r="K21" s="156" t="s">
        <v>59</v>
      </c>
    </row>
    <row r="22" spans="2:30" ht="15" customHeight="1" thickBot="1" x14ac:dyDescent="0.35">
      <c r="B22" s="205"/>
      <c r="C22" s="206"/>
      <c r="D22" s="207"/>
      <c r="E22" s="198" t="s">
        <v>60</v>
      </c>
      <c r="F22" s="199"/>
      <c r="G22" s="199"/>
      <c r="H22" s="199"/>
      <c r="I22" s="199"/>
      <c r="J22" s="199"/>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Muskegon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11002</v>
      </c>
      <c r="D6" s="34"/>
      <c r="E6" s="33">
        <f>'Data Entry'!D6</f>
        <v>3021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2.0905289947282313</v>
      </c>
      <c r="E7" s="33">
        <f>'Data Entry'!D7</f>
        <v>25</v>
      </c>
      <c r="F7" s="34">
        <f>IF((AND($E$7&gt;0,$D$66&gt;0)),($E$7/$D$66),0)</f>
        <v>8.2754054948692488</v>
      </c>
      <c r="G7" s="39">
        <f>IF(L$6=100,"*",IF(M7=FALSE,"--",IF(K7=20,"**",($F7/$D7))))</f>
        <v>3.9585222284587598</v>
      </c>
      <c r="H7" s="40"/>
      <c r="I7" s="41"/>
      <c r="J7" s="40">
        <f>IF((ABS($U7)&gt;Defaults!D$7),1,2)</f>
        <v>1</v>
      </c>
      <c r="K7" s="39">
        <f>IF((AND(N7&gt;Defaults!B$12,(N7+O7)&gt;Defaults!B$13, P7 &gt; Defaults!B$12, (P7+Q7) &gt; Defaults!B$13)),1,20)</f>
        <v>1</v>
      </c>
      <c r="L7" s="1">
        <f>(J7*K7+L$6)-1</f>
        <v>1</v>
      </c>
      <c r="M7" s="1" t="b">
        <f t="shared" ref="M7:M15" si="0">(ISNUMBER(J7))</f>
        <v>1</v>
      </c>
      <c r="N7" s="42">
        <f t="shared" ref="N7:N15" si="1">E7</f>
        <v>25</v>
      </c>
      <c r="O7" s="42">
        <f>E6-E7</f>
        <v>2996</v>
      </c>
      <c r="P7" s="42">
        <f t="shared" ref="P7:P15" si="2">C7</f>
        <v>23</v>
      </c>
      <c r="Q7" s="42">
        <f>C6-C7</f>
        <v>10979</v>
      </c>
      <c r="R7" s="42">
        <f t="shared" ref="R7:R15" si="3">SUM(N7:Q7)</f>
        <v>14023</v>
      </c>
      <c r="S7" s="30">
        <f t="shared" ref="S7:S15" si="4">R7*((((N7*Q7)-(O7*P7))^2))</f>
        <v>592581010050247</v>
      </c>
      <c r="T7" s="30">
        <f t="shared" ref="T7:T15" si="5">(N7+O7)*(P7+Q7)*(N7+P7)*(O7+Q7)</f>
        <v>22295407773600</v>
      </c>
      <c r="U7" s="31">
        <f t="shared" ref="U7:U15" si="6">IF((S7&gt;0),S7/T7,"- -")</f>
        <v>26.578612782849497</v>
      </c>
    </row>
    <row r="8" spans="2:21" ht="18" customHeight="1" x14ac:dyDescent="0.25">
      <c r="B8" s="32" t="str">
        <f>'Data Entry'!A8</f>
        <v>3. Refer to Juvenile Court</v>
      </c>
      <c r="C8" s="33">
        <f>'Data Entry'!C8</f>
        <v>106</v>
      </c>
      <c r="D8" s="34">
        <f>IF((AND(C67&gt;0,C8&gt;0)),(C8/C67),0)</f>
        <v>460.86956521739131</v>
      </c>
      <c r="E8" s="33">
        <f>'Data Entry'!D8</f>
        <v>102</v>
      </c>
      <c r="F8" s="34">
        <f>IF((AND($E$8&gt;0,$D$67&gt;0)),($E8/$D67),0)</f>
        <v>408</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102</v>
      </c>
      <c r="O8" s="42">
        <f>((D67*L67)-E8)+0.05</f>
        <v>-76.95</v>
      </c>
      <c r="P8" s="42">
        <f t="shared" si="2"/>
        <v>106</v>
      </c>
      <c r="Q8" s="42">
        <f>(C$67*L67)-C8</f>
        <v>-83</v>
      </c>
      <c r="R8" s="42">
        <f t="shared" si="3"/>
        <v>48.050000000000011</v>
      </c>
      <c r="S8" s="30">
        <f t="shared" si="4"/>
        <v>4596774.8444999801</v>
      </c>
      <c r="T8" s="30">
        <f t="shared" si="5"/>
        <v>-19168280.039999999</v>
      </c>
      <c r="U8" s="31">
        <f t="shared" si="6"/>
        <v>-0.23981154464080859</v>
      </c>
    </row>
    <row r="9" spans="2:21" ht="18" customHeight="1" x14ac:dyDescent="0.25">
      <c r="B9" s="32" t="str">
        <f>'Data Entry'!A9</f>
        <v xml:space="preserve">4. Cases Diverted </v>
      </c>
      <c r="C9" s="33">
        <f>'Data Entry'!C9</f>
        <v>18</v>
      </c>
      <c r="D9" s="34">
        <f>IF((AND(C68&gt;0,C9&gt;0)),((C9/C68)),0)</f>
        <v>16.981132075471699</v>
      </c>
      <c r="E9" s="33">
        <f>'Data Entry'!D9</f>
        <v>4</v>
      </c>
      <c r="F9" s="34">
        <f>IF((AND($E$9&gt;0,$D$68&gt;0)),(($E$9/$D$68)),0)</f>
        <v>3.9215686274509802</v>
      </c>
      <c r="G9" s="39" t="str">
        <f t="shared" si="7"/>
        <v>**</v>
      </c>
      <c r="H9" s="40"/>
      <c r="I9" s="41"/>
      <c r="J9" s="40">
        <f>IF((ABS($U9)&gt;Defaults!D$7),1,2)</f>
        <v>1</v>
      </c>
      <c r="K9" s="39">
        <f>IF((AND(N9&gt;Defaults!B$12,(N9+O9)&gt;Defaults!B$13, P9 &gt; Defaults!B$12, (P9+Q9) &gt; Defaults!B$13)),1,20)</f>
        <v>20</v>
      </c>
      <c r="L9" s="1">
        <f t="shared" si="8"/>
        <v>20</v>
      </c>
      <c r="M9" s="1" t="b">
        <f t="shared" si="0"/>
        <v>1</v>
      </c>
      <c r="N9" s="42">
        <f t="shared" si="1"/>
        <v>4</v>
      </c>
      <c r="O9" s="42">
        <f>(D$68*L68)-E9</f>
        <v>98</v>
      </c>
      <c r="P9" s="42">
        <f t="shared" si="2"/>
        <v>18</v>
      </c>
      <c r="Q9" s="42">
        <f>(C$68*L68)-C9</f>
        <v>88</v>
      </c>
      <c r="R9" s="42">
        <f t="shared" si="3"/>
        <v>208</v>
      </c>
      <c r="S9" s="30">
        <f t="shared" si="4"/>
        <v>414698752</v>
      </c>
      <c r="T9" s="30">
        <f t="shared" si="5"/>
        <v>44242704</v>
      </c>
      <c r="U9" s="31">
        <f t="shared" si="6"/>
        <v>9.3732686862900607</v>
      </c>
    </row>
    <row r="10" spans="2:21" ht="18" customHeight="1" x14ac:dyDescent="0.25">
      <c r="B10" s="32" t="str">
        <f>'Data Entry'!A10</f>
        <v>5. Cases Involving Secure Detention</v>
      </c>
      <c r="C10" s="33">
        <f>'Data Entry'!C10</f>
        <v>2</v>
      </c>
      <c r="D10" s="34">
        <f>IF(((AND(C68&gt;0,C10&gt;0))),(C10/(C68)),0)</f>
        <v>1.8867924528301885</v>
      </c>
      <c r="E10" s="33">
        <f>'Data Entry'!D10</f>
        <v>10</v>
      </c>
      <c r="F10" s="34">
        <f>IF(((AND($E$10&gt;0,$D$68&gt;0))),($E$10/($D$68)),0)</f>
        <v>9.8039215686274517</v>
      </c>
      <c r="G10" s="39" t="str">
        <f t="shared" si="7"/>
        <v>**</v>
      </c>
      <c r="H10" s="40"/>
      <c r="I10" s="41"/>
      <c r="J10" s="40">
        <f>IF((ABS($U10)&gt;Defaults!D$7),1,2)</f>
        <v>1</v>
      </c>
      <c r="K10" s="39">
        <f>IF((AND(N10&gt;Defaults!B$12,(N10+O10)&gt;Defaults!B$13, P10 &gt; Defaults!B$12, (P10+Q10) &gt; Defaults!B$13)),1,20)</f>
        <v>20</v>
      </c>
      <c r="L10" s="1">
        <f t="shared" si="8"/>
        <v>20</v>
      </c>
      <c r="M10" s="1" t="b">
        <f t="shared" si="0"/>
        <v>1</v>
      </c>
      <c r="N10" s="42">
        <f t="shared" si="1"/>
        <v>10</v>
      </c>
      <c r="O10" s="42">
        <f>(D$68*L68)-E10</f>
        <v>92</v>
      </c>
      <c r="P10" s="42">
        <f t="shared" si="2"/>
        <v>2</v>
      </c>
      <c r="Q10" s="42">
        <f>(C$68*L68)-C10</f>
        <v>104</v>
      </c>
      <c r="R10" s="42">
        <f t="shared" si="3"/>
        <v>208</v>
      </c>
      <c r="S10" s="30">
        <f t="shared" si="4"/>
        <v>152409088</v>
      </c>
      <c r="T10" s="30">
        <f t="shared" si="5"/>
        <v>25429824</v>
      </c>
      <c r="U10" s="31">
        <f t="shared" si="6"/>
        <v>5.9933205986797233</v>
      </c>
    </row>
    <row r="11" spans="2:21" ht="18" customHeight="1" x14ac:dyDescent="0.25">
      <c r="B11" s="32" t="str">
        <f>'Data Entry'!A11</f>
        <v>6. Cases Petitioned (Charge Filed)</v>
      </c>
      <c r="C11" s="33">
        <f>'Data Entry'!C11</f>
        <v>63</v>
      </c>
      <c r="D11" s="34">
        <f>IF(((AND(C68&gt;0,C11&gt;0))),(C11/(C68)),0)</f>
        <v>59.433962264150942</v>
      </c>
      <c r="E11" s="33">
        <f>'Data Entry'!D11</f>
        <v>60</v>
      </c>
      <c r="F11" s="34">
        <f>IF(((AND($E$11&gt;0,$D$68&gt;0))),($E$11/($D$68)),0)</f>
        <v>58.823529411764703</v>
      </c>
      <c r="G11" s="39">
        <f t="shared" si="7"/>
        <v>0.9897292250233426</v>
      </c>
      <c r="H11" s="40"/>
      <c r="I11" s="41"/>
      <c r="J11" s="40">
        <f>IF((ABS($U11)&gt;Defaults!D$7),1,2)</f>
        <v>2</v>
      </c>
      <c r="K11" s="39">
        <f>IF((AND(N11&gt;Defaults!B$12,(N11+O11)&gt;Defaults!B$13, P11 &gt; Defaults!B$12, (P11+Q11) &gt; Defaults!B$13)),1,20)</f>
        <v>1</v>
      </c>
      <c r="L11" s="1">
        <f t="shared" si="8"/>
        <v>2</v>
      </c>
      <c r="M11" s="1" t="b">
        <f t="shared" si="0"/>
        <v>1</v>
      </c>
      <c r="N11" s="42">
        <f t="shared" si="1"/>
        <v>60</v>
      </c>
      <c r="O11" s="42">
        <f>(D$68*L68)-E11</f>
        <v>42</v>
      </c>
      <c r="P11" s="42">
        <f t="shared" si="2"/>
        <v>63</v>
      </c>
      <c r="Q11" s="42">
        <f>(C$68*L68)-C11</f>
        <v>43</v>
      </c>
      <c r="R11" s="42">
        <f t="shared" si="3"/>
        <v>208</v>
      </c>
      <c r="S11" s="30">
        <f t="shared" si="4"/>
        <v>906048</v>
      </c>
      <c r="T11" s="30">
        <f t="shared" si="5"/>
        <v>113039460</v>
      </c>
      <c r="U11" s="31">
        <f t="shared" si="6"/>
        <v>8.0153249139725182E-3</v>
      </c>
    </row>
    <row r="12" spans="2:21" ht="18" customHeight="1" x14ac:dyDescent="0.25">
      <c r="B12" s="32" t="str">
        <f>'Data Entry'!A12</f>
        <v>7. Cases Resulting in Delinquent Findings</v>
      </c>
      <c r="C12" s="33">
        <f>'Data Entry'!C12</f>
        <v>39</v>
      </c>
      <c r="D12" s="34">
        <f>IF(((AND(C69&gt;0,C12&gt;0))),(C12/(C69)),0)</f>
        <v>61.904761904761905</v>
      </c>
      <c r="E12" s="33">
        <f>'Data Entry'!D12</f>
        <v>46</v>
      </c>
      <c r="F12" s="34">
        <f>IF(((AND($D$69&gt;0,$E$12&gt;0))),(E12/(D69)),0)</f>
        <v>76.666666666666671</v>
      </c>
      <c r="G12" s="39">
        <f t="shared" si="7"/>
        <v>1.2384615384615385</v>
      </c>
      <c r="H12" s="40"/>
      <c r="I12" s="41"/>
      <c r="J12" s="40">
        <f>IF((ABS($U12)&gt;Defaults!D$7),1,2)</f>
        <v>2</v>
      </c>
      <c r="K12" s="39">
        <f>IF((AND(N12&gt;Defaults!B$12,(N12+O12)&gt;Defaults!B$13, P12 &gt; Defaults!B$12, (P12+Q12) &gt; Defaults!B$13)),1,20)</f>
        <v>1</v>
      </c>
      <c r="L12" s="1">
        <f t="shared" si="8"/>
        <v>2</v>
      </c>
      <c r="M12" s="1" t="b">
        <f t="shared" si="0"/>
        <v>1</v>
      </c>
      <c r="N12" s="42">
        <f t="shared" si="1"/>
        <v>46</v>
      </c>
      <c r="O12" s="42">
        <f>(D69*L69)-E12</f>
        <v>14</v>
      </c>
      <c r="P12" s="42">
        <f t="shared" si="2"/>
        <v>39</v>
      </c>
      <c r="Q12" s="42">
        <f>(C69*L69)-C12</f>
        <v>24</v>
      </c>
      <c r="R12" s="42">
        <f t="shared" si="3"/>
        <v>123</v>
      </c>
      <c r="S12" s="30">
        <f t="shared" si="4"/>
        <v>38297772</v>
      </c>
      <c r="T12" s="30">
        <f t="shared" si="5"/>
        <v>12209400</v>
      </c>
      <c r="U12" s="31">
        <f t="shared" si="6"/>
        <v>3.1367448031844316</v>
      </c>
    </row>
    <row r="13" spans="2:21" ht="18" customHeight="1" x14ac:dyDescent="0.25">
      <c r="B13" s="32" t="str">
        <f>'Data Entry'!A13</f>
        <v>8. Cases Resulting in Probation Placement</v>
      </c>
      <c r="C13" s="33">
        <f>'Data Entry'!C13</f>
        <v>56</v>
      </c>
      <c r="D13" s="34">
        <f>IF(((AND(C70&gt;0,C13&gt;0))),(C13/(C70)),0)</f>
        <v>143.58974358974359</v>
      </c>
      <c r="E13" s="33">
        <f>'Data Entry'!D13</f>
        <v>36</v>
      </c>
      <c r="F13" s="34">
        <f>IF(((AND($D$70&gt;0,$E$13&gt;0))),($E$13/($D$70)),0)</f>
        <v>78.260869565217391</v>
      </c>
      <c r="G13" s="39">
        <f t="shared" si="7"/>
        <v>0.54503105590062106</v>
      </c>
      <c r="H13" s="40"/>
      <c r="I13" s="41"/>
      <c r="J13" s="40">
        <f>IF((ABS($U13)&gt;Defaults!D$7),1,2)</f>
        <v>1</v>
      </c>
      <c r="K13" s="39">
        <f>IF((AND(N13&gt;Defaults!B$12,(N13+O13)&gt;Defaults!B$13, P13 &gt; Defaults!B$12, (P13+Q13) &gt; Defaults!B$13)),1,20)</f>
        <v>1</v>
      </c>
      <c r="L13" s="1">
        <f t="shared" si="8"/>
        <v>1</v>
      </c>
      <c r="M13" s="1" t="b">
        <f t="shared" si="0"/>
        <v>1</v>
      </c>
      <c r="N13" s="42">
        <f t="shared" si="1"/>
        <v>36</v>
      </c>
      <c r="O13" s="42">
        <f>(D70*L70)-E13</f>
        <v>10</v>
      </c>
      <c r="P13" s="42">
        <f t="shared" si="2"/>
        <v>56</v>
      </c>
      <c r="Q13" s="42">
        <f>(C70*L70)-C13</f>
        <v>-17</v>
      </c>
      <c r="R13" s="42">
        <f t="shared" si="3"/>
        <v>85</v>
      </c>
      <c r="S13" s="30">
        <f t="shared" si="4"/>
        <v>116754640</v>
      </c>
      <c r="T13" s="30">
        <f t="shared" si="5"/>
        <v>-1155336</v>
      </c>
      <c r="U13" s="31">
        <f t="shared" si="6"/>
        <v>-101.05687003607609</v>
      </c>
    </row>
    <row r="14" spans="2:21" ht="30.75" customHeight="1" x14ac:dyDescent="0.25">
      <c r="B14" s="32" t="str">
        <f>'Data Entry'!A14</f>
        <v xml:space="preserve">9. Cases Resulting in Confinement in Secure Juvenile Correctional Facilities </v>
      </c>
      <c r="C14" s="33">
        <f>'Data Entry'!C14</f>
        <v>6</v>
      </c>
      <c r="D14" s="34">
        <f>IF(((AND(C70&gt;0,C14&gt;0))), ((C14/(C70))),0)</f>
        <v>15.384615384615383</v>
      </c>
      <c r="E14" s="33">
        <f>'Data Entry'!D14</f>
        <v>11</v>
      </c>
      <c r="F14" s="34">
        <f>IF(((AND($D$70&gt;0,$E$14&gt;0))), (($E$14/($D$70))),0)</f>
        <v>23.913043478260867</v>
      </c>
      <c r="G14" s="39">
        <f t="shared" si="7"/>
        <v>1.5543478260869565</v>
      </c>
      <c r="H14" s="40"/>
      <c r="I14" s="41"/>
      <c r="J14" s="40">
        <f>IF((ABS($U14)&gt;Defaults!D$7),1,2)</f>
        <v>2</v>
      </c>
      <c r="K14" s="39">
        <f>IF((AND(N14&gt;Defaults!B$12,(N14+O14)&gt;Defaults!B$13, P14 &gt; Defaults!B$12, (P14+Q14) &gt; Defaults!B$13)),1,20)</f>
        <v>1</v>
      </c>
      <c r="L14" s="1">
        <f t="shared" si="8"/>
        <v>2</v>
      </c>
      <c r="M14" s="1" t="b">
        <f t="shared" si="0"/>
        <v>1</v>
      </c>
      <c r="N14" s="42">
        <f t="shared" si="1"/>
        <v>11</v>
      </c>
      <c r="O14" s="42">
        <f>(D70*L70)-E14</f>
        <v>35</v>
      </c>
      <c r="P14" s="42">
        <f t="shared" si="2"/>
        <v>6</v>
      </c>
      <c r="Q14" s="42">
        <f>(C70*L70)-C14</f>
        <v>33</v>
      </c>
      <c r="R14" s="42">
        <f t="shared" si="3"/>
        <v>85</v>
      </c>
      <c r="S14" s="30">
        <f t="shared" si="4"/>
        <v>1989765</v>
      </c>
      <c r="T14" s="30">
        <f t="shared" si="5"/>
        <v>2073864</v>
      </c>
      <c r="U14" s="31">
        <f t="shared" si="6"/>
        <v>0.95944816053511706</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60</v>
      </c>
      <c r="P15" s="42">
        <f t="shared" si="2"/>
        <v>0</v>
      </c>
      <c r="Q15" s="42">
        <f>(C69*L69)-C15</f>
        <v>63</v>
      </c>
      <c r="R15" s="42">
        <f t="shared" si="3"/>
        <v>123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11.002000000000001</v>
      </c>
      <c r="D42" s="56">
        <f>E6/1000</f>
        <v>3.0209999999999999</v>
      </c>
      <c r="E42" s="56">
        <f>MAX(C42:D42)</f>
        <v>11.002000000000001</v>
      </c>
      <c r="G42" s="1" t="str">
        <f>B42</f>
        <v>per 1000 youth</v>
      </c>
      <c r="L42" s="57">
        <v>1000</v>
      </c>
      <c r="M42" s="57"/>
      <c r="R42" s="49"/>
    </row>
    <row r="43" spans="2:18" ht="15" hidden="1" customHeight="1" x14ac:dyDescent="0.25">
      <c r="B43" s="49" t="s">
        <v>87</v>
      </c>
      <c r="C43" s="56">
        <f>C7/100</f>
        <v>0.23</v>
      </c>
      <c r="D43" s="56">
        <f>E7/100</f>
        <v>0.25</v>
      </c>
      <c r="E43" s="56">
        <f>MAX(C43:D43,0)</f>
        <v>0.25</v>
      </c>
      <c r="G43" s="1" t="str">
        <f>B43</f>
        <v>per 100 arrests</v>
      </c>
      <c r="L43" s="57">
        <v>100</v>
      </c>
      <c r="M43" s="57"/>
      <c r="R43" s="49"/>
    </row>
    <row r="44" spans="2:18" ht="15" hidden="1" customHeight="1" x14ac:dyDescent="0.25">
      <c r="B44" s="49" t="s">
        <v>88</v>
      </c>
      <c r="C44" s="56">
        <f>C8/100</f>
        <v>1.06</v>
      </c>
      <c r="D44" s="56">
        <f>E8/100</f>
        <v>1.02</v>
      </c>
      <c r="E44" s="56">
        <f>MAX(C44:D44,0)</f>
        <v>1.06</v>
      </c>
      <c r="G44" s="1" t="str">
        <f>B44</f>
        <v>per 100 referrals</v>
      </c>
      <c r="L44" s="57">
        <v>100</v>
      </c>
      <c r="M44" s="57"/>
      <c r="R44" s="49"/>
    </row>
    <row r="45" spans="2:18" ht="15" hidden="1" customHeight="1" x14ac:dyDescent="0.25">
      <c r="B45" s="49" t="s">
        <v>89</v>
      </c>
      <c r="C45" s="49">
        <f>C11/100</f>
        <v>0.63</v>
      </c>
      <c r="D45" s="49">
        <f>E11/100</f>
        <v>0.6</v>
      </c>
      <c r="E45" s="56">
        <f>MAX(C45:D45,0)</f>
        <v>0.63</v>
      </c>
      <c r="G45" s="1" t="str">
        <f>B45</f>
        <v>per 100 youth petitioned</v>
      </c>
      <c r="L45" s="57">
        <v>100</v>
      </c>
      <c r="M45" s="57"/>
      <c r="R45" s="49"/>
    </row>
    <row r="46" spans="2:18" ht="15" hidden="1" customHeight="1" x14ac:dyDescent="0.25">
      <c r="B46" s="49" t="s">
        <v>90</v>
      </c>
      <c r="C46" s="49">
        <f>C12/100</f>
        <v>0.39</v>
      </c>
      <c r="D46" s="49">
        <f>E12/100</f>
        <v>0.46</v>
      </c>
      <c r="E46" s="56">
        <f>MAX(C46:D46)</f>
        <v>0.46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11.002000000000001</v>
      </c>
      <c r="D48" s="56">
        <f>D42</f>
        <v>3.0209999999999999</v>
      </c>
      <c r="E48" s="56">
        <f>MAX(C48:D48)</f>
        <v>11.002000000000001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0.23</v>
      </c>
      <c r="D49" s="49">
        <f t="shared" si="9"/>
        <v>0.25</v>
      </c>
      <c r="E49" s="49">
        <f>MAX(C49:D49)</f>
        <v>0.25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1.06</v>
      </c>
      <c r="D50" s="49">
        <f t="shared" si="9"/>
        <v>1.02</v>
      </c>
      <c r="E50" s="49">
        <f>MAX(C50:D50)</f>
        <v>1.06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0.63</v>
      </c>
      <c r="D51" s="49">
        <f>IF(($E45&gt;0),D45,D44)</f>
        <v>0.6</v>
      </c>
      <c r="E51" s="49">
        <f>MAX(C51:D51)</f>
        <v>0.63</v>
      </c>
      <c r="G51" s="1" t="str">
        <f>G45</f>
        <v>per 100 youth petitioned</v>
      </c>
      <c r="L51" s="58">
        <f>IF(($E45&gt;0),L45,L44)</f>
        <v>100</v>
      </c>
      <c r="M51" s="58"/>
    </row>
    <row r="52" spans="2:18" ht="15" hidden="1" customHeight="1" x14ac:dyDescent="0.25">
      <c r="B52" s="49" t="str">
        <f>IF(($E46&gt;0),B46,B45)</f>
        <v>per 100 youth found delinquent</v>
      </c>
      <c r="C52" s="49">
        <f>IF(($E46&gt;0),C46,C45)</f>
        <v>0.39</v>
      </c>
      <c r="D52" s="49">
        <f>IF(($E46&gt;0),D46,D45)</f>
        <v>0.46</v>
      </c>
      <c r="E52" s="56">
        <f>MAX(C52:D52)</f>
        <v>0.46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11.002000000000001</v>
      </c>
      <c r="D54" s="56">
        <f>D48</f>
        <v>3.0209999999999999</v>
      </c>
      <c r="E54" s="56">
        <f>MAX(C54:D54)</f>
        <v>11.002000000000001</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0.25</v>
      </c>
      <c r="E55" s="49">
        <f>MAX(C55:D55)</f>
        <v>0.25</v>
      </c>
      <c r="G55" s="1" t="str">
        <f>G49</f>
        <v>per 100 arrests</v>
      </c>
      <c r="L55" s="58">
        <f>IF(($E49&gt;0),L49,L48)</f>
        <v>100</v>
      </c>
      <c r="M55" s="58"/>
    </row>
    <row r="56" spans="2:18" ht="15" hidden="1" customHeight="1" x14ac:dyDescent="0.25">
      <c r="B56" s="49" t="str">
        <f t="shared" si="10"/>
        <v>per 100 referrals</v>
      </c>
      <c r="C56" s="49">
        <f t="shared" si="10"/>
        <v>1.06</v>
      </c>
      <c r="D56" s="49">
        <f t="shared" si="10"/>
        <v>1.02</v>
      </c>
      <c r="E56" s="49">
        <f>MAX(C56:D56)</f>
        <v>1.06</v>
      </c>
      <c r="G56" s="1" t="str">
        <f>G50</f>
        <v>per 100 referrals</v>
      </c>
      <c r="L56" s="58">
        <f>IF(($E50&gt;0),L50,L49)</f>
        <v>100</v>
      </c>
      <c r="M56" s="58"/>
    </row>
    <row r="57" spans="2:18" ht="15" hidden="1" customHeight="1" x14ac:dyDescent="0.25">
      <c r="B57" s="49" t="str">
        <f>IF(($E51&gt;0),B51,B49)</f>
        <v>per 100 youth petitioned</v>
      </c>
      <c r="C57" s="49">
        <f>IF(($E51&gt;0),C51,C50)</f>
        <v>0.63</v>
      </c>
      <c r="D57" s="49">
        <f>IF(($E51&gt;0),D51,D50)</f>
        <v>0.6</v>
      </c>
      <c r="E57" s="49">
        <f>MAX(C57:D57)</f>
        <v>0.63</v>
      </c>
      <c r="G57" s="1" t="str">
        <f>G51</f>
        <v>per 100 youth petitioned</v>
      </c>
      <c r="L57" s="58">
        <f>IF(($E51&gt;0),L51,L50)</f>
        <v>100</v>
      </c>
      <c r="M57" s="58"/>
    </row>
    <row r="58" spans="2:18" ht="15" hidden="1" customHeight="1" x14ac:dyDescent="0.25">
      <c r="B58" s="49" t="str">
        <f>IF(($E52&gt;0),B52,B51)</f>
        <v>per 100 youth found delinquent</v>
      </c>
      <c r="C58" s="49">
        <f>IF(($E52&gt;0),C52,C51)</f>
        <v>0.39</v>
      </c>
      <c r="D58" s="49">
        <f>IF(($E52&gt;0),D52,D51)</f>
        <v>0.46</v>
      </c>
      <c r="E58" s="56">
        <f>MAX(C58:D58)</f>
        <v>0.46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11.002000000000001</v>
      </c>
      <c r="D60" s="56">
        <f>D54</f>
        <v>3.0209999999999999</v>
      </c>
      <c r="E60" s="56">
        <f>MAX(C60:D60)</f>
        <v>11.002000000000001</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0.25</v>
      </c>
      <c r="E61" s="49">
        <f>MAX(C61:D61)</f>
        <v>0.25</v>
      </c>
      <c r="G61" s="1" t="str">
        <f>G55</f>
        <v>per 100 arrests</v>
      </c>
      <c r="L61" s="58">
        <f>IF(($E55&gt;0),L55,L54)</f>
        <v>100</v>
      </c>
      <c r="M61" s="58"/>
    </row>
    <row r="62" spans="2:18" ht="15" hidden="1" customHeight="1" x14ac:dyDescent="0.25">
      <c r="B62" s="49" t="str">
        <f t="shared" si="11"/>
        <v>per 100 referrals</v>
      </c>
      <c r="C62" s="49">
        <f t="shared" si="11"/>
        <v>1.06</v>
      </c>
      <c r="D62" s="49">
        <f t="shared" si="11"/>
        <v>1.02</v>
      </c>
      <c r="E62" s="49">
        <f>MAX(C62:D62)</f>
        <v>1.06</v>
      </c>
      <c r="G62" s="1" t="str">
        <f>G56</f>
        <v>per 100 referrals</v>
      </c>
      <c r="L62" s="58">
        <f>IF(($E56&gt;0),L56,L55)</f>
        <v>100</v>
      </c>
      <c r="M62" s="58"/>
    </row>
    <row r="63" spans="2:18" ht="15" hidden="1" customHeight="1" x14ac:dyDescent="0.25">
      <c r="B63" s="49" t="str">
        <f>IF(($E57&gt;0),B57,B55)</f>
        <v>per 100 youth petitioned</v>
      </c>
      <c r="C63" s="49">
        <f>IF(($E57&gt;0),C57,C56)</f>
        <v>0.63</v>
      </c>
      <c r="D63" s="49">
        <f>IF(($E57&gt;0),D57,D56)</f>
        <v>0.6</v>
      </c>
      <c r="E63" s="49">
        <f>MAX(C63:D63)</f>
        <v>0.63</v>
      </c>
      <c r="G63" s="1" t="str">
        <f>G57</f>
        <v>per 100 youth petitioned</v>
      </c>
      <c r="L63" s="58">
        <f>IF(($E57&gt;0),L57,L56)</f>
        <v>100</v>
      </c>
      <c r="M63" s="58"/>
    </row>
    <row r="64" spans="2:18" ht="15" hidden="1" customHeight="1" x14ac:dyDescent="0.25">
      <c r="B64" s="49" t="str">
        <f>IF(($E58&gt;0),B58,B57)</f>
        <v>per 100 youth found delinquent</v>
      </c>
      <c r="C64" s="49">
        <f>IF(($E58&gt;0),C58,C57)</f>
        <v>0.39</v>
      </c>
      <c r="D64" s="49">
        <f>IF(($E58&gt;0),D58,D57)</f>
        <v>0.46</v>
      </c>
      <c r="E64" s="56">
        <f>MAX(C64:D64)</f>
        <v>0.46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11.002000000000001</v>
      </c>
      <c r="D66" s="56">
        <f>D60</f>
        <v>3.0209999999999999</v>
      </c>
      <c r="E66" s="56">
        <f>MAX(C66:D66)</f>
        <v>11.002000000000001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0.25</v>
      </c>
      <c r="E67" s="49">
        <f>MAX(C67:D67)</f>
        <v>0.25</v>
      </c>
      <c r="G67" s="1" t="str">
        <f>G61</f>
        <v>per 100 arrests</v>
      </c>
      <c r="L67" s="58">
        <f>IF(($E61&gt;0),L61,L60)</f>
        <v>100</v>
      </c>
      <c r="M67" s="58">
        <f>IF((B67=G67),1,2)</f>
        <v>1</v>
      </c>
    </row>
    <row r="68" spans="2:13" ht="15" hidden="1" customHeight="1" x14ac:dyDescent="0.25">
      <c r="B68" s="49" t="str">
        <f t="shared" si="12"/>
        <v>per 100 referrals</v>
      </c>
      <c r="C68" s="49">
        <f t="shared" si="12"/>
        <v>1.06</v>
      </c>
      <c r="D68" s="49">
        <f t="shared" si="12"/>
        <v>1.02</v>
      </c>
      <c r="E68" s="49">
        <f>MAX(C68:D68)</f>
        <v>1.06</v>
      </c>
      <c r="G68" s="1" t="str">
        <f>G62</f>
        <v>per 100 referrals</v>
      </c>
      <c r="L68" s="58">
        <f>IF(($E62&gt;0),L62,L61)</f>
        <v>100</v>
      </c>
      <c r="M68" s="58">
        <f>IF((B68=G68),1,2)</f>
        <v>1</v>
      </c>
    </row>
    <row r="69" spans="2:13" ht="15" hidden="1" customHeight="1" x14ac:dyDescent="0.25">
      <c r="B69" s="49" t="str">
        <f>IF(($E63&gt;0),B63,B61)</f>
        <v>per 100 youth petitioned</v>
      </c>
      <c r="C69" s="49">
        <f>IF(($E63&gt;0),C63,C62)</f>
        <v>0.63</v>
      </c>
      <c r="D69" s="49">
        <f>IF(($E63&gt;0),D63,D62)</f>
        <v>0.6</v>
      </c>
      <c r="E69" s="49">
        <f>MAX(C69:D69)</f>
        <v>0.63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0.39</v>
      </c>
      <c r="D70" s="49">
        <f>IF(($E64&gt;0),D64,D63)</f>
        <v>0.46</v>
      </c>
      <c r="E70" s="56">
        <f>MAX(C70:D70)</f>
        <v>0.46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Muskegon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11002</v>
      </c>
      <c r="D6" s="34"/>
      <c r="E6" s="33">
        <f>'Data Entry'!F6</f>
        <v>115</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2.0905289947282313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115</v>
      </c>
      <c r="P7" s="42">
        <f t="shared" ref="P7:P15" si="4">C7</f>
        <v>23</v>
      </c>
      <c r="Q7" s="42">
        <f>C6-C7</f>
        <v>10979</v>
      </c>
      <c r="R7" s="42">
        <f t="shared" ref="R7:R15" si="5">SUM(N7:Q7)</f>
        <v>11117</v>
      </c>
      <c r="S7" s="30">
        <f t="shared" ref="S7:S15" si="6">R7*((((N7*Q7)-(O7*P7))^2))</f>
        <v>77774809925</v>
      </c>
      <c r="T7" s="30">
        <f t="shared" ref="T7:T15" si="7">(N7+O7)*(P7+Q7)*(N7+P7)*(O7+Q7)</f>
        <v>322838617260</v>
      </c>
      <c r="U7" s="31">
        <f t="shared" ref="U7:U15" si="8">IF((S7&gt;0),S7/T7,"- -")</f>
        <v>0.24090925238464764</v>
      </c>
    </row>
    <row r="8" spans="2:21" ht="18" customHeight="1" x14ac:dyDescent="0.25">
      <c r="B8" s="32" t="str">
        <f>'Data Entry'!A8</f>
        <v>3. Refer to Juvenile Court</v>
      </c>
      <c r="C8" s="33">
        <f>'Data Entry'!C8</f>
        <v>106</v>
      </c>
      <c r="D8" s="34">
        <f>IF((AND(C67&gt;0,C8&gt;0)),(C8/C67),0)</f>
        <v>460.86956521739131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106</v>
      </c>
      <c r="Q8" s="42">
        <f>(C$67*L67)-C8</f>
        <v>-83</v>
      </c>
      <c r="R8" s="42">
        <f t="shared" si="5"/>
        <v>23.049999999999997</v>
      </c>
      <c r="S8" s="30">
        <f t="shared" si="6"/>
        <v>647.47450000000003</v>
      </c>
      <c r="T8" s="30">
        <f t="shared" si="7"/>
        <v>-10111.605000000001</v>
      </c>
      <c r="U8" s="31">
        <f t="shared" si="8"/>
        <v>-6.4032811803862985E-2</v>
      </c>
    </row>
    <row r="9" spans="2:21" ht="18" customHeight="1" x14ac:dyDescent="0.25">
      <c r="B9" s="32" t="str">
        <f>'Data Entry'!A9</f>
        <v xml:space="preserve">4. Cases Diverted </v>
      </c>
      <c r="C9" s="33">
        <f>'Data Entry'!C9</f>
        <v>18</v>
      </c>
      <c r="D9" s="34">
        <f>IF((AND(C68&gt;0,C9&gt;0)),((C9/C68)),0)</f>
        <v>16.981132075471699</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18</v>
      </c>
      <c r="Q9" s="42">
        <f>(C$68*L68)-C9</f>
        <v>88</v>
      </c>
      <c r="R9" s="42">
        <f t="shared" si="5"/>
        <v>106</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1.8867924528301885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104</v>
      </c>
      <c r="R10" s="42">
        <f t="shared" si="5"/>
        <v>106</v>
      </c>
      <c r="S10" s="30">
        <f t="shared" si="6"/>
        <v>0</v>
      </c>
      <c r="T10" s="30">
        <f t="shared" si="7"/>
        <v>0</v>
      </c>
      <c r="U10" s="31" t="str">
        <f t="shared" si="8"/>
        <v>- -</v>
      </c>
    </row>
    <row r="11" spans="2:21" ht="18" customHeight="1" x14ac:dyDescent="0.25">
      <c r="B11" s="32" t="str">
        <f>'Data Entry'!A11</f>
        <v>6. Cases Petitioned (Charge Filed)</v>
      </c>
      <c r="C11" s="33">
        <f>'Data Entry'!C11</f>
        <v>63</v>
      </c>
      <c r="D11" s="34">
        <f>IF(((AND(C68&gt;0,C11&gt;0))),(C11/(C68)),0)</f>
        <v>59.433962264150942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63</v>
      </c>
      <c r="Q11" s="42">
        <f>(C$68*L68)-C11</f>
        <v>43</v>
      </c>
      <c r="R11" s="42">
        <f t="shared" si="5"/>
        <v>106</v>
      </c>
      <c r="S11" s="30">
        <f t="shared" si="6"/>
        <v>0</v>
      </c>
      <c r="T11" s="30">
        <f t="shared" si="7"/>
        <v>0</v>
      </c>
      <c r="U11" s="31" t="str">
        <f t="shared" si="8"/>
        <v>- -</v>
      </c>
    </row>
    <row r="12" spans="2:21" ht="18" customHeight="1" x14ac:dyDescent="0.25">
      <c r="B12" s="32" t="str">
        <f>'Data Entry'!A12</f>
        <v>7. Cases Resulting in Delinquent Findings</v>
      </c>
      <c r="C12" s="33">
        <f>'Data Entry'!C12</f>
        <v>39</v>
      </c>
      <c r="D12" s="34">
        <f>IF(((AND(C69&gt;0,C12&gt;0))),(C12/(C69)),0)</f>
        <v>61.904761904761905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24</v>
      </c>
      <c r="R12" s="42">
        <f t="shared" si="5"/>
        <v>63</v>
      </c>
      <c r="S12" s="30">
        <f t="shared" si="6"/>
        <v>0</v>
      </c>
      <c r="T12" s="30">
        <f t="shared" si="7"/>
        <v>0</v>
      </c>
      <c r="U12" s="31" t="str">
        <f t="shared" si="8"/>
        <v>- -</v>
      </c>
    </row>
    <row r="13" spans="2:21" ht="18" customHeight="1" x14ac:dyDescent="0.25">
      <c r="B13" s="32" t="str">
        <f>'Data Entry'!A13</f>
        <v>8. Cases Resulting in Probation Placement</v>
      </c>
      <c r="C13" s="33">
        <f>'Data Entry'!C13</f>
        <v>56</v>
      </c>
      <c r="D13" s="34">
        <f>IF(((AND(C70&gt;0,C13&gt;0))),(C13/(C70)),0)</f>
        <v>143.58974358974359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56</v>
      </c>
      <c r="Q13" s="42">
        <f>(C70*L70)-C13</f>
        <v>-17</v>
      </c>
      <c r="R13" s="42">
        <f t="shared" si="5"/>
        <v>39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15.384615384615383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33</v>
      </c>
      <c r="R14" s="42">
        <f t="shared" si="5"/>
        <v>39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63</v>
      </c>
      <c r="R15" s="42">
        <f t="shared" si="5"/>
        <v>63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11.002000000000001</v>
      </c>
      <c r="D42" s="56">
        <f>E6/1000</f>
        <v>0.115</v>
      </c>
      <c r="E42" s="56">
        <f>MAX(C42:D42)</f>
        <v>11.002000000000001</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1.06</v>
      </c>
      <c r="D44" s="56">
        <f>E8/100</f>
        <v>0</v>
      </c>
      <c r="E44" s="56">
        <f>MAX(C44:D44,0)</f>
        <v>1.06</v>
      </c>
      <c r="G44" s="1" t="str">
        <f>B44</f>
        <v>per 100 referrals</v>
      </c>
      <c r="L44" s="57">
        <v>100</v>
      </c>
      <c r="M44" s="57"/>
      <c r="R44" s="49"/>
    </row>
    <row r="45" spans="2:18" ht="15" hidden="1" customHeight="1" x14ac:dyDescent="0.25">
      <c r="B45" s="49" t="s">
        <v>89</v>
      </c>
      <c r="C45" s="49">
        <f>C11/100</f>
        <v>0.63</v>
      </c>
      <c r="D45" s="49">
        <f>E11/100</f>
        <v>0</v>
      </c>
      <c r="E45" s="56">
        <f>MAX(C45:D45,0)</f>
        <v>0.63</v>
      </c>
      <c r="G45" s="1" t="str">
        <f>B45</f>
        <v>per 100 youth petitioned</v>
      </c>
      <c r="L45" s="57">
        <v>100</v>
      </c>
      <c r="M45" s="57"/>
      <c r="R45" s="49"/>
    </row>
    <row r="46" spans="2:18" ht="15" hidden="1" customHeight="1" x14ac:dyDescent="0.25">
      <c r="B46" s="49" t="s">
        <v>90</v>
      </c>
      <c r="C46" s="49">
        <f>C12/100</f>
        <v>0.39</v>
      </c>
      <c r="D46" s="49">
        <f>E12/100</f>
        <v>0</v>
      </c>
      <c r="E46" s="56">
        <f>MAX(C46:D46)</f>
        <v>0.39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11.002000000000001</v>
      </c>
      <c r="D48" s="56">
        <f>D42</f>
        <v>0.115</v>
      </c>
      <c r="E48" s="56">
        <f>MAX(C48:D48)</f>
        <v>11.002000000000001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1.06</v>
      </c>
      <c r="D50" s="49">
        <f t="shared" si="9"/>
        <v>0</v>
      </c>
      <c r="E50" s="49">
        <f>MAX(C50:D50)</f>
        <v>1.06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0.63</v>
      </c>
      <c r="D51" s="49">
        <f>IF(($E45&gt;0),D45,D44)</f>
        <v>0</v>
      </c>
      <c r="E51" s="49">
        <f>MAX(C51:D51)</f>
        <v>0.63</v>
      </c>
      <c r="G51" s="1" t="str">
        <f>G45</f>
        <v>per 100 youth petitioned</v>
      </c>
      <c r="L51" s="58">
        <f>IF(($E45&gt;0),L45,L44)</f>
        <v>100</v>
      </c>
      <c r="M51" s="58"/>
    </row>
    <row r="52" spans="2:18" ht="15" hidden="1" customHeight="1" x14ac:dyDescent="0.25">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11.002000000000001</v>
      </c>
      <c r="D54" s="56">
        <f>D48</f>
        <v>0.115</v>
      </c>
      <c r="E54" s="56">
        <f>MAX(C54:D54)</f>
        <v>11.002000000000001</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1.06</v>
      </c>
      <c r="D56" s="49">
        <f t="shared" si="10"/>
        <v>0</v>
      </c>
      <c r="E56" s="49">
        <f>MAX(C56:D56)</f>
        <v>1.06</v>
      </c>
      <c r="G56" s="1" t="str">
        <f>G50</f>
        <v>per 100 referrals</v>
      </c>
      <c r="L56" s="58">
        <f>IF(($E50&gt;0),L50,L49)</f>
        <v>100</v>
      </c>
      <c r="M56" s="58"/>
    </row>
    <row r="57" spans="2:18" ht="15" hidden="1" customHeight="1" x14ac:dyDescent="0.25">
      <c r="B57" s="49" t="str">
        <f>IF(($E51&gt;0),B51,B49)</f>
        <v>per 100 youth petitioned</v>
      </c>
      <c r="C57" s="49">
        <f>IF(($E51&gt;0),C51,C50)</f>
        <v>0.63</v>
      </c>
      <c r="D57" s="49">
        <f>IF(($E51&gt;0),D51,D50)</f>
        <v>0</v>
      </c>
      <c r="E57" s="49">
        <f>MAX(C57:D57)</f>
        <v>0.63</v>
      </c>
      <c r="G57" s="1" t="str">
        <f>G51</f>
        <v>per 100 youth petitioned</v>
      </c>
      <c r="L57" s="58">
        <f>IF(($E51&gt;0),L51,L50)</f>
        <v>100</v>
      </c>
      <c r="M57" s="58"/>
    </row>
    <row r="58" spans="2:18" ht="15" hidden="1" customHeight="1" x14ac:dyDescent="0.25">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11.002000000000001</v>
      </c>
      <c r="D60" s="56">
        <f>D54</f>
        <v>0.115</v>
      </c>
      <c r="E60" s="56">
        <f>MAX(C60:D60)</f>
        <v>11.002000000000001</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1.06</v>
      </c>
      <c r="D62" s="49">
        <f t="shared" si="11"/>
        <v>0</v>
      </c>
      <c r="E62" s="49">
        <f>MAX(C62:D62)</f>
        <v>1.06</v>
      </c>
      <c r="G62" s="1" t="str">
        <f>G56</f>
        <v>per 100 referrals</v>
      </c>
      <c r="L62" s="58">
        <f>IF(($E56&gt;0),L56,L55)</f>
        <v>100</v>
      </c>
      <c r="M62" s="58"/>
    </row>
    <row r="63" spans="2:18" ht="15" hidden="1" customHeight="1" x14ac:dyDescent="0.25">
      <c r="B63" s="49" t="str">
        <f>IF(($E57&gt;0),B57,B55)</f>
        <v>per 100 youth petitioned</v>
      </c>
      <c r="C63" s="49">
        <f>IF(($E57&gt;0),C57,C56)</f>
        <v>0.63</v>
      </c>
      <c r="D63" s="49">
        <f>IF(($E57&gt;0),D57,D56)</f>
        <v>0</v>
      </c>
      <c r="E63" s="49">
        <f>MAX(C63:D63)</f>
        <v>0.63</v>
      </c>
      <c r="G63" s="1" t="str">
        <f>G57</f>
        <v>per 100 youth petitioned</v>
      </c>
      <c r="L63" s="58">
        <f>IF(($E57&gt;0),L57,L56)</f>
        <v>100</v>
      </c>
      <c r="M63" s="58"/>
    </row>
    <row r="64" spans="2:18" ht="15" hidden="1" customHeight="1" x14ac:dyDescent="0.25">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11.002000000000001</v>
      </c>
      <c r="D66" s="56">
        <f>D60</f>
        <v>0.115</v>
      </c>
      <c r="E66" s="56">
        <f>MAX(C66:D66)</f>
        <v>11.002000000000001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1.06</v>
      </c>
      <c r="D68" s="49">
        <f t="shared" si="12"/>
        <v>0</v>
      </c>
      <c r="E68" s="49">
        <f>MAX(C68:D68)</f>
        <v>1.06</v>
      </c>
      <c r="G68" s="1" t="str">
        <f>G62</f>
        <v>per 100 referrals</v>
      </c>
      <c r="L68" s="58">
        <f>IF(($E62&gt;0),L62,L61)</f>
        <v>100</v>
      </c>
      <c r="M68" s="58">
        <f>IF((B68=G68),1,2)</f>
        <v>1</v>
      </c>
    </row>
    <row r="69" spans="2:13" ht="15" hidden="1" customHeight="1" x14ac:dyDescent="0.25">
      <c r="B69" s="49" t="str">
        <f>IF(($E63&gt;0),B63,B61)</f>
        <v>per 100 youth petitioned</v>
      </c>
      <c r="C69" s="49">
        <f>IF(($E63&gt;0),C63,C62)</f>
        <v>0.63</v>
      </c>
      <c r="D69" s="49">
        <f>IF(($E63&gt;0),D63,D62)</f>
        <v>0</v>
      </c>
      <c r="E69" s="49">
        <f>MAX(C69:D69)</f>
        <v>0.63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Muskegon</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11002</v>
      </c>
      <c r="D6" s="34"/>
      <c r="E6" s="33">
        <f>'Data Entry'!E6</f>
        <v>1591</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2.0905289947282313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1591</v>
      </c>
      <c r="P7" s="42">
        <f t="shared" ref="P7:P15" si="4">C7</f>
        <v>23</v>
      </c>
      <c r="Q7" s="42">
        <f>C6-C7</f>
        <v>10979</v>
      </c>
      <c r="R7" s="42">
        <f t="shared" ref="R7:R15" si="5">SUM(N7:Q7)</f>
        <v>12593</v>
      </c>
      <c r="S7" s="30">
        <f t="shared" ref="S7:S15" si="6">R7*((((N7*Q7)-(O7*P7))^2))</f>
        <v>16862627043857</v>
      </c>
      <c r="T7" s="30">
        <f t="shared" ref="T7:T15" si="7">(N7+O7)*(P7+Q7)*(N7+P7)*(O7+Q7)</f>
        <v>5060634058020</v>
      </c>
      <c r="U7" s="31">
        <f t="shared" ref="U7:U15" si="8">IF((S7&gt;0),S7/T7,"- -")</f>
        <v>3.3321174482342619</v>
      </c>
    </row>
    <row r="8" spans="2:21" ht="18" customHeight="1" x14ac:dyDescent="0.25">
      <c r="B8" s="32" t="str">
        <f>'Data Entry'!A8</f>
        <v>3. Refer to Juvenile Court</v>
      </c>
      <c r="C8" s="33">
        <f>'Data Entry'!C8</f>
        <v>106</v>
      </c>
      <c r="D8" s="34">
        <f>IF((AND(C67&gt;0,C8&gt;0)),(C8/C67),0)</f>
        <v>460.86956521739131</v>
      </c>
      <c r="E8" s="33">
        <f>'Data Entry'!E8</f>
        <v>3</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v>
      </c>
      <c r="O8" s="42">
        <f>((D67*L67)-E8)+0.05</f>
        <v>-2.95</v>
      </c>
      <c r="P8" s="42">
        <f t="shared" si="4"/>
        <v>106</v>
      </c>
      <c r="Q8" s="42">
        <f>(C$67*L67)-C8</f>
        <v>-83</v>
      </c>
      <c r="R8" s="42">
        <f t="shared" si="5"/>
        <v>23.049999999999997</v>
      </c>
      <c r="S8" s="30">
        <f t="shared" si="6"/>
        <v>93529.754500000126</v>
      </c>
      <c r="T8" s="30">
        <f t="shared" si="7"/>
        <v>-10773.832499999962</v>
      </c>
      <c r="U8" s="31">
        <f t="shared" si="8"/>
        <v>-8.6811962688300994</v>
      </c>
    </row>
    <row r="9" spans="2:21" ht="18" customHeight="1" x14ac:dyDescent="0.25">
      <c r="B9" s="32" t="str">
        <f>'Data Entry'!A9</f>
        <v xml:space="preserve">4. Cases Diverted </v>
      </c>
      <c r="C9" s="33">
        <f>'Data Entry'!C9</f>
        <v>18</v>
      </c>
      <c r="D9" s="34">
        <f>IF((AND(C68&gt;0,C9&gt;0)),((C9/C68)),0)</f>
        <v>16.981132075471699</v>
      </c>
      <c r="E9" s="33">
        <f>'Data Entry'!E9</f>
        <v>1</v>
      </c>
      <c r="F9" s="34">
        <f>IF((AND($E$9&gt;0,$D$68&gt;0)),(($E$9/$D$68)),0)</f>
        <v>33.333333333333336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2</v>
      </c>
      <c r="P9" s="42">
        <f t="shared" si="4"/>
        <v>18</v>
      </c>
      <c r="Q9" s="42">
        <f>(C$68*L68)-C9</f>
        <v>88</v>
      </c>
      <c r="R9" s="42">
        <f t="shared" si="5"/>
        <v>109</v>
      </c>
      <c r="S9" s="30">
        <f t="shared" si="6"/>
        <v>294736</v>
      </c>
      <c r="T9" s="30">
        <f t="shared" si="7"/>
        <v>543780</v>
      </c>
      <c r="U9" s="31">
        <f t="shared" si="8"/>
        <v>0.54201331420795174</v>
      </c>
    </row>
    <row r="10" spans="2:21" ht="18" customHeight="1" x14ac:dyDescent="0.25">
      <c r="B10" s="32" t="str">
        <f>'Data Entry'!A10</f>
        <v>5. Cases Involving Secure Detention</v>
      </c>
      <c r="C10" s="33">
        <f>'Data Entry'!C10</f>
        <v>2</v>
      </c>
      <c r="D10" s="34">
        <f>IF(((AND(C68&gt;0,C10&gt;0))),(C10/(C68)),0)</f>
        <v>1.8867924528301885</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2</v>
      </c>
      <c r="Q10" s="42">
        <f>(C$68*L68)-C10</f>
        <v>104</v>
      </c>
      <c r="R10" s="42">
        <f t="shared" si="5"/>
        <v>109</v>
      </c>
      <c r="S10" s="30">
        <f t="shared" si="6"/>
        <v>3924</v>
      </c>
      <c r="T10" s="30">
        <f t="shared" si="7"/>
        <v>68052</v>
      </c>
      <c r="U10" s="31">
        <f t="shared" si="8"/>
        <v>5.7661788044436606E-2</v>
      </c>
    </row>
    <row r="11" spans="2:21" ht="18" customHeight="1" x14ac:dyDescent="0.25">
      <c r="B11" s="32" t="str">
        <f>'Data Entry'!A11</f>
        <v>6. Cases Petitioned (Charge Filed)</v>
      </c>
      <c r="C11" s="33">
        <f>'Data Entry'!C11</f>
        <v>63</v>
      </c>
      <c r="D11" s="34">
        <f>IF(((AND(C68&gt;0,C11&gt;0))),(C11/(C68)),0)</f>
        <v>59.433962264150942</v>
      </c>
      <c r="E11" s="33">
        <f>'Data Entry'!E11</f>
        <v>0</v>
      </c>
      <c r="F11" s="34">
        <f>IF(((AND($E$11&gt;0,$D$68&gt;0))),($E$11/($D$68)),0)</f>
        <v>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0</v>
      </c>
      <c r="O11" s="42">
        <f>(D$68*L68)-E11</f>
        <v>3</v>
      </c>
      <c r="P11" s="42">
        <f t="shared" si="4"/>
        <v>63</v>
      </c>
      <c r="Q11" s="42">
        <f>(C$68*L68)-C11</f>
        <v>43</v>
      </c>
      <c r="R11" s="42">
        <f t="shared" si="5"/>
        <v>109</v>
      </c>
      <c r="S11" s="30">
        <f t="shared" si="6"/>
        <v>3893589</v>
      </c>
      <c r="T11" s="30">
        <f t="shared" si="7"/>
        <v>921564</v>
      </c>
      <c r="U11" s="31">
        <f t="shared" si="8"/>
        <v>4.2249794913863825</v>
      </c>
    </row>
    <row r="12" spans="2:21" ht="18" customHeight="1" x14ac:dyDescent="0.25">
      <c r="B12" s="32" t="str">
        <f>'Data Entry'!A12</f>
        <v>7. Cases Resulting in Delinquent Findings</v>
      </c>
      <c r="C12" s="33">
        <f>'Data Entry'!C12</f>
        <v>39</v>
      </c>
      <c r="D12" s="34">
        <f>IF(((AND(C69&gt;0,C12&gt;0))),(C12/(C69)),0)</f>
        <v>61.904761904761905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24</v>
      </c>
      <c r="R12" s="42">
        <f t="shared" si="5"/>
        <v>63</v>
      </c>
      <c r="S12" s="30">
        <f t="shared" si="6"/>
        <v>0</v>
      </c>
      <c r="T12" s="30">
        <f t="shared" si="7"/>
        <v>0</v>
      </c>
      <c r="U12" s="31" t="str">
        <f t="shared" si="8"/>
        <v>- -</v>
      </c>
    </row>
    <row r="13" spans="2:21" ht="18" customHeight="1" x14ac:dyDescent="0.25">
      <c r="B13" s="32" t="str">
        <f>'Data Entry'!A13</f>
        <v>8. Cases Resulting in Probation Placement</v>
      </c>
      <c r="C13" s="33">
        <f>'Data Entry'!C13</f>
        <v>56</v>
      </c>
      <c r="D13" s="34">
        <f>IF(((AND(C70&gt;0,C13&gt;0))),(C13/(C70)),0)</f>
        <v>143.58974358974359</v>
      </c>
      <c r="E13" s="33">
        <f>'Data Entry'!E13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56</v>
      </c>
      <c r="Q13" s="42">
        <f>(C70*L70)-C13</f>
        <v>-17</v>
      </c>
      <c r="R13" s="42">
        <f t="shared" si="5"/>
        <v>39</v>
      </c>
      <c r="S13" s="30">
        <f t="shared" si="6"/>
        <v>59319</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6</v>
      </c>
      <c r="D14" s="34">
        <f>IF(((AND(C70&gt;0,C14&gt;0))), ((C14/(C70))),0)</f>
        <v>15.384615384615383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33</v>
      </c>
      <c r="R14" s="42">
        <f t="shared" si="5"/>
        <v>39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63</v>
      </c>
      <c r="R15" s="42">
        <f t="shared" si="5"/>
        <v>63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11.002000000000001</v>
      </c>
      <c r="D42" s="56">
        <f>E6/1000</f>
        <v>1.591</v>
      </c>
      <c r="E42" s="56">
        <f>MAX(C42:D42)</f>
        <v>11.002000000000001</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1.06</v>
      </c>
      <c r="D44" s="56">
        <f>E8/100</f>
        <v>0.03</v>
      </c>
      <c r="E44" s="56">
        <f>MAX(C44:D44,0)</f>
        <v>1.06</v>
      </c>
      <c r="G44" s="1" t="str">
        <f>B44</f>
        <v>per 100 referrals</v>
      </c>
      <c r="L44" s="57">
        <v>100</v>
      </c>
      <c r="M44" s="57"/>
      <c r="R44" s="49"/>
    </row>
    <row r="45" spans="2:18" ht="15" hidden="1" customHeight="1" x14ac:dyDescent="0.25">
      <c r="B45" s="49" t="s">
        <v>89</v>
      </c>
      <c r="C45" s="49">
        <f>C11/100</f>
        <v>0.63</v>
      </c>
      <c r="D45" s="49">
        <f>E11/100</f>
        <v>0</v>
      </c>
      <c r="E45" s="56">
        <f>MAX(C45:D45,0)</f>
        <v>0.63</v>
      </c>
      <c r="G45" s="1" t="str">
        <f>B45</f>
        <v>per 100 youth petitioned</v>
      </c>
      <c r="L45" s="57">
        <v>100</v>
      </c>
      <c r="M45" s="57"/>
      <c r="R45" s="49"/>
    </row>
    <row r="46" spans="2:18" ht="15" hidden="1" customHeight="1" x14ac:dyDescent="0.25">
      <c r="B46" s="49" t="s">
        <v>90</v>
      </c>
      <c r="C46" s="49">
        <f>C12/100</f>
        <v>0.39</v>
      </c>
      <c r="D46" s="49">
        <f>E12/100</f>
        <v>0</v>
      </c>
      <c r="E46" s="56">
        <f>MAX(C46:D46)</f>
        <v>0.39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11.002000000000001</v>
      </c>
      <c r="D48" s="56">
        <f>D42</f>
        <v>1.591</v>
      </c>
      <c r="E48" s="56">
        <f>MAX(C48:D48)</f>
        <v>11.002000000000001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1.06</v>
      </c>
      <c r="D50" s="49">
        <f t="shared" si="9"/>
        <v>0.03</v>
      </c>
      <c r="E50" s="49">
        <f>MAX(C50:D50)</f>
        <v>1.06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0.63</v>
      </c>
      <c r="D51" s="49">
        <f>IF(($E45&gt;0),D45,D44)</f>
        <v>0</v>
      </c>
      <c r="E51" s="49">
        <f>MAX(C51:D51)</f>
        <v>0.63</v>
      </c>
      <c r="G51" s="1" t="str">
        <f>G45</f>
        <v>per 100 youth petitioned</v>
      </c>
      <c r="L51" s="58">
        <f>IF(($E45&gt;0),L45,L44)</f>
        <v>100</v>
      </c>
      <c r="M51" s="58"/>
    </row>
    <row r="52" spans="2:18" ht="15" hidden="1" customHeight="1" x14ac:dyDescent="0.25">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11.002000000000001</v>
      </c>
      <c r="D54" s="56">
        <f>D48</f>
        <v>1.591</v>
      </c>
      <c r="E54" s="56">
        <f>MAX(C54:D54)</f>
        <v>11.002000000000001</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1.06</v>
      </c>
      <c r="D56" s="49">
        <f t="shared" si="10"/>
        <v>0.03</v>
      </c>
      <c r="E56" s="49">
        <f>MAX(C56:D56)</f>
        <v>1.06</v>
      </c>
      <c r="G56" s="1" t="str">
        <f>G50</f>
        <v>per 100 referrals</v>
      </c>
      <c r="L56" s="58">
        <f>IF(($E50&gt;0),L50,L49)</f>
        <v>100</v>
      </c>
      <c r="M56" s="58"/>
    </row>
    <row r="57" spans="2:18" ht="15" hidden="1" customHeight="1" x14ac:dyDescent="0.25">
      <c r="B57" s="49" t="str">
        <f>IF(($E51&gt;0),B51,B49)</f>
        <v>per 100 youth petitioned</v>
      </c>
      <c r="C57" s="49">
        <f>IF(($E51&gt;0),C51,C50)</f>
        <v>0.63</v>
      </c>
      <c r="D57" s="49">
        <f>IF(($E51&gt;0),D51,D50)</f>
        <v>0</v>
      </c>
      <c r="E57" s="49">
        <f>MAX(C57:D57)</f>
        <v>0.63</v>
      </c>
      <c r="G57" s="1" t="str">
        <f>G51</f>
        <v>per 100 youth petitioned</v>
      </c>
      <c r="L57" s="58">
        <f>IF(($E51&gt;0),L51,L50)</f>
        <v>100</v>
      </c>
      <c r="M57" s="58"/>
    </row>
    <row r="58" spans="2:18" ht="15" hidden="1" customHeight="1" x14ac:dyDescent="0.25">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11.002000000000001</v>
      </c>
      <c r="D60" s="56">
        <f>D54</f>
        <v>1.591</v>
      </c>
      <c r="E60" s="56">
        <f>MAX(C60:D60)</f>
        <v>11.002000000000001</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1.06</v>
      </c>
      <c r="D62" s="49">
        <f t="shared" si="11"/>
        <v>0.03</v>
      </c>
      <c r="E62" s="49">
        <f>MAX(C62:D62)</f>
        <v>1.06</v>
      </c>
      <c r="G62" s="1" t="str">
        <f>G56</f>
        <v>per 100 referrals</v>
      </c>
      <c r="L62" s="58">
        <f>IF(($E56&gt;0),L56,L55)</f>
        <v>100</v>
      </c>
      <c r="M62" s="58"/>
    </row>
    <row r="63" spans="2:18" ht="15" hidden="1" customHeight="1" x14ac:dyDescent="0.25">
      <c r="B63" s="49" t="str">
        <f>IF(($E57&gt;0),B57,B55)</f>
        <v>per 100 youth petitioned</v>
      </c>
      <c r="C63" s="49">
        <f>IF(($E57&gt;0),C57,C56)</f>
        <v>0.63</v>
      </c>
      <c r="D63" s="49">
        <f>IF(($E57&gt;0),D57,D56)</f>
        <v>0</v>
      </c>
      <c r="E63" s="49">
        <f>MAX(C63:D63)</f>
        <v>0.63</v>
      </c>
      <c r="G63" s="1" t="str">
        <f>G57</f>
        <v>per 100 youth petitioned</v>
      </c>
      <c r="L63" s="58">
        <f>IF(($E57&gt;0),L57,L56)</f>
        <v>100</v>
      </c>
      <c r="M63" s="58"/>
    </row>
    <row r="64" spans="2:18" ht="15" hidden="1" customHeight="1" x14ac:dyDescent="0.25">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11.002000000000001</v>
      </c>
      <c r="D66" s="56">
        <f>D60</f>
        <v>1.591</v>
      </c>
      <c r="E66" s="56">
        <f>MAX(C66:D66)</f>
        <v>11.002000000000001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1.06</v>
      </c>
      <c r="D68" s="49">
        <f t="shared" si="12"/>
        <v>0.03</v>
      </c>
      <c r="E68" s="49">
        <f>MAX(C68:D68)</f>
        <v>1.06</v>
      </c>
      <c r="G68" s="1" t="str">
        <f>G62</f>
        <v>per 100 referrals</v>
      </c>
      <c r="L68" s="58">
        <f>IF(($E62&gt;0),L62,L61)</f>
        <v>100</v>
      </c>
      <c r="M68" s="58">
        <f>IF((B68=G68),1,2)</f>
        <v>1</v>
      </c>
    </row>
    <row r="69" spans="2:13" ht="15" hidden="1" customHeight="1" x14ac:dyDescent="0.25">
      <c r="B69" s="49" t="str">
        <f>IF(($E63&gt;0),B63,B61)</f>
        <v>per 100 youth petitioned</v>
      </c>
      <c r="C69" s="49">
        <f>IF(($E63&gt;0),C63,C62)</f>
        <v>0.63</v>
      </c>
      <c r="D69" s="49">
        <f>IF(($E63&gt;0),D63,D62)</f>
        <v>0</v>
      </c>
      <c r="E69" s="49">
        <f>MAX(C69:D69)</f>
        <v>0.63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Muskegon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11002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2.0905289947282313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10979</v>
      </c>
      <c r="R7" s="42">
        <f t="shared" ref="R7:R15" si="5">SUM(N7:Q7)</f>
        <v>11002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106</v>
      </c>
      <c r="D8" s="34">
        <f>IF((AND(C67&gt;0,C8&gt;0)),(C8/C67),0)</f>
        <v>460.86956521739131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106</v>
      </c>
      <c r="Q8" s="42">
        <f>(C$67*L67)-C8</f>
        <v>-83</v>
      </c>
      <c r="R8" s="42">
        <f t="shared" si="5"/>
        <v>23.049999999999997</v>
      </c>
      <c r="S8" s="30">
        <f t="shared" si="6"/>
        <v>647.47450000000003</v>
      </c>
      <c r="T8" s="30">
        <f t="shared" si="7"/>
        <v>-10111.605000000001</v>
      </c>
      <c r="U8" s="31">
        <f t="shared" si="8"/>
        <v>-6.4032811803862985E-2</v>
      </c>
    </row>
    <row r="9" spans="2:21" ht="18" customHeight="1" x14ac:dyDescent="0.25">
      <c r="B9" s="32" t="str">
        <f>'Data Entry'!A9</f>
        <v xml:space="preserve">4. Cases Diverted </v>
      </c>
      <c r="C9" s="33">
        <f>'Data Entry'!C9</f>
        <v>18</v>
      </c>
      <c r="D9" s="34">
        <f>IF((AND(C68&gt;0,C9&gt;0)),((C9/C68)),0)</f>
        <v>16.981132075471699</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18</v>
      </c>
      <c r="Q9" s="42">
        <f>(C$68*L68)-C9</f>
        <v>88</v>
      </c>
      <c r="R9" s="42">
        <f t="shared" si="5"/>
        <v>106</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1.8867924528301885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104</v>
      </c>
      <c r="R10" s="42">
        <f t="shared" si="5"/>
        <v>106</v>
      </c>
      <c r="S10" s="30">
        <f t="shared" si="6"/>
        <v>0</v>
      </c>
      <c r="T10" s="30">
        <f t="shared" si="7"/>
        <v>0</v>
      </c>
      <c r="U10" s="31" t="str">
        <f t="shared" si="8"/>
        <v>- -</v>
      </c>
    </row>
    <row r="11" spans="2:21" ht="18" customHeight="1" x14ac:dyDescent="0.25">
      <c r="B11" s="32" t="str">
        <f>'Data Entry'!A11</f>
        <v>6. Cases Petitioned (Charge Filed)</v>
      </c>
      <c r="C11" s="33">
        <f>'Data Entry'!C11</f>
        <v>63</v>
      </c>
      <c r="D11" s="34">
        <f>IF(((AND(C68&gt;0,C11&gt;0))),(C11/(C68)),0)</f>
        <v>59.433962264150942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63</v>
      </c>
      <c r="Q11" s="42">
        <f>(C$68*L68)-C11</f>
        <v>43</v>
      </c>
      <c r="R11" s="42">
        <f t="shared" si="5"/>
        <v>106</v>
      </c>
      <c r="S11" s="30">
        <f t="shared" si="6"/>
        <v>0</v>
      </c>
      <c r="T11" s="30">
        <f t="shared" si="7"/>
        <v>0</v>
      </c>
      <c r="U11" s="31" t="str">
        <f t="shared" si="8"/>
        <v>- -</v>
      </c>
    </row>
    <row r="12" spans="2:21" ht="18" customHeight="1" x14ac:dyDescent="0.25">
      <c r="B12" s="32" t="str">
        <f>'Data Entry'!A12</f>
        <v>7. Cases Resulting in Delinquent Findings</v>
      </c>
      <c r="C12" s="33">
        <f>'Data Entry'!C12</f>
        <v>39</v>
      </c>
      <c r="D12" s="34">
        <f>IF(((AND(C69&gt;0,C12&gt;0))),(C12/(C69)),0)</f>
        <v>61.904761904761905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24</v>
      </c>
      <c r="R12" s="42">
        <f t="shared" si="5"/>
        <v>63</v>
      </c>
      <c r="S12" s="30">
        <f t="shared" si="6"/>
        <v>0</v>
      </c>
      <c r="T12" s="30">
        <f t="shared" si="7"/>
        <v>0</v>
      </c>
      <c r="U12" s="31" t="str">
        <f t="shared" si="8"/>
        <v>- -</v>
      </c>
    </row>
    <row r="13" spans="2:21" ht="18" customHeight="1" x14ac:dyDescent="0.25">
      <c r="B13" s="32" t="str">
        <f>'Data Entry'!A13</f>
        <v>8. Cases Resulting in Probation Placement</v>
      </c>
      <c r="C13" s="33">
        <f>'Data Entry'!C13</f>
        <v>56</v>
      </c>
      <c r="D13" s="34">
        <f>IF(((AND(C70&gt;0,C13&gt;0))),(C13/(C70)),0)</f>
        <v>143.58974358974359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56</v>
      </c>
      <c r="Q13" s="42">
        <f>(C70*L70)-C13</f>
        <v>-17</v>
      </c>
      <c r="R13" s="42">
        <f t="shared" si="5"/>
        <v>39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15.384615384615383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33</v>
      </c>
      <c r="R14" s="42">
        <f t="shared" si="5"/>
        <v>39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63</v>
      </c>
      <c r="R15" s="42">
        <f t="shared" si="5"/>
        <v>63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11.002000000000001</v>
      </c>
      <c r="D42" s="56">
        <f>E6/1000</f>
        <v>0</v>
      </c>
      <c r="E42" s="56">
        <f>MAX(C42:D42)</f>
        <v>11.002000000000001</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1.06</v>
      </c>
      <c r="D44" s="56">
        <f>E8/100</f>
        <v>0</v>
      </c>
      <c r="E44" s="56">
        <f>MAX(C44:D44,0)</f>
        <v>1.06</v>
      </c>
      <c r="G44" s="1" t="str">
        <f>B44</f>
        <v>per 100 referrals</v>
      </c>
      <c r="L44" s="57">
        <v>100</v>
      </c>
      <c r="M44" s="57"/>
      <c r="R44" s="49"/>
    </row>
    <row r="45" spans="2:18" ht="15" hidden="1" customHeight="1" x14ac:dyDescent="0.25">
      <c r="B45" s="49" t="s">
        <v>89</v>
      </c>
      <c r="C45" s="49">
        <f>C11/100</f>
        <v>0.63</v>
      </c>
      <c r="D45" s="49">
        <f>E11/100</f>
        <v>0</v>
      </c>
      <c r="E45" s="56">
        <f>MAX(C45:D45,0)</f>
        <v>0.63</v>
      </c>
      <c r="G45" s="1" t="str">
        <f>B45</f>
        <v>per 100 youth petitioned</v>
      </c>
      <c r="L45" s="57">
        <v>100</v>
      </c>
      <c r="M45" s="57"/>
      <c r="R45" s="49"/>
    </row>
    <row r="46" spans="2:18" ht="15" hidden="1" customHeight="1" x14ac:dyDescent="0.25">
      <c r="B46" s="49" t="s">
        <v>90</v>
      </c>
      <c r="C46" s="49">
        <f>C12/100</f>
        <v>0.39</v>
      </c>
      <c r="D46" s="49">
        <f>E12/100</f>
        <v>0</v>
      </c>
      <c r="E46" s="56">
        <f>MAX(C46:D46)</f>
        <v>0.39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11.002000000000001</v>
      </c>
      <c r="D48" s="56">
        <f>D42</f>
        <v>0</v>
      </c>
      <c r="E48" s="56">
        <f>MAX(C48:D48)</f>
        <v>11.002000000000001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1.06</v>
      </c>
      <c r="D50" s="49">
        <f t="shared" si="9"/>
        <v>0</v>
      </c>
      <c r="E50" s="49">
        <f>MAX(C50:D50)</f>
        <v>1.06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0.63</v>
      </c>
      <c r="D51" s="49">
        <f>IF(($E45&gt;0),D45,D44)</f>
        <v>0</v>
      </c>
      <c r="E51" s="49">
        <f>MAX(C51:D51)</f>
        <v>0.63</v>
      </c>
      <c r="G51" s="1" t="str">
        <f>G45</f>
        <v>per 100 youth petitioned</v>
      </c>
      <c r="L51" s="58">
        <f>IF(($E45&gt;0),L45,L44)</f>
        <v>100</v>
      </c>
      <c r="M51" s="58"/>
    </row>
    <row r="52" spans="2:18" ht="15" hidden="1" customHeight="1" x14ac:dyDescent="0.25">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11.002000000000001</v>
      </c>
      <c r="D54" s="56">
        <f>D48</f>
        <v>0</v>
      </c>
      <c r="E54" s="56">
        <f>MAX(C54:D54)</f>
        <v>11.002000000000001</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1.06</v>
      </c>
      <c r="D56" s="49">
        <f t="shared" si="10"/>
        <v>0</v>
      </c>
      <c r="E56" s="49">
        <f>MAX(C56:D56)</f>
        <v>1.06</v>
      </c>
      <c r="G56" s="1" t="str">
        <f>G50</f>
        <v>per 100 referrals</v>
      </c>
      <c r="L56" s="58">
        <f>IF(($E50&gt;0),L50,L49)</f>
        <v>100</v>
      </c>
      <c r="M56" s="58"/>
    </row>
    <row r="57" spans="2:18" ht="15" hidden="1" customHeight="1" x14ac:dyDescent="0.25">
      <c r="B57" s="49" t="str">
        <f>IF(($E51&gt;0),B51,B49)</f>
        <v>per 100 youth petitioned</v>
      </c>
      <c r="C57" s="49">
        <f>IF(($E51&gt;0),C51,C50)</f>
        <v>0.63</v>
      </c>
      <c r="D57" s="49">
        <f>IF(($E51&gt;0),D51,D50)</f>
        <v>0</v>
      </c>
      <c r="E57" s="49">
        <f>MAX(C57:D57)</f>
        <v>0.63</v>
      </c>
      <c r="G57" s="1" t="str">
        <f>G51</f>
        <v>per 100 youth petitioned</v>
      </c>
      <c r="L57" s="58">
        <f>IF(($E51&gt;0),L51,L50)</f>
        <v>100</v>
      </c>
      <c r="M57" s="58"/>
    </row>
    <row r="58" spans="2:18" ht="15" hidden="1" customHeight="1" x14ac:dyDescent="0.25">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11.002000000000001</v>
      </c>
      <c r="D60" s="56">
        <f>D54</f>
        <v>0</v>
      </c>
      <c r="E60" s="56">
        <f>MAX(C60:D60)</f>
        <v>11.002000000000001</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1.06</v>
      </c>
      <c r="D62" s="49">
        <f t="shared" si="11"/>
        <v>0</v>
      </c>
      <c r="E62" s="49">
        <f>MAX(C62:D62)</f>
        <v>1.06</v>
      </c>
      <c r="G62" s="1" t="str">
        <f>G56</f>
        <v>per 100 referrals</v>
      </c>
      <c r="L62" s="58">
        <f>IF(($E56&gt;0),L56,L55)</f>
        <v>100</v>
      </c>
      <c r="M62" s="58"/>
    </row>
    <row r="63" spans="2:18" ht="15" hidden="1" customHeight="1" x14ac:dyDescent="0.25">
      <c r="B63" s="49" t="str">
        <f>IF(($E57&gt;0),B57,B55)</f>
        <v>per 100 youth petitioned</v>
      </c>
      <c r="C63" s="49">
        <f>IF(($E57&gt;0),C57,C56)</f>
        <v>0.63</v>
      </c>
      <c r="D63" s="49">
        <f>IF(($E57&gt;0),D57,D56)</f>
        <v>0</v>
      </c>
      <c r="E63" s="49">
        <f>MAX(C63:D63)</f>
        <v>0.63</v>
      </c>
      <c r="G63" s="1" t="str">
        <f>G57</f>
        <v>per 100 youth petitioned</v>
      </c>
      <c r="L63" s="58">
        <f>IF(($E57&gt;0),L57,L56)</f>
        <v>100</v>
      </c>
      <c r="M63" s="58"/>
    </row>
    <row r="64" spans="2:18" ht="15" hidden="1" customHeight="1" x14ac:dyDescent="0.25">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11.002000000000001</v>
      </c>
      <c r="D66" s="56">
        <f>D60</f>
        <v>0</v>
      </c>
      <c r="E66" s="56">
        <f>MAX(C66:D66)</f>
        <v>11.002000000000001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1.06</v>
      </c>
      <c r="D68" s="49">
        <f t="shared" si="12"/>
        <v>0</v>
      </c>
      <c r="E68" s="49">
        <f>MAX(C68:D68)</f>
        <v>1.06</v>
      </c>
      <c r="G68" s="1" t="str">
        <f>G62</f>
        <v>per 100 referrals</v>
      </c>
      <c r="L68" s="58">
        <f>IF(($E62&gt;0),L62,L61)</f>
        <v>100</v>
      </c>
      <c r="M68" s="58">
        <f>IF((B68=G68),1,2)</f>
        <v>1</v>
      </c>
    </row>
    <row r="69" spans="2:13" ht="15" hidden="1" customHeight="1" x14ac:dyDescent="0.25">
      <c r="B69" s="49" t="str">
        <f>IF(($E63&gt;0),B63,B61)</f>
        <v>per 100 youth petitioned</v>
      </c>
      <c r="C69" s="49">
        <f>IF(($E63&gt;0),C63,C62)</f>
        <v>0.63</v>
      </c>
      <c r="D69" s="49">
        <f>IF(($E63&gt;0),D63,D62)</f>
        <v>0</v>
      </c>
      <c r="E69" s="49">
        <f>MAX(C69:D69)</f>
        <v>0.63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Muskegon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11002</v>
      </c>
      <c r="D6" s="34"/>
      <c r="E6" s="33">
        <f>'Data Entry'!H6</f>
        <v>110</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2.0905289947282313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110</v>
      </c>
      <c r="P7" s="42">
        <f t="shared" ref="P7:P15" si="4">C7</f>
        <v>23</v>
      </c>
      <c r="Q7" s="42">
        <f>C6-C7</f>
        <v>10979</v>
      </c>
      <c r="R7" s="42">
        <f t="shared" ref="R7:R15" si="5">SUM(N7:Q7)</f>
        <v>11112</v>
      </c>
      <c r="S7" s="30">
        <f t="shared" ref="S7:S15" si="6">R7*((((N7*Q7)-(O7*P7))^2))</f>
        <v>71126800800</v>
      </c>
      <c r="T7" s="30">
        <f t="shared" ref="T7:T15" si="7">(N7+O7)*(P7+Q7)*(N7+P7)*(O7+Q7)</f>
        <v>308662980340</v>
      </c>
      <c r="U7" s="31">
        <f t="shared" ref="U7:U15" si="8">IF((S7&gt;0),S7/T7,"- -")</f>
        <v>0.23043515202779435</v>
      </c>
    </row>
    <row r="8" spans="2:21" ht="18" customHeight="1" x14ac:dyDescent="0.25">
      <c r="B8" s="32" t="str">
        <f>'Data Entry'!A8</f>
        <v>3. Refer to Juvenile Court</v>
      </c>
      <c r="C8" s="33">
        <f>'Data Entry'!C8</f>
        <v>106</v>
      </c>
      <c r="D8" s="34">
        <f>IF((AND(C67&gt;0,C8&gt;0)),(C8/C67),0)</f>
        <v>460.86956521739131</v>
      </c>
      <c r="E8" s="33">
        <f>'Data Entry'!H8</f>
        <v>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4</v>
      </c>
      <c r="O8" s="42">
        <f>((D67*L67)-E8)+0.05</f>
        <v>-3.95</v>
      </c>
      <c r="P8" s="42">
        <f t="shared" si="4"/>
        <v>106</v>
      </c>
      <c r="Q8" s="42">
        <f>(C$67*L67)-C8</f>
        <v>-83</v>
      </c>
      <c r="R8" s="42">
        <f t="shared" si="5"/>
        <v>23.049999999999997</v>
      </c>
      <c r="S8" s="30">
        <f t="shared" si="6"/>
        <v>173264.31450000015</v>
      </c>
      <c r="T8" s="30">
        <f t="shared" si="7"/>
        <v>-10999.174999999961</v>
      </c>
      <c r="U8" s="31">
        <f t="shared" si="8"/>
        <v>-15.752482754388467</v>
      </c>
    </row>
    <row r="9" spans="2:21" ht="18" customHeight="1" x14ac:dyDescent="0.25">
      <c r="B9" s="32" t="str">
        <f>'Data Entry'!A9</f>
        <v xml:space="preserve">4. Cases Diverted </v>
      </c>
      <c r="C9" s="33">
        <f>'Data Entry'!C9</f>
        <v>18</v>
      </c>
      <c r="D9" s="34">
        <f>IF((AND(C68&gt;0,C9&gt;0)),((C9/C68)),0)</f>
        <v>16.981132075471699</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4</v>
      </c>
      <c r="P9" s="42">
        <f t="shared" si="4"/>
        <v>18</v>
      </c>
      <c r="Q9" s="42">
        <f>(C$68*L68)-C9</f>
        <v>88</v>
      </c>
      <c r="R9" s="42">
        <f t="shared" si="5"/>
        <v>110</v>
      </c>
      <c r="S9" s="30">
        <f t="shared" si="6"/>
        <v>570240</v>
      </c>
      <c r="T9" s="30">
        <f t="shared" si="7"/>
        <v>702144</v>
      </c>
      <c r="U9" s="31">
        <f t="shared" si="8"/>
        <v>0.81214109926168987</v>
      </c>
    </row>
    <row r="10" spans="2:21" ht="18" customHeight="1" x14ac:dyDescent="0.25">
      <c r="B10" s="32" t="str">
        <f>'Data Entry'!A10</f>
        <v>5. Cases Involving Secure Detention</v>
      </c>
      <c r="C10" s="33">
        <f>'Data Entry'!C10</f>
        <v>2</v>
      </c>
      <c r="D10" s="34">
        <f>IF(((AND(C68&gt;0,C10&gt;0))),(C10/(C68)),0)</f>
        <v>1.8867924528301885</v>
      </c>
      <c r="E10" s="33">
        <f>'Data Entry'!H10</f>
        <v>1</v>
      </c>
      <c r="F10" s="34">
        <f>IF(((AND($E$10&gt;0,$D$68&gt;0))),($E$10/($D$68)),0)</f>
        <v>25</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1</v>
      </c>
      <c r="O10" s="42">
        <f>(D$68*L68)-E10</f>
        <v>3</v>
      </c>
      <c r="P10" s="42">
        <f t="shared" si="4"/>
        <v>2</v>
      </c>
      <c r="Q10" s="42">
        <f>(C$68*L68)-C10</f>
        <v>104</v>
      </c>
      <c r="R10" s="42">
        <f t="shared" si="5"/>
        <v>110</v>
      </c>
      <c r="S10" s="30">
        <f t="shared" si="6"/>
        <v>1056440</v>
      </c>
      <c r="T10" s="30">
        <f t="shared" si="7"/>
        <v>136104</v>
      </c>
      <c r="U10" s="31">
        <f t="shared" si="8"/>
        <v>7.7620055251866216</v>
      </c>
    </row>
    <row r="11" spans="2:21" ht="18" customHeight="1" x14ac:dyDescent="0.25">
      <c r="B11" s="32" t="str">
        <f>'Data Entry'!A11</f>
        <v>6. Cases Petitioned (Charge Filed)</v>
      </c>
      <c r="C11" s="33">
        <f>'Data Entry'!C11</f>
        <v>63</v>
      </c>
      <c r="D11" s="34">
        <f>IF(((AND(C68&gt;0,C11&gt;0))),(C11/(C68)),0)</f>
        <v>59.433962264150942</v>
      </c>
      <c r="E11" s="33">
        <f>'Data Entry'!H11</f>
        <v>1</v>
      </c>
      <c r="F11" s="34">
        <f>IF(((AND($E$11&gt;0,$D$68&gt;0))),($E$11/($D$68)),0)</f>
        <v>25</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3</v>
      </c>
      <c r="P11" s="42">
        <f t="shared" si="4"/>
        <v>63</v>
      </c>
      <c r="Q11" s="42">
        <f>(C$68*L68)-C11</f>
        <v>43</v>
      </c>
      <c r="R11" s="42">
        <f t="shared" si="5"/>
        <v>110</v>
      </c>
      <c r="S11" s="30">
        <f t="shared" si="6"/>
        <v>2344760</v>
      </c>
      <c r="T11" s="30">
        <f t="shared" si="7"/>
        <v>1248256</v>
      </c>
      <c r="U11" s="31">
        <f t="shared" si="8"/>
        <v>1.8784287838392124</v>
      </c>
    </row>
    <row r="12" spans="2:21" ht="18" customHeight="1" x14ac:dyDescent="0.25">
      <c r="B12" s="32" t="str">
        <f>'Data Entry'!A12</f>
        <v>7. Cases Resulting in Delinquent Findings</v>
      </c>
      <c r="C12" s="33">
        <f>'Data Entry'!C12</f>
        <v>39</v>
      </c>
      <c r="D12" s="34">
        <f>IF(((AND(C69&gt;0,C12&gt;0))),(C12/(C69)),0)</f>
        <v>61.904761904761905</v>
      </c>
      <c r="E12" s="33">
        <f>'Data Entry'!H12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39</v>
      </c>
      <c r="Q12" s="42">
        <f>(C69*L69)-C12</f>
        <v>24</v>
      </c>
      <c r="R12" s="42">
        <f t="shared" si="5"/>
        <v>64</v>
      </c>
      <c r="S12" s="30">
        <f t="shared" si="6"/>
        <v>36864</v>
      </c>
      <c r="T12" s="30">
        <f t="shared" si="7"/>
        <v>60480</v>
      </c>
      <c r="U12" s="31">
        <f t="shared" si="8"/>
        <v>0.60952380952380958</v>
      </c>
    </row>
    <row r="13" spans="2:21" ht="18" customHeight="1" x14ac:dyDescent="0.25">
      <c r="B13" s="32" t="str">
        <f>'Data Entry'!A13</f>
        <v>8. Cases Resulting in Probation Placement</v>
      </c>
      <c r="C13" s="33">
        <f>'Data Entry'!C13</f>
        <v>56</v>
      </c>
      <c r="D13" s="34">
        <f>IF(((AND(C70&gt;0,C13&gt;0))),(C13/(C70)),0)</f>
        <v>143.58974358974359</v>
      </c>
      <c r="E13" s="33">
        <f>'Data Entry'!H13</f>
        <v>3</v>
      </c>
      <c r="F13" s="34">
        <f>IF(((AND($D$70&gt;0,$E$13&gt;0))),($E$13/($D$70)),0)</f>
        <v>300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3</v>
      </c>
      <c r="O13" s="42">
        <f>(D70*L70)-E13</f>
        <v>-2</v>
      </c>
      <c r="P13" s="42">
        <f t="shared" si="4"/>
        <v>56</v>
      </c>
      <c r="Q13" s="42">
        <f>(C70*L70)-C13</f>
        <v>-17</v>
      </c>
      <c r="R13" s="42">
        <f t="shared" si="5"/>
        <v>40</v>
      </c>
      <c r="S13" s="30">
        <f t="shared" si="6"/>
        <v>148840</v>
      </c>
      <c r="T13" s="30">
        <f t="shared" si="7"/>
        <v>-43719</v>
      </c>
      <c r="U13" s="31">
        <f t="shared" si="8"/>
        <v>-3.4044694526407282</v>
      </c>
    </row>
    <row r="14" spans="2:21" ht="30.75" customHeight="1" x14ac:dyDescent="0.25">
      <c r="B14" s="32" t="str">
        <f>'Data Entry'!A14</f>
        <v xml:space="preserve">9. Cases Resulting in Confinement in Secure Juvenile Correctional Facilities </v>
      </c>
      <c r="C14" s="33">
        <f>'Data Entry'!C14</f>
        <v>6</v>
      </c>
      <c r="D14" s="34">
        <f>IF(((AND(C70&gt;0,C14&gt;0))), ((C14/(C70))),0)</f>
        <v>15.384615384615383</v>
      </c>
      <c r="E14" s="33">
        <f>'Data Entry'!H14</f>
        <v>3</v>
      </c>
      <c r="F14" s="34">
        <f>IF(((AND($D$70&gt;0,$E$14&gt;0))), (($E$14/($D$70))),0)</f>
        <v>300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3</v>
      </c>
      <c r="O14" s="42">
        <f>(D70*L70)-E14</f>
        <v>-2</v>
      </c>
      <c r="P14" s="42">
        <f t="shared" si="4"/>
        <v>6</v>
      </c>
      <c r="Q14" s="42">
        <f>(C70*L70)-C14</f>
        <v>33</v>
      </c>
      <c r="R14" s="42">
        <f t="shared" si="5"/>
        <v>40</v>
      </c>
      <c r="S14" s="30">
        <f t="shared" si="6"/>
        <v>492840</v>
      </c>
      <c r="T14" s="30">
        <f t="shared" si="7"/>
        <v>10881</v>
      </c>
      <c r="U14" s="31">
        <f t="shared" si="8"/>
        <v>45.293631100082713</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63</v>
      </c>
      <c r="R15" s="42">
        <f t="shared" si="5"/>
        <v>64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11.002000000000001</v>
      </c>
      <c r="D42" s="56">
        <f>E6/1000</f>
        <v>0.11</v>
      </c>
      <c r="E42" s="56">
        <f>MAX(C42:D42)</f>
        <v>11.002000000000001</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1.06</v>
      </c>
      <c r="D44" s="56">
        <f>E8/100</f>
        <v>0.04</v>
      </c>
      <c r="E44" s="56">
        <f>MAX(C44:D44,0)</f>
        <v>1.06</v>
      </c>
      <c r="G44" s="1" t="str">
        <f>B44</f>
        <v>per 100 referrals</v>
      </c>
      <c r="L44" s="57">
        <v>100</v>
      </c>
      <c r="M44" s="57"/>
      <c r="R44" s="49"/>
    </row>
    <row r="45" spans="2:18" ht="15" hidden="1" customHeight="1" x14ac:dyDescent="0.25">
      <c r="B45" s="49" t="s">
        <v>89</v>
      </c>
      <c r="C45" s="49">
        <f>C11/100</f>
        <v>0.63</v>
      </c>
      <c r="D45" s="49">
        <f>E11/100</f>
        <v>0.01</v>
      </c>
      <c r="E45" s="56">
        <f>MAX(C45:D45,0)</f>
        <v>0.63</v>
      </c>
      <c r="G45" s="1" t="str">
        <f>B45</f>
        <v>per 100 youth petitioned</v>
      </c>
      <c r="L45" s="57">
        <v>100</v>
      </c>
      <c r="M45" s="57"/>
      <c r="R45" s="49"/>
    </row>
    <row r="46" spans="2:18" ht="15" hidden="1" customHeight="1" x14ac:dyDescent="0.25">
      <c r="B46" s="49" t="s">
        <v>90</v>
      </c>
      <c r="C46" s="49">
        <f>C12/100</f>
        <v>0.39</v>
      </c>
      <c r="D46" s="49">
        <f>E12/100</f>
        <v>0.01</v>
      </c>
      <c r="E46" s="56">
        <f>MAX(C46:D46)</f>
        <v>0.39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11.002000000000001</v>
      </c>
      <c r="D48" s="56">
        <f>D42</f>
        <v>0.11</v>
      </c>
      <c r="E48" s="56">
        <f>MAX(C48:D48)</f>
        <v>11.002000000000001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1.06</v>
      </c>
      <c r="D50" s="49">
        <f t="shared" si="9"/>
        <v>0.04</v>
      </c>
      <c r="E50" s="49">
        <f>MAX(C50:D50)</f>
        <v>1.06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0.63</v>
      </c>
      <c r="D51" s="49">
        <f>IF(($E45&gt;0),D45,D44)</f>
        <v>0.01</v>
      </c>
      <c r="E51" s="49">
        <f>MAX(C51:D51)</f>
        <v>0.63</v>
      </c>
      <c r="G51" s="1" t="str">
        <f>G45</f>
        <v>per 100 youth petitioned</v>
      </c>
      <c r="L51" s="58">
        <f>IF(($E45&gt;0),L45,L44)</f>
        <v>100</v>
      </c>
      <c r="M51" s="58"/>
    </row>
    <row r="52" spans="2:18" ht="15" hidden="1" customHeight="1" x14ac:dyDescent="0.25">
      <c r="B52" s="49" t="str">
        <f>IF(($E46&gt;0),B46,B45)</f>
        <v>per 100 youth found delinquent</v>
      </c>
      <c r="C52" s="49">
        <f>IF(($E46&gt;0),C46,C45)</f>
        <v>0.39</v>
      </c>
      <c r="D52" s="49">
        <f>IF(($E46&gt;0),D46,D45)</f>
        <v>0.01</v>
      </c>
      <c r="E52" s="56">
        <f>MAX(C52:D52)</f>
        <v>0.39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11.002000000000001</v>
      </c>
      <c r="D54" s="56">
        <f>D48</f>
        <v>0.11</v>
      </c>
      <c r="E54" s="56">
        <f>MAX(C54:D54)</f>
        <v>11.002000000000001</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1.06</v>
      </c>
      <c r="D56" s="49">
        <f t="shared" si="10"/>
        <v>0.04</v>
      </c>
      <c r="E56" s="49">
        <f>MAX(C56:D56)</f>
        <v>1.06</v>
      </c>
      <c r="G56" s="1" t="str">
        <f>G50</f>
        <v>per 100 referrals</v>
      </c>
      <c r="L56" s="58">
        <f>IF(($E50&gt;0),L50,L49)</f>
        <v>100</v>
      </c>
      <c r="M56" s="58"/>
    </row>
    <row r="57" spans="2:18" ht="15" hidden="1" customHeight="1" x14ac:dyDescent="0.25">
      <c r="B57" s="49" t="str">
        <f>IF(($E51&gt;0),B51,B49)</f>
        <v>per 100 youth petitioned</v>
      </c>
      <c r="C57" s="49">
        <f>IF(($E51&gt;0),C51,C50)</f>
        <v>0.63</v>
      </c>
      <c r="D57" s="49">
        <f>IF(($E51&gt;0),D51,D50)</f>
        <v>0.01</v>
      </c>
      <c r="E57" s="49">
        <f>MAX(C57:D57)</f>
        <v>0.63</v>
      </c>
      <c r="G57" s="1" t="str">
        <f>G51</f>
        <v>per 100 youth petitioned</v>
      </c>
      <c r="L57" s="58">
        <f>IF(($E51&gt;0),L51,L50)</f>
        <v>100</v>
      </c>
      <c r="M57" s="58"/>
    </row>
    <row r="58" spans="2:18" ht="15" hidden="1" customHeight="1" x14ac:dyDescent="0.25">
      <c r="B58" s="49" t="str">
        <f>IF(($E52&gt;0),B52,B51)</f>
        <v>per 100 youth found delinquent</v>
      </c>
      <c r="C58" s="49">
        <f>IF(($E52&gt;0),C52,C51)</f>
        <v>0.39</v>
      </c>
      <c r="D58" s="49">
        <f>IF(($E52&gt;0),D52,D51)</f>
        <v>0.01</v>
      </c>
      <c r="E58" s="56">
        <f>MAX(C58:D58)</f>
        <v>0.39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11.002000000000001</v>
      </c>
      <c r="D60" s="56">
        <f>D54</f>
        <v>0.11</v>
      </c>
      <c r="E60" s="56">
        <f>MAX(C60:D60)</f>
        <v>11.002000000000001</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1.06</v>
      </c>
      <c r="D62" s="49">
        <f t="shared" si="11"/>
        <v>0.04</v>
      </c>
      <c r="E62" s="49">
        <f>MAX(C62:D62)</f>
        <v>1.06</v>
      </c>
      <c r="G62" s="1" t="str">
        <f>G56</f>
        <v>per 100 referrals</v>
      </c>
      <c r="L62" s="58">
        <f>IF(($E56&gt;0),L56,L55)</f>
        <v>100</v>
      </c>
      <c r="M62" s="58"/>
    </row>
    <row r="63" spans="2:18" ht="15" hidden="1" customHeight="1" x14ac:dyDescent="0.25">
      <c r="B63" s="49" t="str">
        <f>IF(($E57&gt;0),B57,B55)</f>
        <v>per 100 youth petitioned</v>
      </c>
      <c r="C63" s="49">
        <f>IF(($E57&gt;0),C57,C56)</f>
        <v>0.63</v>
      </c>
      <c r="D63" s="49">
        <f>IF(($E57&gt;0),D57,D56)</f>
        <v>0.01</v>
      </c>
      <c r="E63" s="49">
        <f>MAX(C63:D63)</f>
        <v>0.63</v>
      </c>
      <c r="G63" s="1" t="str">
        <f>G57</f>
        <v>per 100 youth petitioned</v>
      </c>
      <c r="L63" s="58">
        <f>IF(($E57&gt;0),L57,L56)</f>
        <v>100</v>
      </c>
      <c r="M63" s="58"/>
    </row>
    <row r="64" spans="2:18" ht="15" hidden="1" customHeight="1" x14ac:dyDescent="0.25">
      <c r="B64" s="49" t="str">
        <f>IF(($E58&gt;0),B58,B57)</f>
        <v>per 100 youth found delinquent</v>
      </c>
      <c r="C64" s="49">
        <f>IF(($E58&gt;0),C58,C57)</f>
        <v>0.39</v>
      </c>
      <c r="D64" s="49">
        <f>IF(($E58&gt;0),D58,D57)</f>
        <v>0.01</v>
      </c>
      <c r="E64" s="56">
        <f>MAX(C64:D64)</f>
        <v>0.39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11.002000000000001</v>
      </c>
      <c r="D66" s="56">
        <f>D60</f>
        <v>0.11</v>
      </c>
      <c r="E66" s="56">
        <f>MAX(C66:D66)</f>
        <v>11.002000000000001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1.06</v>
      </c>
      <c r="D68" s="49">
        <f t="shared" si="12"/>
        <v>0.04</v>
      </c>
      <c r="E68" s="49">
        <f>MAX(C68:D68)</f>
        <v>1.06</v>
      </c>
      <c r="G68" s="1" t="str">
        <f>G62</f>
        <v>per 100 referrals</v>
      </c>
      <c r="L68" s="58">
        <f>IF(($E62&gt;0),L62,L61)</f>
        <v>100</v>
      </c>
      <c r="M68" s="58">
        <f>IF((B68=G68),1,2)</f>
        <v>1</v>
      </c>
    </row>
    <row r="69" spans="2:13" ht="15" hidden="1" customHeight="1" x14ac:dyDescent="0.25">
      <c r="B69" s="49" t="str">
        <f>IF(($E63&gt;0),B63,B61)</f>
        <v>per 100 youth petitioned</v>
      </c>
      <c r="C69" s="49">
        <f>IF(($E63&gt;0),C63,C62)</f>
        <v>0.63</v>
      </c>
      <c r="D69" s="49">
        <f>IF(($E63&gt;0),D63,D62)</f>
        <v>0.01</v>
      </c>
      <c r="E69" s="49">
        <f>MAX(C69:D69)</f>
        <v>0.63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0.39</v>
      </c>
      <c r="D70" s="49">
        <f>IF(($E64&gt;0),D64,D63)</f>
        <v>0.01</v>
      </c>
      <c r="E70" s="56">
        <f>MAX(C70:D70)</f>
        <v>0.39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U47JMPN4QEAR-1806752177-30250</_dlc_DocId>
    <_dlc_DocIdUrl xmlns="ac3811b5-0f3e-49e2-ba69-f2ffa0c782af">
      <Url>https://michiganphi.sharepoint.com/sites/CMDMC/_layouts/15/DocIdRedir.aspx?ID=U47JMPN4QEAR-1806752177-30250</Url>
      <Description>U47JMPN4QEAR-1806752177-30250</Description>
    </_dlc_DocIdUrl>
  </documentManagement>
</p:properties>
</file>

<file path=customXml/itemProps1.xml><?xml version="1.0" encoding="utf-8"?>
<ds:datastoreItem xmlns:ds="http://schemas.openxmlformats.org/officeDocument/2006/customXml" ds:itemID="{786900BB-8A56-44C7-9096-7CFA3DCBF652}"/>
</file>

<file path=customXml/itemProps2.xml><?xml version="1.0" encoding="utf-8"?>
<ds:datastoreItem xmlns:ds="http://schemas.openxmlformats.org/officeDocument/2006/customXml" ds:itemID="{CCB3A4B7-EED5-440A-8F76-D027BCEB95CD}"/>
</file>

<file path=customXml/itemProps3.xml><?xml version="1.0" encoding="utf-8"?>
<ds:datastoreItem xmlns:ds="http://schemas.openxmlformats.org/officeDocument/2006/customXml" ds:itemID="{BDDA3A16-63DE-494A-9371-EAA50C1BA059}"/>
</file>

<file path=customXml/itemProps4.xml><?xml version="1.0" encoding="utf-8"?>
<ds:datastoreItem xmlns:ds="http://schemas.openxmlformats.org/officeDocument/2006/customXml" ds:itemID="{B241265C-2405-43EB-89D6-427CA2F284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b9a723ca-25f5-458c-971d-9b9123ae9075</vt:lpwstr>
  </property>
</Properties>
</file>