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0" documentId="8_{82087C3A-96D0-4DEF-A369-EF9EFBE15130}" xr6:coauthVersionLast="47" xr6:coauthVersionMax="47" xr10:uidLastSave="{F05723AF-CF00-444E-8A0E-F28709BEE71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G66" i="4"/>
  <c r="F1" i="5"/>
  <c r="J5" i="13" s="1"/>
  <c r="B2" i="5"/>
  <c r="B3" i="5"/>
  <c r="B6" i="5"/>
  <c r="B7" i="5"/>
  <c r="B8" i="5"/>
  <c r="B9" i="5"/>
  <c r="B10" i="5"/>
  <c r="B11" i="5"/>
  <c r="B12" i="5"/>
  <c r="B13" i="5"/>
  <c r="B14" i="5"/>
  <c r="B15" i="5"/>
  <c r="B48" i="5"/>
  <c r="B54" i="5"/>
  <c r="B60" i="5"/>
  <c r="B66" i="5"/>
  <c r="J27" i="5"/>
  <c r="G42" i="5"/>
  <c r="G43" i="5"/>
  <c r="G49" i="5"/>
  <c r="G55" i="5"/>
  <c r="G61" i="5"/>
  <c r="G67" i="5" s="1"/>
  <c r="G44" i="5"/>
  <c r="G50" i="5"/>
  <c r="G56" i="5"/>
  <c r="G62" i="5"/>
  <c r="G45" i="5"/>
  <c r="G51" i="5" s="1"/>
  <c r="G57" i="5" s="1"/>
  <c r="G63" i="5" s="1"/>
  <c r="G69" i="5" s="1"/>
  <c r="G46" i="5"/>
  <c r="G48" i="5"/>
  <c r="G54" i="5"/>
  <c r="G60" i="5" s="1"/>
  <c r="G66" i="5" s="1"/>
  <c r="M66" i="5" s="1"/>
  <c r="L48" i="5"/>
  <c r="G52" i="5"/>
  <c r="G58" i="5" s="1"/>
  <c r="G64" i="5" s="1"/>
  <c r="G70" i="5" s="1"/>
  <c r="L54" i="5"/>
  <c r="L60" i="5" s="1"/>
  <c r="L66" i="5" s="1"/>
  <c r="G68" i="5"/>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c r="F27" i="4" l="1"/>
  <c r="M66" i="4"/>
  <c r="F27" i="2"/>
  <c r="M66" i="2"/>
  <c r="M66" i="7"/>
  <c r="F27" i="7"/>
  <c r="M66" i="6"/>
  <c r="F27"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L58" i="8" l="1"/>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E58" i="8" l="1"/>
  <c r="L64" i="3"/>
  <c r="L56" i="8"/>
  <c r="C57" i="8"/>
  <c r="B57" i="8"/>
  <c r="B56" i="8"/>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57" i="8"/>
  <c r="B63" i="8" s="1"/>
  <c r="B64" i="8"/>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8" l="1"/>
  <c r="D70" i="6"/>
  <c r="F14" i="6" s="1"/>
  <c r="C69" i="7"/>
  <c r="D12" i="7" s="1"/>
  <c r="E63" i="3"/>
  <c r="C69" i="3" s="1"/>
  <c r="D15" i="3" s="1"/>
  <c r="B70" i="3"/>
  <c r="M70" i="3" s="1"/>
  <c r="L69" i="7"/>
  <c r="Q12" i="7" s="1"/>
  <c r="C70" i="6"/>
  <c r="C70" i="3"/>
  <c r="D14" i="3" s="1"/>
  <c r="L70" i="3"/>
  <c r="L70" i="6"/>
  <c r="O14"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D12" i="3"/>
  <c r="Q15" i="7"/>
  <c r="D69" i="3"/>
  <c r="E69" i="3" s="1"/>
  <c r="E69" i="7"/>
  <c r="O13" i="6"/>
  <c r="E70" i="6"/>
  <c r="B69" i="6"/>
  <c r="M69" i="6" s="1"/>
  <c r="E70" i="3"/>
  <c r="F33" i="3"/>
  <c r="L69" i="3"/>
  <c r="Q12" i="3" s="1"/>
  <c r="D13" i="3"/>
  <c r="F34" i="3"/>
  <c r="B69" i="3"/>
  <c r="M69" i="3" s="1"/>
  <c r="D14" i="6"/>
  <c r="Q13" i="6"/>
  <c r="Q14" i="6"/>
  <c r="R14" i="6" s="1"/>
  <c r="S14" i="6" s="1"/>
  <c r="F14" i="3"/>
  <c r="D13" i="6"/>
  <c r="O13" i="3"/>
  <c r="C69" i="6"/>
  <c r="D12" i="6" s="1"/>
  <c r="O12" i="7"/>
  <c r="R12" i="7" s="1"/>
  <c r="S12" i="7" s="1"/>
  <c r="U12" i="7" s="1"/>
  <c r="J12" i="7" s="1"/>
  <c r="O15" i="7"/>
  <c r="Q13" i="3"/>
  <c r="Q14" i="3"/>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T12" i="7"/>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5" i="7" l="1"/>
  <c r="O12" i="6"/>
  <c r="K12" i="7"/>
  <c r="L12" i="7" s="1"/>
  <c r="S13" i="16" s="1"/>
  <c r="F15" i="3"/>
  <c r="F12" i="3"/>
  <c r="O12" i="3"/>
  <c r="R12" i="3" s="1"/>
  <c r="S12" i="3" s="1"/>
  <c r="U12" i="3" s="1"/>
  <c r="J12" i="3" s="1"/>
  <c r="Q15" i="3"/>
  <c r="R13" i="6"/>
  <c r="S13" i="6" s="1"/>
  <c r="U13" i="6" s="1"/>
  <c r="J13" i="6" s="1"/>
  <c r="M13" i="6" s="1"/>
  <c r="G13" i="6" s="1"/>
  <c r="M14" i="13" s="1"/>
  <c r="F35" i="6"/>
  <c r="K13" i="3"/>
  <c r="Q12" i="6"/>
  <c r="F35" i="3"/>
  <c r="Q15" i="6"/>
  <c r="F32" i="3"/>
  <c r="F32" i="6"/>
  <c r="K13" i="6"/>
  <c r="O15" i="3"/>
  <c r="R15" i="7"/>
  <c r="S15" i="7" s="1"/>
  <c r="U15" i="7" s="1"/>
  <c r="J15" i="7" s="1"/>
  <c r="M15" i="7" s="1"/>
  <c r="T13" i="6"/>
  <c r="R14" i="8"/>
  <c r="S14" i="8" s="1"/>
  <c r="T13" i="8"/>
  <c r="D15" i="6"/>
  <c r="T14" i="6"/>
  <c r="K14" i="6"/>
  <c r="R14" i="3"/>
  <c r="S14" i="3" s="1"/>
  <c r="U14" i="3" s="1"/>
  <c r="J14" i="3" s="1"/>
  <c r="M14" i="3" s="1"/>
  <c r="G14" i="3" s="1"/>
  <c r="I15" i="16" s="1"/>
  <c r="E69" i="6"/>
  <c r="K14" i="3"/>
  <c r="R13" i="3"/>
  <c r="S13" i="3" s="1"/>
  <c r="U13" i="3" s="1"/>
  <c r="J13" i="3" s="1"/>
  <c r="O15" i="6"/>
  <c r="T15" i="6" s="1"/>
  <c r="T13" i="3"/>
  <c r="T14" i="3"/>
  <c r="K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M12" i="7"/>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L13" i="3"/>
  <c r="P14" i="16" s="1"/>
  <c r="K12" i="6"/>
  <c r="K15" i="3"/>
  <c r="L13" i="6"/>
  <c r="R14" i="16" s="1"/>
  <c r="G13" i="9"/>
  <c r="T12" i="3"/>
  <c r="R12" i="6"/>
  <c r="S12" i="6" s="1"/>
  <c r="U12" i="6" s="1"/>
  <c r="J12" i="6" s="1"/>
  <c r="M12" i="6" s="1"/>
  <c r="G12" i="6" s="1"/>
  <c r="K12" i="3"/>
  <c r="L12" i="3" s="1"/>
  <c r="P13" i="16" s="1"/>
  <c r="T12" i="6"/>
  <c r="T15" i="3"/>
  <c r="R15" i="3"/>
  <c r="S15" i="3" s="1"/>
  <c r="U15" i="3" s="1"/>
  <c r="J15" i="3" s="1"/>
  <c r="M15" i="3" s="1"/>
  <c r="G15" i="3" s="1"/>
  <c r="I16" i="16" s="1"/>
  <c r="R15" i="6"/>
  <c r="S15" i="6" s="1"/>
  <c r="U15" i="6" s="1"/>
  <c r="J15" i="6" s="1"/>
  <c r="M15" i="6" s="1"/>
  <c r="G15" i="6" s="1"/>
  <c r="I15" i="13"/>
  <c r="N30" i="3"/>
  <c r="K15" i="6"/>
  <c r="E14" i="9"/>
  <c r="U14" i="8"/>
  <c r="J14" i="8" s="1"/>
  <c r="N30" i="8" s="1"/>
  <c r="L14" i="3"/>
  <c r="P15" i="16" s="1"/>
  <c r="M13" i="3"/>
  <c r="G13" i="3" s="1"/>
  <c r="E13" i="9"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G12" i="13"/>
  <c r="G12" i="16"/>
  <c r="N9" i="9"/>
  <c r="P10" i="16"/>
  <c r="M14" i="7"/>
  <c r="N30" i="7"/>
  <c r="L14" i="7"/>
  <c r="S15" i="16" s="1"/>
  <c r="L8" i="7"/>
  <c r="S9" i="16" s="1"/>
  <c r="O13" i="9"/>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Y16" i="13" l="1"/>
  <c r="Q15" i="9"/>
  <c r="P13" i="9"/>
  <c r="X14" i="13"/>
  <c r="V14" i="13"/>
  <c r="L12" i="6"/>
  <c r="R13" i="16" s="1"/>
  <c r="N14" i="9"/>
  <c r="V15" i="13"/>
  <c r="L15" i="3"/>
  <c r="P16" i="16" s="1"/>
  <c r="L15" i="6"/>
  <c r="R16" i="16" s="1"/>
  <c r="I16" i="13"/>
  <c r="E15" i="9"/>
  <c r="L14" i="8"/>
  <c r="T15" i="16" s="1"/>
  <c r="I14" i="13"/>
  <c r="I14" i="16"/>
  <c r="M14" i="8"/>
  <c r="G14" i="8" s="1"/>
  <c r="K15" i="16" s="1"/>
  <c r="L8" i="6"/>
  <c r="R9" i="16" s="1"/>
  <c r="L10" i="7"/>
  <c r="S11" i="16" s="1"/>
  <c r="L15" i="5"/>
  <c r="Q16" i="16" s="1"/>
  <c r="T9" i="13"/>
  <c r="L8" i="9"/>
  <c r="X15" i="13"/>
  <c r="P14" i="9"/>
  <c r="G8" i="9"/>
  <c r="Q14" i="9"/>
  <c r="Y15" i="13"/>
  <c r="Y14" i="13"/>
  <c r="E9" i="13"/>
  <c r="Q13" i="9"/>
  <c r="L10" i="2"/>
  <c r="N11" i="16" s="1"/>
  <c r="M10" i="7"/>
  <c r="L11" i="6"/>
  <c r="R12" i="16" s="1"/>
  <c r="V16" i="13"/>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N15" i="9"/>
  <c r="P15" i="9"/>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<sst xmlns="http://schemas.openxmlformats.org/spreadsheetml/2006/main" count="654" uniqueCount="141">
  <si>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</si>
  <si>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</si>
  <si>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</si>
  <si>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</si>
  <si>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</si>
  <si>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</si>
  <si>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</si>
  <si>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</si>
  <si>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</si>
  <si>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</si>
  <si>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</si>
  <si>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</si>
  <si>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</si>
  <si>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</si>
  <si>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</si>
  <si>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</si>
  <si>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</si>
  <si>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</si>
  <si>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</si>
  <si>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</si>
  <si>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</si>
  <si>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</si>
  <si>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</si>
  <si>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</si>
  <si>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</si>
  <si>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</si>
  <si>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</si>
  <si>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</si>
  <si>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</si>
  <si>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</si>
  <si>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</si>
  <si>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</si>
  <si>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</si>
  <si>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</si>
  <si>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</si>
  <si>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</si>
  <si>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</si>
  <si>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</si>
  <si>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</si>
  <si>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</si>
  <si>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</si>
  <si>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</si>
  <si>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</si>
  <si>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</si>
  <si>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</si>
  <si>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</si>
  <si>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</si>
  <si>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</si>
  <si>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</si>
  <si>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</si>
  <si>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</si>
  <si>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</si>
  <si>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</si>
  <si>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</si>
  <si>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</si>
  <si>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</si>
  <si>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</si>
  <si>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</si>
  <si>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</si>
  <si>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</si>
  <si>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</si>
  <si>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</si>
  <si>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</si>
  <si>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</si>
  <si>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</si>
  <si>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</si>
  <si>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</si>
  <si>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</si>
  <si>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</si>
  <si>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</si>
  <si>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</si>
  <si>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</si>
  <si>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</si>
  <si>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</si>
  <si>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</si>
  <si>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</si>
  <si>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</si>
  <si>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</si>
  <si>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</si>
  <si>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</si>
  <si>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</si>
  <si>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</si>
  <si>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</si>
  <si>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</si>
  <si>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</si>
  <si>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</si>
  <si>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</si>
  <si>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</si>
  <si>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</si>
  <si>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</si>
  <si>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</si>
  <si>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</si>
  <si>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</si>
  <si>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</si>
  <si>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</si>
  <si>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</si>
  <si>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</si>
  <si>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</si>
  <si>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</si>
  <si>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</si>
  <si>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</si>
  <si>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</si>
  <si>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</si>
  <si>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</si>
  <si>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</si>
  <si>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</si>
  <si>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</si>
  <si>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</si>
  <si>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</si>
  <si>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</si>
  <si>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</si>
  <si>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</si>
  <si>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</si>
  <si>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</si>
  <si>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</si>
  <si>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</si>
  <si>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</si>
  <si>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</si>
  <si>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</si>
  <si>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</si>
  <si>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</si>
  <si>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</si>
  <si>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</si>
  <si>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</si>
  <si>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</si>
  <si>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</si>
  <si>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</si>
  <si>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</si>
  <si>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</si>
  <si>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</si>
  <si>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</si>
  <si>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</si>
  <si>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</si>
  <si>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</si>
  <si>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</si>
  <si>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</si>
  <si>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Montmorency</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</si>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</sst>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Montmorency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N=0</c:v>
                </c:pt>
                <c:pt idx="2">
                  <c:v>Delinquent Findings, total N=7</c:v>
                </c:pt>
                <c:pt idx="3">
                  <c:v>Petitions, total N=15</c:v>
                </c:pt>
                <c:pt idx="4">
                  <c:v>Detentions, total N=0</c:v>
                </c:pt>
                <c:pt idx="5">
                  <c:v>Referrals, total N=18</c:v>
                </c:pt>
                <c:pt idx="6">
                  <c:v>Arrests, total N=0</c:v>
                </c:pt>
                <c:pt idx="7">
                  <c:v>Population, total N=669</c:v>
                </c:pt>
              </c:strCache>
            </c:strRef>
          </c:cat>
          <c:val>
            <c:numRef>
              <c:f>'Stacked 100%'!$B$7:$B$14</c:f>
              <c:numCache>
                <c:formatCode>0%</c:formatCode>
                <c:ptCount val="8"/>
                <c:pt idx="0">
                  <c:v>0</c:v>
                </c:pt>
                <c:pt idx="1">
                  <c:v>0</c:v>
                </c:pt>
                <c:pt idx="2">
                  <c:v>0</c:v>
                </c:pt>
                <c:pt idx="3">
                  <c:v>0</c:v>
                </c:pt>
                <c:pt idx="4">
                  <c:v>0</c:v>
                </c:pt>
                <c:pt idx="5">
                  <c:v>0</c:v>
                </c:pt>
                <c:pt idx="6">
                  <c:v>0</c:v>
                </c:pt>
                <c:pt idx="7">
                  <c:v>2.6905829596412557E-2</c:v>
                </c:pt>
              </c:numCache>
            </c:numRef>
          </c:val>
          <c:extLst>
            <c:ext xmlns:c16="http://schemas.microsoft.com/office/drawing/2014/chart" uri="{C3380CC4-5D6E-409C-BE32-E72D297353CC}">
              <c16:uniqueId val="{00000000-6F2C-4C6E-A19F-F2379E52BCB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N=0</c:v>
                </c:pt>
                <c:pt idx="2">
                  <c:v>Delinquent Findings, total N=7</c:v>
                </c:pt>
                <c:pt idx="3">
                  <c:v>Petitions, total N=15</c:v>
                </c:pt>
                <c:pt idx="4">
                  <c:v>Detentions, total N=0</c:v>
                </c:pt>
                <c:pt idx="5">
                  <c:v>Referrals, total N=18</c:v>
                </c:pt>
                <c:pt idx="6">
                  <c:v>Arrests, total N=0</c:v>
                </c:pt>
                <c:pt idx="7">
                  <c:v>Population, total N=669</c:v>
                </c:pt>
              </c:strCache>
            </c:strRef>
          </c:cat>
          <c:val>
            <c:numRef>
              <c:f>'Stacked 100%'!$C$7:$C$14</c:f>
              <c:numCache>
                <c:formatCode>0%</c:formatCode>
                <c:ptCount val="8"/>
                <c:pt idx="0">
                  <c:v>0</c:v>
                </c:pt>
                <c:pt idx="1">
                  <c:v>0</c:v>
                </c:pt>
                <c:pt idx="2">
                  <c:v>0</c:v>
                </c:pt>
                <c:pt idx="3">
                  <c:v>0</c:v>
                </c:pt>
                <c:pt idx="4">
                  <c:v>0</c:v>
                </c:pt>
                <c:pt idx="5">
                  <c:v>0</c:v>
                </c:pt>
                <c:pt idx="6">
                  <c:v>0</c:v>
                </c:pt>
                <c:pt idx="7">
                  <c:v>3.4379671150971597E-2</c:v>
                </c:pt>
              </c:numCache>
            </c:numRef>
          </c:val>
          <c:extLst>
            <c:ext xmlns:c16="http://schemas.microsoft.com/office/drawing/2014/chart" uri="{C3380CC4-5D6E-409C-BE32-E72D297353CC}">
              <c16:uniqueId val="{00000001-6F2C-4C6E-A19F-F2379E52BCB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N=3</c:v>
                </c:pt>
                <c:pt idx="1">
                  <c:v>Confinement, total N=0</c:v>
                </c:pt>
                <c:pt idx="2">
                  <c:v>Delinquent Findings, total N=7</c:v>
                </c:pt>
                <c:pt idx="3">
                  <c:v>Petitions, total N=15</c:v>
                </c:pt>
                <c:pt idx="4">
                  <c:v>Detentions, total N=0</c:v>
                </c:pt>
                <c:pt idx="5">
                  <c:v>Referrals, total N=18</c:v>
                </c:pt>
                <c:pt idx="6">
                  <c:v>Arrests, total N=0</c:v>
                </c:pt>
                <c:pt idx="7">
                  <c:v>Population, total N=669</c:v>
                </c:pt>
              </c:strCache>
            </c:strRef>
          </c:cat>
          <c:val>
            <c:numRef>
              <c:f>'Stacked 100%'!$H$7:$H$14</c:f>
              <c:numCache>
                <c:formatCode>0%</c:formatCode>
                <c:ptCount val="8"/>
                <c:pt idx="0">
                  <c:v>0</c:v>
                </c:pt>
                <c:pt idx="1">
                  <c:v>0</c:v>
                </c:pt>
                <c:pt idx="2">
                  <c:v>0</c:v>
                </c:pt>
                <c:pt idx="3">
                  <c:v>0</c:v>
                </c:pt>
                <c:pt idx="4">
                  <c:v>0</c:v>
                </c:pt>
                <c:pt idx="5">
                  <c:v>0</c:v>
                </c:pt>
                <c:pt idx="6">
                  <c:v>0</c:v>
                </c:pt>
                <c:pt idx="7">
                  <c:v>2.9046319942979837E-5</c:v>
                </c:pt>
              </c:numCache>
            </c:numRef>
          </c:val>
          <c:extLst>
            <c:ext xmlns:c16="http://schemas.microsoft.com/office/drawing/2014/chart" uri="{C3380CC4-5D6E-409C-BE32-E72D297353CC}">
              <c16:uniqueId val="{00000002-6F2C-4C6E-A19F-F2379E52BCB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N=0</c:v>
                </c:pt>
                <c:pt idx="2">
                  <c:v>Delinquent Findings, total N=7</c:v>
                </c:pt>
                <c:pt idx="3">
                  <c:v>Petitions, total N=15</c:v>
                </c:pt>
                <c:pt idx="4">
                  <c:v>Detentions, total N=0</c:v>
                </c:pt>
                <c:pt idx="5">
                  <c:v>Referrals, total N=18</c:v>
                </c:pt>
                <c:pt idx="6">
                  <c:v>Arrests, total N=0</c:v>
                </c:pt>
                <c:pt idx="7">
                  <c:v>Population, total N=669</c:v>
                </c:pt>
              </c:strCache>
            </c:strRef>
          </c:cat>
          <c:val>
            <c:numRef>
              <c:f>'Stacked 100%'!$I$7:$I$14</c:f>
              <c:numCache>
                <c:formatCode>0%</c:formatCode>
                <c:ptCount val="8"/>
                <c:pt idx="0">
                  <c:v>1</c:v>
                </c:pt>
                <c:pt idx="1">
                  <c:v>0</c:v>
                </c:pt>
                <c:pt idx="2">
                  <c:v>0.42857142857142855</c:v>
                </c:pt>
                <c:pt idx="3">
                  <c:v>0.53333333333333333</c:v>
                </c:pt>
                <c:pt idx="4">
                  <c:v>0</c:v>
                </c:pt>
                <c:pt idx="5">
                  <c:v>0.55555555555555558</c:v>
                </c:pt>
                <c:pt idx="6">
                  <c:v>0</c:v>
                </c:pt>
                <c:pt idx="7">
                  <c:v>0.91928251121076232</c:v>
                </c:pt>
              </c:numCache>
            </c:numRef>
          </c:val>
          <c:extLst>
            <c:ext xmlns:c16="http://schemas.microsoft.com/office/drawing/2014/chart" uri="{C3380CC4-5D6E-409C-BE32-E72D297353CC}">
              <c16:uniqueId val="{00000003-6F2C-4C6E-A19F-F2379E52BCB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N=3</c:v>
                </c:pt>
                <c:pt idx="1">
                  <c:v>Confinement, total N=0</c:v>
                </c:pt>
                <c:pt idx="2">
                  <c:v>Delinquent Findings, total N=7</c:v>
                </c:pt>
                <c:pt idx="3">
                  <c:v>Petitions, total N=15</c:v>
                </c:pt>
                <c:pt idx="4">
                  <c:v>Detentions, total N=0</c:v>
                </c:pt>
                <c:pt idx="5">
                  <c:v>Referrals, total N=18</c:v>
                </c:pt>
                <c:pt idx="6">
                  <c:v>Arrests, total N=0</c:v>
                </c:pt>
                <c:pt idx="7">
                  <c:v>Population, total N=669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6F2C-4C6E-A19F-F2379E52BCB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3" sqref="K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669</v>
      </c>
      <c r="C6" s="11">
        <v>615</v>
      </c>
      <c r="D6" s="11">
        <v>18</v>
      </c>
      <c r="E6" s="11">
        <v>23</v>
      </c>
      <c r="F6" s="11">
        <v>6</v>
      </c>
      <c r="G6" s="11"/>
      <c r="H6" s="11">
        <v>7</v>
      </c>
      <c r="I6" s="11"/>
      <c r="J6" s="91">
        <f>SUM(D6:I6)</f>
        <v>54</v>
      </c>
      <c r="K6" s="92"/>
    </row>
    <row r="7" spans="1:11" ht="15.75" customHeight="1" thickBot="1">
      <c r="A7" s="10" t="s">
        <v>8</v>
      </c>
      <c r="B7" s="11">
        <f t="shared" ref="B7:B15" si="0">SUM(C7:I7)+K7</f>
        <v>0</v>
      </c>
      <c r="C7" s="11"/>
      <c r="D7" s="11"/>
      <c r="E7" s="11"/>
      <c r="F7" s="11"/>
      <c r="G7" s="11"/>
      <c r="H7" s="11"/>
      <c r="I7" s="11"/>
      <c r="J7" s="91">
        <f t="shared" ref="J7:J15" si="1">SUM(D7:I7)</f>
        <v>0</v>
      </c>
      <c r="K7" s="92"/>
    </row>
    <row r="8" spans="1:11" ht="15.75" customHeight="1" thickBot="1">
      <c r="A8" s="10" t="s">
        <v>9</v>
      </c>
      <c r="B8" s="11">
        <f t="shared" si="0"/>
        <v>18</v>
      </c>
      <c r="C8" s="11">
        <v>10</v>
      </c>
      <c r="D8" s="11"/>
      <c r="E8" s="11"/>
      <c r="F8" s="11"/>
      <c r="G8" s="11"/>
      <c r="H8" s="11"/>
      <c r="I8" s="11"/>
      <c r="J8" s="91">
        <f t="shared" si="1"/>
        <v>0</v>
      </c>
      <c r="K8" s="92">
        <v>8</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15</v>
      </c>
      <c r="C11" s="11">
        <v>8</v>
      </c>
      <c r="D11" s="11"/>
      <c r="E11" s="11"/>
      <c r="F11" s="11"/>
      <c r="G11" s="11"/>
      <c r="H11" s="11"/>
      <c r="I11" s="11"/>
      <c r="J11" s="91">
        <f t="shared" si="1"/>
        <v>0</v>
      </c>
      <c r="K11" s="92">
        <v>7</v>
      </c>
    </row>
    <row r="12" spans="1:11" ht="15.75" customHeight="1" thickBot="1">
      <c r="A12" s="10" t="s">
        <v>13</v>
      </c>
      <c r="B12" s="11">
        <f t="shared" si="0"/>
        <v>7</v>
      </c>
      <c r="C12" s="11">
        <v>3</v>
      </c>
      <c r="D12" s="11"/>
      <c r="E12" s="11"/>
      <c r="F12" s="11"/>
      <c r="G12" s="11"/>
      <c r="H12" s="11"/>
      <c r="I12" s="11"/>
      <c r="J12" s="91">
        <f t="shared" si="1"/>
        <v>0</v>
      </c>
      <c r="K12" s="92">
        <v>4</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3</v>
      </c>
      <c r="C15" s="11">
        <v>3</v>
      </c>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615</v>
      </c>
      <c r="R7" s="42">
        <f t="shared" ref="R7:R15" si="5">SUM(N7:Q7)</f>
        <v>615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16.260162601626018</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v>
      </c>
      <c r="Q8" s="42">
        <f>(C$67*L67)-C8</f>
        <v>605</v>
      </c>
      <c r="R8" s="42">
        <f t="shared" si="5"/>
        <v>615.04999999999995</v>
      </c>
      <c r="S8" s="30">
        <f t="shared" si="6"/>
        <v>153.76249999999999</v>
      </c>
      <c r="T8" s="30">
        <f t="shared" si="7"/>
        <v>186052.875</v>
      </c>
      <c r="U8" s="31">
        <f t="shared" si="8"/>
        <v>8.2644517049252795E-4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8</v>
      </c>
      <c r="D11" s="34">
        <f>IF(((AND(C68&gt;0,C11&gt;0))),(C11/(C68)),0)</f>
        <v>80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v>
      </c>
      <c r="Q11" s="42">
        <f>(C$68*L68)-C11</f>
        <v>2</v>
      </c>
      <c r="R11" s="42">
        <f t="shared" si="5"/>
        <v>10</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37.5</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5</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3</v>
      </c>
      <c r="D15" s="34">
        <f>IF(((AND(C69&gt;0,C15&gt;0))),((C15/(C69))),0)</f>
        <v>37.5</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3</v>
      </c>
      <c r="Q15" s="42">
        <f>(C69*L69)-C15</f>
        <v>5</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0.61499999999999999</v>
      </c>
      <c r="D42" s="56">
        <f>E6/1000</f>
        <v>0</v>
      </c>
      <c r="E42" s="56">
        <f>MAX(C42:D42)</f>
        <v>0.61499999999999999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0.08</v>
      </c>
      <c r="D45" s="49">
        <f>E11/100</f>
        <v>0</v>
      </c>
      <c r="E45" s="56">
        <f>MAX(C45:D45,0)</f>
        <v>0.08</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0.61499999999999999</v>
      </c>
      <c r="D48" s="56">
        <f>D42</f>
        <v>0</v>
      </c>
      <c r="E48" s="56">
        <f>MAX(C48:D48)</f>
        <v>0.61499999999999999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0.61499999999999999</v>
      </c>
      <c r="D49" s="49">
        <f t="shared" si="9"/>
        <v>0</v>
      </c>
      <c r="E49" s="49">
        <f>MAX(C49:D49)</f>
        <v>0.61499999999999999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0.61499999999999999</v>
      </c>
      <c r="D54" s="56">
        <f>D48</f>
        <v>0</v>
      </c>
      <c r="E54" s="56">
        <f>MAX(C54:D54)</f>
        <v>0.61499999999999999</v>
      </c>
      <c r="G54" s="1" t="str">
        <f>G48</f>
        <v>per 1000 youth</v>
      </c>
      <c r="L54" s="58">
        <f>L48</f>
        <v>1000</v>
      </c>
      <c r="M54" s="58"/>
    </row>
    <row r="55" spans="2:18" ht="15" hidden="1" customHeight="1">
      <c r="B55" s="49" t="str">
        <f t="shared" ref="B55:D56" si="10">IF(($E49&gt;0),B49,B48)</f>
        <v>per 1000 youth</v>
      </c>
      <c r="C55" s="49">
        <f t="shared" si="10"/>
        <v>0.61499999999999999</v>
      </c>
      <c r="D55" s="49">
        <f t="shared" si="10"/>
        <v>0</v>
      </c>
      <c r="E55" s="49">
        <f>MAX(C55:D55)</f>
        <v>0.61499999999999999</v>
      </c>
      <c r="G55" s="1" t="str">
        <f>G49</f>
        <v>per 100 arrests</v>
      </c>
      <c r="L55" s="58">
        <f>IF(($E49&gt;0),L49,L48)</f>
        <v>1000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0.61499999999999999</v>
      </c>
      <c r="D60" s="56">
        <f>D54</f>
        <v>0</v>
      </c>
      <c r="E60" s="56">
        <f>MAX(C60:D60)</f>
        <v>0.61499999999999999</v>
      </c>
      <c r="G60" s="1" t="str">
        <f>G54</f>
        <v>per 1000 youth</v>
      </c>
      <c r="L60" s="58">
        <f>L54</f>
        <v>1000</v>
      </c>
      <c r="M60" s="58"/>
    </row>
    <row r="61" spans="2:18" ht="15" hidden="1" customHeight="1">
      <c r="B61" s="49" t="str">
        <f t="shared" ref="B61:D62" si="11">IF(($E55&gt;0),B55,B54)</f>
        <v>per 1000 youth</v>
      </c>
      <c r="C61" s="49">
        <f t="shared" si="11"/>
        <v>0.61499999999999999</v>
      </c>
      <c r="D61" s="49">
        <f t="shared" si="11"/>
        <v>0</v>
      </c>
      <c r="E61" s="49">
        <f>MAX(C61:D61)</f>
        <v>0.61499999999999999</v>
      </c>
      <c r="G61" s="1" t="str">
        <f>G55</f>
        <v>per 100 arrests</v>
      </c>
      <c r="L61" s="58">
        <f>IF(($E55&gt;0),L55,L54)</f>
        <v>1000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0.61499999999999999</v>
      </c>
      <c r="D66" s="56">
        <f>D60</f>
        <v>0</v>
      </c>
      <c r="E66" s="56">
        <f>MAX(C66:D66)</f>
        <v>0.61499999999999999</v>
      </c>
      <c r="G66" s="1" t="str">
        <f>G60</f>
        <v>per 1000 youth</v>
      </c>
      <c r="L66" s="58">
        <f>L60</f>
        <v>1000</v>
      </c>
      <c r="M66" s="58">
        <f>IF((B66=G66),1,2)</f>
        <v>1</v>
      </c>
    </row>
    <row r="67" spans="2:13" ht="15" hidden="1" customHeight="1">
      <c r="B67" s="49" t="str">
        <f t="shared" ref="B67:D68" si="12">IF(($E61&gt;0),B61,B60)</f>
        <v>per 1000 youth</v>
      </c>
      <c r="C67" s="49">
        <f t="shared" si="12"/>
        <v>0.61499999999999999</v>
      </c>
      <c r="D67" s="49">
        <f t="shared" si="12"/>
        <v>0</v>
      </c>
      <c r="E67" s="49">
        <f>MAX(C67:D67)</f>
        <v>0.61499999999999999</v>
      </c>
      <c r="G67" s="1" t="str">
        <f>G61</f>
        <v>per 100 arrests</v>
      </c>
      <c r="L67" s="58">
        <f>IF(($E61&gt;0),L61,L60)</f>
        <v>1000</v>
      </c>
      <c r="M67" s="58">
        <f>IF((B67=G67),1,2)</f>
        <v>2</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0.08</v>
      </c>
      <c r="D69" s="49">
        <f>IF(($E63&gt;0),D63,D62)</f>
        <v>0</v>
      </c>
      <c r="E69" s="49">
        <f>MAX(C69:D69)</f>
        <v>0.08</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615</v>
      </c>
      <c r="D6" s="34"/>
      <c r="E6" s="33">
        <f>'Data Entry'!J6</f>
        <v>54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54</v>
      </c>
      <c r="P7" s="42">
        <f t="shared" ref="P7:P15" si="4">C7</f>
        <v>0</v>
      </c>
      <c r="Q7" s="42">
        <f>C6-C7</f>
        <v>615</v>
      </c>
      <c r="R7" s="42">
        <f t="shared" ref="R7:R15" si="5">SUM(N7:Q7)</f>
        <v>669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16.260162601626018</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54.05</v>
      </c>
      <c r="P8" s="42">
        <f t="shared" si="4"/>
        <v>10</v>
      </c>
      <c r="Q8" s="42">
        <f>(C$67*L67)-C8</f>
        <v>605</v>
      </c>
      <c r="R8" s="42">
        <f t="shared" si="5"/>
        <v>669.05</v>
      </c>
      <c r="S8" s="30">
        <f t="shared" si="6"/>
        <v>195456434.26249999</v>
      </c>
      <c r="T8" s="30">
        <f t="shared" si="7"/>
        <v>219073162.87499997</v>
      </c>
      <c r="U8" s="31">
        <f t="shared" si="8"/>
        <v>0.8921970710489292</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8</v>
      </c>
      <c r="D11" s="34">
        <f>IF(((AND(C68&gt;0,C11&gt;0))),(C11/(C68)),0)</f>
        <v>80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v>
      </c>
      <c r="Q11" s="42">
        <f>(C$68*L68)-C11</f>
        <v>2</v>
      </c>
      <c r="R11" s="42">
        <f t="shared" si="5"/>
        <v>10</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37.5</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5</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3</v>
      </c>
      <c r="D15" s="34">
        <f>IF(((AND(C69&gt;0,C15&gt;0))),((C15/(C69))),0)</f>
        <v>37.5</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3</v>
      </c>
      <c r="Q15" s="42">
        <f>(C69*L69)-C15</f>
        <v>5</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0.61499999999999999</v>
      </c>
      <c r="D42" s="56">
        <f>E6/1000</f>
        <v>5.3999999999999999E-2</v>
      </c>
      <c r="E42" s="56">
        <f>MAX(C42:D42)</f>
        <v>0.61499999999999999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0.08</v>
      </c>
      <c r="D45" s="49">
        <f>E11/100</f>
        <v>0</v>
      </c>
      <c r="E45" s="56">
        <f>MAX(C45:D45,0)</f>
        <v>0.08</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0.61499999999999999</v>
      </c>
      <c r="D48" s="56">
        <f>D42</f>
        <v>5.3999999999999999E-2</v>
      </c>
      <c r="E48" s="56">
        <f>MAX(C48:D48)</f>
        <v>0.61499999999999999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0.61499999999999999</v>
      </c>
      <c r="D49" s="49">
        <f t="shared" si="9"/>
        <v>5.3999999999999999E-2</v>
      </c>
      <c r="E49" s="49">
        <f>MAX(C49:D49)</f>
        <v>0.61499999999999999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0.61499999999999999</v>
      </c>
      <c r="D54" s="56">
        <f>D48</f>
        <v>5.3999999999999999E-2</v>
      </c>
      <c r="E54" s="56">
        <f>MAX(C54:D54)</f>
        <v>0.61499999999999999</v>
      </c>
      <c r="G54" s="1" t="str">
        <f>G48</f>
        <v>per 1000 youth</v>
      </c>
      <c r="L54" s="58">
        <f>L48</f>
        <v>1000</v>
      </c>
      <c r="M54" s="58"/>
    </row>
    <row r="55" spans="2:18" ht="15" hidden="1" customHeight="1">
      <c r="B55" s="49" t="str">
        <f t="shared" ref="B55:D56" si="10">IF(($E49&gt;0),B49,B48)</f>
        <v>per 1000 youth</v>
      </c>
      <c r="C55" s="49">
        <f t="shared" si="10"/>
        <v>0.61499999999999999</v>
      </c>
      <c r="D55" s="49">
        <f t="shared" si="10"/>
        <v>5.3999999999999999E-2</v>
      </c>
      <c r="E55" s="49">
        <f>MAX(C55:D55)</f>
        <v>0.61499999999999999</v>
      </c>
      <c r="G55" s="1" t="str">
        <f>G49</f>
        <v>per 100 arrests</v>
      </c>
      <c r="L55" s="58">
        <f>IF(($E49&gt;0),L49,L48)</f>
        <v>1000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0.61499999999999999</v>
      </c>
      <c r="D60" s="56">
        <f>D54</f>
        <v>5.3999999999999999E-2</v>
      </c>
      <c r="E60" s="56">
        <f>MAX(C60:D60)</f>
        <v>0.61499999999999999</v>
      </c>
      <c r="G60" s="1" t="str">
        <f>G54</f>
        <v>per 1000 youth</v>
      </c>
      <c r="L60" s="58">
        <f>L54</f>
        <v>1000</v>
      </c>
      <c r="M60" s="58"/>
    </row>
    <row r="61" spans="2:18" ht="15" hidden="1" customHeight="1">
      <c r="B61" s="49" t="str">
        <f t="shared" ref="B61:D62" si="11">IF(($E55&gt;0),B55,B54)</f>
        <v>per 1000 youth</v>
      </c>
      <c r="C61" s="49">
        <f t="shared" si="11"/>
        <v>0.61499999999999999</v>
      </c>
      <c r="D61" s="49">
        <f t="shared" si="11"/>
        <v>5.3999999999999999E-2</v>
      </c>
      <c r="E61" s="49">
        <f>MAX(C61:D61)</f>
        <v>0.61499999999999999</v>
      </c>
      <c r="G61" s="1" t="str">
        <f>G55</f>
        <v>per 100 arrests</v>
      </c>
      <c r="L61" s="58">
        <f>IF(($E55&gt;0),L55,L54)</f>
        <v>1000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0.61499999999999999</v>
      </c>
      <c r="D66" s="56">
        <f>D60</f>
        <v>5.3999999999999999E-2</v>
      </c>
      <c r="E66" s="56">
        <f>MAX(C66:D66)</f>
        <v>0.61499999999999999</v>
      </c>
      <c r="G66" s="1" t="str">
        <f>G60</f>
        <v>per 1000 youth</v>
      </c>
      <c r="L66" s="58">
        <f>L60</f>
        <v>1000</v>
      </c>
      <c r="M66" s="58">
        <f>IF((B66=G66),1,2)</f>
        <v>1</v>
      </c>
    </row>
    <row r="67" spans="2:13" ht="15" hidden="1" customHeight="1">
      <c r="B67" s="49" t="str">
        <f t="shared" ref="B67:D68" si="12">IF(($E61&gt;0),B61,B60)</f>
        <v>per 1000 youth</v>
      </c>
      <c r="C67" s="49">
        <f t="shared" si="12"/>
        <v>0.61499999999999999</v>
      </c>
      <c r="D67" s="49">
        <f t="shared" si="12"/>
        <v>5.3999999999999999E-2</v>
      </c>
      <c r="E67" s="49">
        <f>MAX(C67:D67)</f>
        <v>0.61499999999999999</v>
      </c>
      <c r="G67" s="1" t="str">
        <f>G61</f>
        <v>per 100 arrests</v>
      </c>
      <c r="L67" s="58">
        <f>IF(($E61&gt;0),L61,L60)</f>
        <v>1000</v>
      </c>
      <c r="M67" s="58">
        <f>IF((B67=G67),1,2)</f>
        <v>2</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0.08</v>
      </c>
      <c r="D69" s="49">
        <f>IF(($E63&gt;0),D63,D62)</f>
        <v>0</v>
      </c>
      <c r="E69" s="49">
        <f>MAX(C69:D69)</f>
        <v>0.08</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Montmorency</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669</v>
      </c>
      <c r="D3" s="57">
        <f>'Data Entry'!C6</f>
        <v>615</v>
      </c>
      <c r="E3" s="57">
        <f>'Data Entry'!D6</f>
        <v>18</v>
      </c>
      <c r="F3" s="57">
        <f>'Data Entry'!E6</f>
        <v>23</v>
      </c>
      <c r="G3" s="57">
        <f>'Data Entry'!F6</f>
        <v>6</v>
      </c>
      <c r="H3" s="57">
        <f>'Data Entry'!G6</f>
        <v>0</v>
      </c>
      <c r="I3" s="57">
        <f>'Data Entry'!H6</f>
        <v>7</v>
      </c>
      <c r="J3" s="57">
        <f>'Data Entry'!I6</f>
        <v>0</v>
      </c>
      <c r="K3" s="57">
        <f>'Data Entry'!J6</f>
        <v>54</v>
      </c>
    </row>
    <row r="4" spans="2:11" ht="15" customHeight="1">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26.905829596412559</v>
      </c>
      <c r="D5" s="1">
        <f>IF((D$3&gt;0),(1000*('Data Entry'!C8/'Data Entry'!C$6)), 0)</f>
        <v>16.260162601626018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22.421524663677129</v>
      </c>
      <c r="D8" s="1">
        <f>IF((D$3&gt;0),(1000*('Data Entry'!C11/'Data Entry'!C$6)), 0)</f>
        <v>13.008130081300813</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10.46337817638266</v>
      </c>
      <c r="D9" s="1">
        <f>IF((D$3&gt;0),(1000*('Data Entry'!C12/'Data Entry'!C$6)), 0)</f>
        <v>4.8780487804878048</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4.4843049327354256</v>
      </c>
      <c r="D12" s="1">
        <f>IF((D$3&gt;0),(1000*('Data Entry'!C15/'Data Entry'!C$6)), 0)</f>
        <v>4.8780487804878048</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Montmorency</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f t="shared" si="2"/>
        <v>1</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Montmorency</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615</v>
      </c>
      <c r="D7" s="104">
        <f>'Data Entry'!D6</f>
        <v>18</v>
      </c>
      <c r="E7" s="105"/>
      <c r="F7" s="106">
        <f>'Data Entry'!E6</f>
        <v>23</v>
      </c>
      <c r="G7" s="105"/>
      <c r="H7" s="106">
        <f>'Data Entry'!F6</f>
        <v>6</v>
      </c>
      <c r="I7" s="105"/>
      <c r="J7" s="106">
        <f>'Data Entry'!G6</f>
        <v>0</v>
      </c>
      <c r="K7" s="105"/>
      <c r="L7" s="106">
        <f>'Data Entry'!H6</f>
        <v>7</v>
      </c>
      <c r="M7" s="105"/>
      <c r="N7" s="106">
        <f>'Data Entry'!I6</f>
        <v>0</v>
      </c>
      <c r="O7" s="105"/>
      <c r="P7" s="106">
        <f>'Data Entry'!J6</f>
        <v>54</v>
      </c>
      <c r="Q7" s="107"/>
    </row>
    <row r="8" spans="2:26" s="1" customFormat="1" ht="15" customHeight="1">
      <c r="B8" s="142" t="s">
        <v>8</v>
      </c>
      <c r="C8" s="103">
        <f>'Data Entry'!C7</f>
        <v>0</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c r="B9" s="142" t="s">
        <v>134</v>
      </c>
      <c r="C9" s="103">
        <f>'Data Entry'!C8</f>
        <v>10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8</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3</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3</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Montmorency</v>
      </c>
    </row>
    <row r="6" spans="1:12">
      <c r="A6" s="135" t="str">
        <f>CONCATENATE("Percentage of Minorities at Stages of the Juvenile Justice System, ", A5, " 2022")</f>
        <v>Percentage of Minorities at Stages of the Juvenile Justice System, County: Montmorency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N=3</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1</v>
      </c>
      <c r="K7" s="96" t="str">
        <f t="shared" ref="K7:K14" si="0">A7</f>
        <v>Waivers, total N=3</v>
      </c>
      <c r="L7">
        <f>I14/(SUM(B14:G14))</f>
        <v>11.388888888888888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11.388888888888888</v>
      </c>
    </row>
    <row r="9" spans="1:12">
      <c r="A9" s="128" t="str">
        <f>CONCATENATE("Delinquent Findings, total N=", 'Data Entry'!B12)</f>
        <v>Delinquent Findings, total N=7</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0.42857142857142855</v>
      </c>
      <c r="K9" s="96" t="str">
        <f t="shared" si="0"/>
        <v>Delinquent Findings, total N=7</v>
      </c>
      <c r="L9">
        <f>I14/(SUM(B14:G14))</f>
        <v>11.388888888888888</v>
      </c>
    </row>
    <row r="10" spans="1:12">
      <c r="A10" s="128" t="str">
        <f>CONCATENATE("Petitions, total N=", 'Data Entry'!B11)</f>
        <v>Petitions, total N=15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0.53333333333333333</v>
      </c>
      <c r="K10" s="96" t="str">
        <f t="shared" si="0"/>
        <v>Petitions, total N=15</v>
      </c>
      <c r="L10">
        <f>I14/(SUM(B14:G14))</f>
        <v>11.388888888888888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11.388888888888888</v>
      </c>
    </row>
    <row r="12" spans="1:12">
      <c r="A12" s="128" t="str">
        <f>CONCATENATE("Referrals, total N=", 'Data Entry'!B8)</f>
        <v>Referrals, total N=18</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0.55555555555555558</v>
      </c>
      <c r="K12" s="96" t="str">
        <f t="shared" si="0"/>
        <v>Referrals, total N=18</v>
      </c>
      <c r="L12">
        <f>I14/(SUM(B14:G14))</f>
        <v>11.388888888888888</v>
      </c>
    </row>
    <row r="13" spans="1:12">
      <c r="A13" s="128" t="str">
        <f>CONCATENATE("Arrests, total N=", 'Data Entry'!B7)</f>
        <v>Arrests, total N=0</v>
      </c>
      <c r="B13" s="150" t="e">
        <f>'Data Entry'!D7/'Data Entry'!B7</f>
        <v>#DIV/0!</v>
      </c>
      <c r="C13" s="150" t="e">
        <f>'Data Entry'!E7/'Data Entry'!B7</f>
        <v>#DIV/0!</v>
      </c>
      <c r="D13" s="150" t="e">
        <f>'Data Entry'!F7/'Data Entry'!B7</f>
        <v>#DIV/0!</v>
      </c>
      <c r="E13" s="150" t="e">
        <f>'Data Entry'!G7/'Data Entry'!B7</f>
        <v>#DIV/0!</v>
      </c>
      <c r="F13" s="150" t="e">
        <f>'Data Entry'!H7/'Data Entry'!B7</f>
        <v>#DIV/0!</v>
      </c>
      <c r="G13" s="150" t="e">
        <f>'Data Entry'!I7/'Data Entry'!B7</f>
        <v>#DIV/0!</v>
      </c>
      <c r="H13" s="150" t="e">
        <f>SUM(D13:G13)/'Data Entry'!B7</f>
        <v>#DIV/0!</v>
      </c>
      <c r="I13" s="150" t="e">
        <f>'Data Entry'!C7/'Data Entry'!B7</f>
        <v>#DIV/0!</v>
      </c>
      <c r="K13" s="96" t="str">
        <f t="shared" si="0"/>
        <v>Arrests, total N=0</v>
      </c>
      <c r="L13">
        <f>I14/(SUM(B14:G14))</f>
        <v>11.388888888888888</v>
      </c>
    </row>
    <row r="14" spans="1:12">
      <c r="A14" s="128" t="str">
        <f>CONCATENATE("Population, total N=", 'Data Entry'!B6)</f>
        <v>Population, total N=669</v>
      </c>
      <c r="B14" s="150">
        <f>'Data Entry'!D6/'Data Entry'!B6</f>
        <v>2.6905829596412557E-2</v>
      </c>
      <c r="C14" s="150">
        <f>'Data Entry'!E6/'Data Entry'!B6</f>
        <v>3.4379671150971597E-2</v>
      </c>
      <c r="D14" s="150">
        <f>'Data Entry'!F6/'Data Entry'!B6</f>
        <v>8.9686098654708519E-3</v>
      </c>
      <c r="E14" s="150">
        <f>'Data Entry'!G6/'Data Entry'!B6</f>
        <v>0</v>
      </c>
      <c r="F14" s="150">
        <f>'Data Entry'!H6/'Data Entry'!B6</f>
        <v>1.0463378176382661E-2</v>
      </c>
      <c r="G14" s="150">
        <f>'Data Entry'!I6/'Data Entry'!B6</f>
        <v>0</v>
      </c>
      <c r="H14" s="150">
        <f>SUM(D14:G14)/'Data Entry'!B6</f>
        <v>2.9046319942979837E-5</v>
      </c>
      <c r="I14" s="150">
        <f>'Data Entry'!C6/'Data Entry'!B6</f>
        <v>0.91928251121076232</v>
      </c>
      <c r="K14" s="96" t="str">
        <f t="shared" si="0"/>
        <v>Population, total N=669</v>
      </c>
      <c r="L14">
        <f>I14/(SUM(B14:G14))</f>
        <v>11.388888888888888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Montmorency</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615</v>
      </c>
      <c r="D7" s="104">
        <f>'Data Entry'!D6</f>
        <v>18</v>
      </c>
      <c r="E7" s="105"/>
      <c r="F7" s="106">
        <f>'Data Entry'!E6</f>
        <v>23</v>
      </c>
      <c r="G7" s="105"/>
      <c r="H7" s="106">
        <f>'Data Entry'!F6</f>
        <v>6</v>
      </c>
      <c r="I7" s="105"/>
      <c r="J7" s="106">
        <f>'Data Entry'!J6</f>
        <v>54</v>
      </c>
      <c r="K7" s="107"/>
    </row>
    <row r="8" spans="2:30" s="1" customFormat="1" ht="15" customHeight="1">
      <c r="B8" s="121" t="s">
        <v>8</v>
      </c>
      <c r="C8" s="103">
        <f>'Data Entry'!C7</f>
        <v>0</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c r="B9" s="121" t="s">
        <v>134</v>
      </c>
      <c r="C9" s="103">
        <f>'Data Entry'!C8</f>
        <v>10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8</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3</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3</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615</v>
      </c>
      <c r="D6" s="34"/>
      <c r="E6" s="33">
        <f>'Data Entry'!D6</f>
        <v>18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18</v>
      </c>
      <c r="P7" s="42">
        <f t="shared" ref="P7:P15" si="2">C7</f>
        <v>0</v>
      </c>
      <c r="Q7" s="42">
        <f>C6-C7</f>
        <v>615</v>
      </c>
      <c r="R7" s="42">
        <f t="shared" ref="R7:R15" si="3">SUM(N7:Q7)</f>
        <v>633</v>
      </c>
      <c r="S7" s="30">
        <f t="shared" ref="S7:S15" si="4">R7*((((N7*Q7)-(O7*P7))^2))</f>
        <v>0</v>
      </c>
      <c r="T7" s="30">
        <f t="shared" ref="T7:T15" si="5">(N7+O7)*(P7+Q7)*(N7+P7)*(O7+Q7)</f>
        <v>0</v>
      </c>
      <c r="U7" s="31" t="str">
        <f t="shared" ref="U7:U15" si="6">IF((S7&gt;0),S7/T7,"- -")</f>
        <v>- -</v>
      </c>
    </row>
    <row r="8" spans="2:21" ht="18" customHeight="1">
      <c r="B8" s="32" t="str">
        <f>'Data Entry'!A8</f>
        <v>3. Refer to Juvenile Court</v>
      </c>
      <c r="C8" s="33">
        <f>'Data Entry'!C8</f>
        <v>10</v>
      </c>
      <c r="D8" s="34">
        <f>IF((AND(C67&gt;0,C8&gt;0)),(C8/C67),0)</f>
        <v>16.260162601626018</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18.05</v>
      </c>
      <c r="P8" s="42">
        <f t="shared" si="2"/>
        <v>10</v>
      </c>
      <c r="Q8" s="42">
        <f>(C$67*L67)-C8</f>
        <v>605</v>
      </c>
      <c r="R8" s="42">
        <f t="shared" si="3"/>
        <v>633.04999999999995</v>
      </c>
      <c r="S8" s="30">
        <f t="shared" si="4"/>
        <v>20624927.262499999</v>
      </c>
      <c r="T8" s="30">
        <f t="shared" si="5"/>
        <v>69163222.875</v>
      </c>
      <c r="U8" s="31">
        <f t="shared" si="6"/>
        <v>0.29820656709094978</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10</v>
      </c>
      <c r="R9" s="42">
        <f t="shared" si="3"/>
        <v>10</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10</v>
      </c>
      <c r="R10" s="42">
        <f t="shared" si="3"/>
        <v>10</v>
      </c>
      <c r="S10" s="30">
        <f t="shared" si="4"/>
        <v>0</v>
      </c>
      <c r="T10" s="30">
        <f t="shared" si="5"/>
        <v>0</v>
      </c>
      <c r="U10" s="31" t="str">
        <f t="shared" si="6"/>
        <v>- -</v>
      </c>
    </row>
    <row r="11" spans="2:21" ht="18" customHeight="1">
      <c r="B11" s="32" t="str">
        <f>'Data Entry'!A11</f>
        <v>6. Cases Petitioned (Charge Filed)</v>
      </c>
      <c r="C11" s="33">
        <f>'Data Entry'!C11</f>
        <v>8</v>
      </c>
      <c r="D11" s="34">
        <f>IF(((AND(C68&gt;0,C11&gt;0))),(C11/(C68)),0)</f>
        <v>80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8</v>
      </c>
      <c r="Q11" s="42">
        <f>(C$68*L68)-C11</f>
        <v>2</v>
      </c>
      <c r="R11" s="42">
        <f t="shared" si="3"/>
        <v>10</v>
      </c>
      <c r="S11" s="30">
        <f t="shared" si="4"/>
        <v>0</v>
      </c>
      <c r="T11" s="30">
        <f t="shared" si="5"/>
        <v>0</v>
      </c>
      <c r="U11" s="31" t="str">
        <f t="shared" si="6"/>
        <v>- -</v>
      </c>
    </row>
    <row r="12" spans="2:21" ht="18" customHeight="1">
      <c r="B12" s="32" t="str">
        <f>'Data Entry'!A12</f>
        <v>7. Cases Resulting in Delinquent Findings</v>
      </c>
      <c r="C12" s="33">
        <f>'Data Entry'!C12</f>
        <v>3</v>
      </c>
      <c r="D12" s="34">
        <f>IF(((AND(C69&gt;0,C12&gt;0))),(C12/(C69)),0)</f>
        <v>37.5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v>
      </c>
      <c r="Q12" s="42">
        <f>(C69*L69)-C12</f>
        <v>5</v>
      </c>
      <c r="R12" s="42">
        <f t="shared" si="3"/>
        <v>8</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v>
      </c>
      <c r="R13" s="42">
        <f t="shared" si="3"/>
        <v>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3</v>
      </c>
      <c r="R14" s="42">
        <f t="shared" si="3"/>
        <v>3</v>
      </c>
      <c r="S14" s="30">
        <f t="shared" si="4"/>
        <v>0</v>
      </c>
      <c r="T14" s="30">
        <f t="shared" si="5"/>
        <v>0</v>
      </c>
      <c r="U14" s="31" t="str">
        <f t="shared" si="6"/>
        <v>- -</v>
      </c>
    </row>
    <row r="15" spans="2:21" ht="15.75" customHeight="1">
      <c r="B15" s="32" t="str">
        <f>'Data Entry'!A15</f>
        <v xml:space="preserve">10. Cases Transferred to Adult Court </v>
      </c>
      <c r="C15" s="33">
        <f>'Data Entry'!C15</f>
        <v>3</v>
      </c>
      <c r="D15" s="34">
        <f>IF(((AND(C69&gt;0,C15&gt;0))),((C15/(C69))),0)</f>
        <v>37.5</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3</v>
      </c>
      <c r="Q15" s="42">
        <f>(C69*L69)-C15</f>
        <v>5</v>
      </c>
      <c r="R15" s="42">
        <f t="shared" si="3"/>
        <v>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0.61499999999999999</v>
      </c>
      <c r="D42" s="56">
        <f>E6/1000</f>
        <v>1.7999999999999999E-2</v>
      </c>
      <c r="E42" s="56">
        <f>MAX(C42:D42)</f>
        <v>0.61499999999999999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0.08</v>
      </c>
      <c r="D45" s="49">
        <f>E11/100</f>
        <v>0</v>
      </c>
      <c r="E45" s="56">
        <f>MAX(C45:D45,0)</f>
        <v>0.08</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0.61499999999999999</v>
      </c>
      <c r="D48" s="56">
        <f>D42</f>
        <v>1.7999999999999999E-2</v>
      </c>
      <c r="E48" s="56">
        <f>MAX(C48:D48)</f>
        <v>0.61499999999999999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IF(($E43&gt;0),C43,C42)</f>
        <v>0.61499999999999999</v>
      </c>
      <c r="D49" s="49">
        <f t="shared" si="9"/>
        <v>1.7999999999999999E-2</v>
      </c>
      <c r="E49" s="49">
        <f>MAX(C49:D49)</f>
        <v>0.61499999999999999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0.61499999999999999</v>
      </c>
      <c r="D54" s="56">
        <f>D48</f>
        <v>1.7999999999999999E-2</v>
      </c>
      <c r="E54" s="56">
        <f>MAX(C54:D54)</f>
        <v>0.61499999999999999</v>
      </c>
      <c r="G54" s="1" t="str">
        <f>G48</f>
        <v>per 1000 youth</v>
      </c>
      <c r="L54" s="58">
        <f>L48</f>
        <v>1000</v>
      </c>
      <c r="M54" s="58"/>
    </row>
    <row r="55" spans="2:18" ht="15" hidden="1" customHeight="1">
      <c r="B55" s="49" t="str">
        <f t="shared" ref="B55:D56" si="10">IF(($E49&gt;0),B49,B48)</f>
        <v>per 1000 youth</v>
      </c>
      <c r="C55" s="49">
        <f t="shared" si="10"/>
        <v>0.61499999999999999</v>
      </c>
      <c r="D55" s="49">
        <f t="shared" si="10"/>
        <v>1.7999999999999999E-2</v>
      </c>
      <c r="E55" s="49">
        <f>MAX(C55:D55)</f>
        <v>0.61499999999999999</v>
      </c>
      <c r="G55" s="1" t="str">
        <f>G49</f>
        <v>per 100 arrests</v>
      </c>
      <c r="L55" s="58">
        <f>IF(($E49&gt;0),L49,L48)</f>
        <v>1000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0.61499999999999999</v>
      </c>
      <c r="D60" s="56">
        <f>D54</f>
        <v>1.7999999999999999E-2</v>
      </c>
      <c r="E60" s="56">
        <f>MAX(C60:D60)</f>
        <v>0.61499999999999999</v>
      </c>
      <c r="G60" s="1" t="str">
        <f>G54</f>
        <v>per 1000 youth</v>
      </c>
      <c r="L60" s="58">
        <f>L54</f>
        <v>1000</v>
      </c>
      <c r="M60" s="58"/>
    </row>
    <row r="61" spans="2:18" ht="15" hidden="1" customHeight="1">
      <c r="B61" s="49" t="str">
        <f t="shared" ref="B61:D62" si="11">IF(($E55&gt;0),B55,B54)</f>
        <v>per 1000 youth</v>
      </c>
      <c r="C61" s="49">
        <f t="shared" si="11"/>
        <v>0.61499999999999999</v>
      </c>
      <c r="D61" s="49">
        <f t="shared" si="11"/>
        <v>1.7999999999999999E-2</v>
      </c>
      <c r="E61" s="49">
        <f>MAX(C61:D61)</f>
        <v>0.61499999999999999</v>
      </c>
      <c r="G61" s="1" t="str">
        <f>G55</f>
        <v>per 100 arrests</v>
      </c>
      <c r="L61" s="58">
        <f>IF(($E55&gt;0),L55,L54)</f>
        <v>1000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0.61499999999999999</v>
      </c>
      <c r="D66" s="56">
        <f>D60</f>
        <v>1.7999999999999999E-2</v>
      </c>
      <c r="E66" s="56">
        <f>MAX(C66:D66)</f>
        <v>0.61499999999999999</v>
      </c>
      <c r="G66" s="1" t="str">
        <f>G60</f>
        <v>per 1000 youth</v>
      </c>
      <c r="L66" s="58">
        <f>L60</f>
        <v>1000</v>
      </c>
      <c r="M66" s="58">
        <f>IF((B66=G66),1,2)</f>
        <v>1</v>
      </c>
    </row>
    <row r="67" spans="2:13" ht="15" hidden="1" customHeight="1">
      <c r="B67" s="49" t="str">
        <f t="shared" ref="B67:D68" si="12">IF(($E61&gt;0),B61,B60)</f>
        <v>per 1000 youth</v>
      </c>
      <c r="C67" s="49">
        <f t="shared" si="12"/>
        <v>0.61499999999999999</v>
      </c>
      <c r="D67" s="49">
        <f t="shared" si="12"/>
        <v>1.7999999999999999E-2</v>
      </c>
      <c r="E67" s="49">
        <f>MAX(C67:D67)</f>
        <v>0.61499999999999999</v>
      </c>
      <c r="G67" s="1" t="str">
        <f>G61</f>
        <v>per 100 arrests</v>
      </c>
      <c r="L67" s="58">
        <f>IF(($E61&gt;0),L61,L60)</f>
        <v>1000</v>
      </c>
      <c r="M67" s="58">
        <f>IF((B67=G67),1,2)</f>
        <v>2</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0.08</v>
      </c>
      <c r="D69" s="49">
        <f>IF(($E63&gt;0),D63,D62)</f>
        <v>0</v>
      </c>
      <c r="E69" s="49">
        <f>MAX(C69:D69)</f>
        <v>0.08</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615</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6</v>
      </c>
      <c r="P7" s="42">
        <f t="shared" ref="P7:P15" si="4">C7</f>
        <v>0</v>
      </c>
      <c r="Q7" s="42">
        <f>C6-C7</f>
        <v>615</v>
      </c>
      <c r="R7" s="42">
        <f t="shared" ref="R7:R15" si="5">SUM(N7:Q7)</f>
        <v>621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16.260162601626018</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6.05</v>
      </c>
      <c r="P8" s="42">
        <f t="shared" si="4"/>
        <v>10</v>
      </c>
      <c r="Q8" s="42">
        <f>(C$67*L67)-C8</f>
        <v>605</v>
      </c>
      <c r="R8" s="42">
        <f t="shared" si="5"/>
        <v>621.04999999999995</v>
      </c>
      <c r="S8" s="30">
        <f t="shared" si="6"/>
        <v>2273198.2624999997</v>
      </c>
      <c r="T8" s="30">
        <f t="shared" si="7"/>
        <v>22735642.875</v>
      </c>
      <c r="U8" s="31">
        <f t="shared" si="8"/>
        <v>9.9983900829107283E-2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8</v>
      </c>
      <c r="D11" s="34">
        <f>IF(((AND(C68&gt;0,C11&gt;0))),(C11/(C68)),0)</f>
        <v>80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v>
      </c>
      <c r="Q11" s="42">
        <f>(C$68*L68)-C11</f>
        <v>2</v>
      </c>
      <c r="R11" s="42">
        <f t="shared" si="5"/>
        <v>10</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37.5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5</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3</v>
      </c>
      <c r="D15" s="34">
        <f>IF(((AND(C69&gt;0,C15&gt;0))),((C15/(C69))),0)</f>
        <v>37.5</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3</v>
      </c>
      <c r="Q15" s="42">
        <f>(C69*L69)-C15</f>
        <v>5</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0.61499999999999999</v>
      </c>
      <c r="D42" s="56">
        <f>E6/1000</f>
        <v>6.0000000000000001E-3</v>
      </c>
      <c r="E42" s="56">
        <f>MAX(C42:D42)</f>
        <v>0.61499999999999999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0.08</v>
      </c>
      <c r="D45" s="49">
        <f>E11/100</f>
        <v>0</v>
      </c>
      <c r="E45" s="56">
        <f>MAX(C45:D45,0)</f>
        <v>0.08</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0.61499999999999999</v>
      </c>
      <c r="D48" s="56">
        <f>D42</f>
        <v>6.0000000000000001E-3</v>
      </c>
      <c r="E48" s="56">
        <f>MAX(C48:D48)</f>
        <v>0.61499999999999999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0.61499999999999999</v>
      </c>
      <c r="D49" s="49">
        <f t="shared" si="9"/>
        <v>6.0000000000000001E-3</v>
      </c>
      <c r="E49" s="49">
        <f>MAX(C49:D49)</f>
        <v>0.61499999999999999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0.61499999999999999</v>
      </c>
      <c r="D54" s="56">
        <f>D48</f>
        <v>6.0000000000000001E-3</v>
      </c>
      <c r="E54" s="56">
        <f>MAX(C54:D54)</f>
        <v>0.61499999999999999</v>
      </c>
      <c r="G54" s="1" t="str">
        <f>G48</f>
        <v>per 1000 youth</v>
      </c>
      <c r="L54" s="58">
        <f>L48</f>
        <v>1000</v>
      </c>
      <c r="M54" s="58"/>
    </row>
    <row r="55" spans="2:18" ht="15" hidden="1" customHeight="1">
      <c r="B55" s="49" t="str">
        <f t="shared" ref="B55:D56" si="10">IF(($E49&gt;0),B49,B48)</f>
        <v>per 1000 youth</v>
      </c>
      <c r="C55" s="49">
        <f t="shared" si="10"/>
        <v>0.61499999999999999</v>
      </c>
      <c r="D55" s="49">
        <f t="shared" si="10"/>
        <v>6.0000000000000001E-3</v>
      </c>
      <c r="E55" s="49">
        <f>MAX(C55:D55)</f>
        <v>0.61499999999999999</v>
      </c>
      <c r="G55" s="1" t="str">
        <f>G49</f>
        <v>per 100 arrests</v>
      </c>
      <c r="L55" s="58">
        <f>IF(($E49&gt;0),L49,L48)</f>
        <v>1000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0.61499999999999999</v>
      </c>
      <c r="D60" s="56">
        <f>D54</f>
        <v>6.0000000000000001E-3</v>
      </c>
      <c r="E60" s="56">
        <f>MAX(C60:D60)</f>
        <v>0.61499999999999999</v>
      </c>
      <c r="G60" s="1" t="str">
        <f>G54</f>
        <v>per 1000 youth</v>
      </c>
      <c r="L60" s="58">
        <f>L54</f>
        <v>1000</v>
      </c>
      <c r="M60" s="58"/>
    </row>
    <row r="61" spans="2:18" ht="15" hidden="1" customHeight="1">
      <c r="B61" s="49" t="str">
        <f t="shared" ref="B61:D62" si="11">IF(($E55&gt;0),B55,B54)</f>
        <v>per 1000 youth</v>
      </c>
      <c r="C61" s="49">
        <f t="shared" si="11"/>
        <v>0.61499999999999999</v>
      </c>
      <c r="D61" s="49">
        <f t="shared" si="11"/>
        <v>6.0000000000000001E-3</v>
      </c>
      <c r="E61" s="49">
        <f>MAX(C61:D61)</f>
        <v>0.61499999999999999</v>
      </c>
      <c r="G61" s="1" t="str">
        <f>G55</f>
        <v>per 100 arrests</v>
      </c>
      <c r="L61" s="58">
        <f>IF(($E55&gt;0),L55,L54)</f>
        <v>1000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0.61499999999999999</v>
      </c>
      <c r="D66" s="56">
        <f>D60</f>
        <v>6.0000000000000001E-3</v>
      </c>
      <c r="E66" s="56">
        <f>MAX(C66:D66)</f>
        <v>0.61499999999999999</v>
      </c>
      <c r="G66" s="1" t="str">
        <f>G60</f>
        <v>per 1000 youth</v>
      </c>
      <c r="L66" s="58">
        <f>L60</f>
        <v>1000</v>
      </c>
      <c r="M66" s="58">
        <f>IF((B66=G66),1,2)</f>
        <v>1</v>
      </c>
    </row>
    <row r="67" spans="2:13" ht="15" hidden="1" customHeight="1">
      <c r="B67" s="49" t="str">
        <f t="shared" ref="B67:D68" si="12">IF(($E61&gt;0),B61,B60)</f>
        <v>per 1000 youth</v>
      </c>
      <c r="C67" s="49">
        <f t="shared" si="12"/>
        <v>0.61499999999999999</v>
      </c>
      <c r="D67" s="49">
        <f t="shared" si="12"/>
        <v>6.0000000000000001E-3</v>
      </c>
      <c r="E67" s="49">
        <f>MAX(C67:D67)</f>
        <v>0.61499999999999999</v>
      </c>
      <c r="G67" s="1" t="str">
        <f>G61</f>
        <v>per 100 arrests</v>
      </c>
      <c r="L67" s="58">
        <f>IF(($E61&gt;0),L61,L60)</f>
        <v>1000</v>
      </c>
      <c r="M67" s="58">
        <f>IF((B67=G67),1,2)</f>
        <v>2</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0.08</v>
      </c>
      <c r="D69" s="49">
        <f>IF(($E63&gt;0),D63,D62)</f>
        <v>0</v>
      </c>
      <c r="E69" s="49">
        <f>MAX(C69:D69)</f>
        <v>0.08</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615</v>
      </c>
      <c r="D6" s="34"/>
      <c r="E6" s="33">
        <f>'Data Entry'!E6</f>
        <v>23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23</v>
      </c>
      <c r="P7" s="42">
        <f t="shared" ref="P7:P15" si="4">C7</f>
        <v>0</v>
      </c>
      <c r="Q7" s="42">
        <f>C6-C7</f>
        <v>615</v>
      </c>
      <c r="R7" s="42">
        <f t="shared" ref="R7:R15" si="5">SUM(N7:Q7)</f>
        <v>638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16.260162601626018</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23.05</v>
      </c>
      <c r="P8" s="42">
        <f t="shared" si="4"/>
        <v>10</v>
      </c>
      <c r="Q8" s="42">
        <f>(C$67*L67)-C8</f>
        <v>605</v>
      </c>
      <c r="R8" s="42">
        <f t="shared" si="5"/>
        <v>638.04999999999995</v>
      </c>
      <c r="S8" s="30">
        <f t="shared" si="6"/>
        <v>33899756.012499996</v>
      </c>
      <c r="T8" s="30">
        <f t="shared" si="7"/>
        <v>89030797.875</v>
      </c>
      <c r="U8" s="31">
        <f t="shared" si="8"/>
        <v>0.38076437392030948</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8</v>
      </c>
      <c r="D11" s="34">
        <f>IF(((AND(C68&gt;0,C11&gt;0))),(C11/(C68)),0)</f>
        <v>80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v>
      </c>
      <c r="Q11" s="42">
        <f>(C$68*L68)-C11</f>
        <v>2</v>
      </c>
      <c r="R11" s="42">
        <f t="shared" si="5"/>
        <v>10</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37.5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5</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3</v>
      </c>
      <c r="D15" s="34">
        <f>IF(((AND(C69&gt;0,C15&gt;0))),((C15/(C69))),0)</f>
        <v>37.5</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3</v>
      </c>
      <c r="Q15" s="42">
        <f>(C69*L69)-C15</f>
        <v>5</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0.61499999999999999</v>
      </c>
      <c r="D42" s="56">
        <f>E6/1000</f>
        <v>2.3E-2</v>
      </c>
      <c r="E42" s="56">
        <f>MAX(C42:D42)</f>
        <v>0.61499999999999999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0.08</v>
      </c>
      <c r="D45" s="49">
        <f>E11/100</f>
        <v>0</v>
      </c>
      <c r="E45" s="56">
        <f>MAX(C45:D45,0)</f>
        <v>0.08</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0.61499999999999999</v>
      </c>
      <c r="D48" s="56">
        <f>D42</f>
        <v>2.3E-2</v>
      </c>
      <c r="E48" s="56">
        <f>MAX(C48:D48)</f>
        <v>0.61499999999999999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0.61499999999999999</v>
      </c>
      <c r="D49" s="49">
        <f t="shared" si="9"/>
        <v>2.3E-2</v>
      </c>
      <c r="E49" s="49">
        <f>MAX(C49:D49)</f>
        <v>0.61499999999999999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0.61499999999999999</v>
      </c>
      <c r="D54" s="56">
        <f>D48</f>
        <v>2.3E-2</v>
      </c>
      <c r="E54" s="56">
        <f>MAX(C54:D54)</f>
        <v>0.61499999999999999</v>
      </c>
      <c r="G54" s="1" t="str">
        <f>G48</f>
        <v>per 1000 youth</v>
      </c>
      <c r="L54" s="58">
        <f>L48</f>
        <v>1000</v>
      </c>
      <c r="M54" s="58"/>
    </row>
    <row r="55" spans="2:18" ht="15" hidden="1" customHeight="1">
      <c r="B55" s="49" t="str">
        <f t="shared" ref="B55:D56" si="10">IF(($E49&gt;0),B49,B48)</f>
        <v>per 1000 youth</v>
      </c>
      <c r="C55" s="49">
        <f t="shared" si="10"/>
        <v>0.61499999999999999</v>
      </c>
      <c r="D55" s="49">
        <f t="shared" si="10"/>
        <v>2.3E-2</v>
      </c>
      <c r="E55" s="49">
        <f>MAX(C55:D55)</f>
        <v>0.61499999999999999</v>
      </c>
      <c r="G55" s="1" t="str">
        <f>G49</f>
        <v>per 100 arrests</v>
      </c>
      <c r="L55" s="58">
        <f>IF(($E49&gt;0),L49,L48)</f>
        <v>1000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0.61499999999999999</v>
      </c>
      <c r="D60" s="56">
        <f>D54</f>
        <v>2.3E-2</v>
      </c>
      <c r="E60" s="56">
        <f>MAX(C60:D60)</f>
        <v>0.61499999999999999</v>
      </c>
      <c r="G60" s="1" t="str">
        <f>G54</f>
        <v>per 1000 youth</v>
      </c>
      <c r="L60" s="58">
        <f>L54</f>
        <v>1000</v>
      </c>
      <c r="M60" s="58"/>
    </row>
    <row r="61" spans="2:18" ht="15" hidden="1" customHeight="1">
      <c r="B61" s="49" t="str">
        <f t="shared" ref="B61:D62" si="11">IF(($E55&gt;0),B55,B54)</f>
        <v>per 1000 youth</v>
      </c>
      <c r="C61" s="49">
        <f t="shared" si="11"/>
        <v>0.61499999999999999</v>
      </c>
      <c r="D61" s="49">
        <f t="shared" si="11"/>
        <v>2.3E-2</v>
      </c>
      <c r="E61" s="49">
        <f>MAX(C61:D61)</f>
        <v>0.61499999999999999</v>
      </c>
      <c r="G61" s="1" t="str">
        <f>G55</f>
        <v>per 100 arrests</v>
      </c>
      <c r="L61" s="58">
        <f>IF(($E55&gt;0),L55,L54)</f>
        <v>1000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0.61499999999999999</v>
      </c>
      <c r="D66" s="56">
        <f>D60</f>
        <v>2.3E-2</v>
      </c>
      <c r="E66" s="56">
        <f>MAX(C66:D66)</f>
        <v>0.61499999999999999</v>
      </c>
      <c r="G66" s="1" t="str">
        <f>G60</f>
        <v>per 1000 youth</v>
      </c>
      <c r="L66" s="58">
        <f>L60</f>
        <v>1000</v>
      </c>
      <c r="M66" s="58">
        <f>IF((B66=G66),1,2)</f>
        <v>1</v>
      </c>
    </row>
    <row r="67" spans="2:13" ht="15" hidden="1" customHeight="1">
      <c r="B67" s="49" t="str">
        <f t="shared" ref="B67:D68" si="12">IF(($E61&gt;0),B61,B60)</f>
        <v>per 1000 youth</v>
      </c>
      <c r="C67" s="49">
        <f t="shared" si="12"/>
        <v>0.61499999999999999</v>
      </c>
      <c r="D67" s="49">
        <f t="shared" si="12"/>
        <v>2.3E-2</v>
      </c>
      <c r="E67" s="49">
        <f>MAX(C67:D67)</f>
        <v>0.61499999999999999</v>
      </c>
      <c r="G67" s="1" t="str">
        <f>G61</f>
        <v>per 100 arrests</v>
      </c>
      <c r="L67" s="58">
        <f>IF(($E61&gt;0),L61,L60)</f>
        <v>1000</v>
      </c>
      <c r="M67" s="58">
        <f>IF((B67=G67),1,2)</f>
        <v>2</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0.08</v>
      </c>
      <c r="D69" s="49">
        <f>IF(($E63&gt;0),D63,D62)</f>
        <v>0</v>
      </c>
      <c r="E69" s="49">
        <f>MAX(C69:D69)</f>
        <v>0.08</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615</v>
      </c>
      <c r="R7" s="42">
        <f t="shared" ref="R7:R15" si="5">SUM(N7:Q7)</f>
        <v>615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16.260162601626018</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10</v>
      </c>
      <c r="Q8" s="42">
        <f>(C$67*L67)-C8</f>
        <v>605</v>
      </c>
      <c r="R8" s="42">
        <f t="shared" si="5"/>
        <v>615.04999999999995</v>
      </c>
      <c r="S8" s="30">
        <f t="shared" si="6"/>
        <v>153.76249999999999</v>
      </c>
      <c r="T8" s="30">
        <f t="shared" si="7"/>
        <v>186052.875</v>
      </c>
      <c r="U8" s="31">
        <f t="shared" si="8"/>
        <v>8.2644517049252795E-4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8</v>
      </c>
      <c r="D11" s="34">
        <f>IF(((AND(C68&gt;0,C11&gt;0))),(C11/(C68)),0)</f>
        <v>80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v>
      </c>
      <c r="Q11" s="42">
        <f>(C$68*L68)-C11</f>
        <v>2</v>
      </c>
      <c r="R11" s="42">
        <f t="shared" si="5"/>
        <v>10</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37.5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5</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3</v>
      </c>
      <c r="D15" s="34">
        <f>IF(((AND(C69&gt;0,C15&gt;0))),((C15/(C69))),0)</f>
        <v>37.5</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3</v>
      </c>
      <c r="Q15" s="42">
        <f>(C69*L69)-C15</f>
        <v>5</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0.61499999999999999</v>
      </c>
      <c r="D42" s="56">
        <f>E6/1000</f>
        <v>0</v>
      </c>
      <c r="E42" s="56">
        <f>MAX(C42:D42)</f>
        <v>0.61499999999999999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0.08</v>
      </c>
      <c r="D45" s="49">
        <f>E11/100</f>
        <v>0</v>
      </c>
      <c r="E45" s="56">
        <f>MAX(C45:D45,0)</f>
        <v>0.08</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0.61499999999999999</v>
      </c>
      <c r="D48" s="56">
        <f>D42</f>
        <v>0</v>
      </c>
      <c r="E48" s="56">
        <f>MAX(C48:D48)</f>
        <v>0.61499999999999999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0.61499999999999999</v>
      </c>
      <c r="D49" s="49">
        <f t="shared" si="9"/>
        <v>0</v>
      </c>
      <c r="E49" s="49">
        <f>MAX(C49:D49)</f>
        <v>0.61499999999999999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0.61499999999999999</v>
      </c>
      <c r="D54" s="56">
        <f>D48</f>
        <v>0</v>
      </c>
      <c r="E54" s="56">
        <f>MAX(C54:D54)</f>
        <v>0.61499999999999999</v>
      </c>
      <c r="G54" s="1" t="str">
        <f>G48</f>
        <v>per 1000 youth</v>
      </c>
      <c r="L54" s="58">
        <f>L48</f>
        <v>1000</v>
      </c>
      <c r="M54" s="58"/>
    </row>
    <row r="55" spans="2:18" ht="15" hidden="1" customHeight="1">
      <c r="B55" s="49" t="str">
        <f t="shared" ref="B55:D56" si="10">IF(($E49&gt;0),B49,B48)</f>
        <v>per 1000 youth</v>
      </c>
      <c r="C55" s="49">
        <f t="shared" si="10"/>
        <v>0.61499999999999999</v>
      </c>
      <c r="D55" s="49">
        <f t="shared" si="10"/>
        <v>0</v>
      </c>
      <c r="E55" s="49">
        <f>MAX(C55:D55)</f>
        <v>0.61499999999999999</v>
      </c>
      <c r="G55" s="1" t="str">
        <f>G49</f>
        <v>per 100 arrests</v>
      </c>
      <c r="L55" s="58">
        <f>IF(($E49&gt;0),L49,L48)</f>
        <v>1000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0.61499999999999999</v>
      </c>
      <c r="D60" s="56">
        <f>D54</f>
        <v>0</v>
      </c>
      <c r="E60" s="56">
        <f>MAX(C60:D60)</f>
        <v>0.61499999999999999</v>
      </c>
      <c r="G60" s="1" t="str">
        <f>G54</f>
        <v>per 1000 youth</v>
      </c>
      <c r="L60" s="58">
        <f>L54</f>
        <v>1000</v>
      </c>
      <c r="M60" s="58"/>
    </row>
    <row r="61" spans="2:18" ht="15" hidden="1" customHeight="1">
      <c r="B61" s="49" t="str">
        <f t="shared" ref="B61:D62" si="11">IF(($E55&gt;0),B55,B54)</f>
        <v>per 1000 youth</v>
      </c>
      <c r="C61" s="49">
        <f t="shared" si="11"/>
        <v>0.61499999999999999</v>
      </c>
      <c r="D61" s="49">
        <f t="shared" si="11"/>
        <v>0</v>
      </c>
      <c r="E61" s="49">
        <f>MAX(C61:D61)</f>
        <v>0.61499999999999999</v>
      </c>
      <c r="G61" s="1" t="str">
        <f>G55</f>
        <v>per 100 arrests</v>
      </c>
      <c r="L61" s="58">
        <f>IF(($E55&gt;0),L55,L54)</f>
        <v>1000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0.61499999999999999</v>
      </c>
      <c r="D66" s="56">
        <f>D60</f>
        <v>0</v>
      </c>
      <c r="E66" s="56">
        <f>MAX(C66:D66)</f>
        <v>0.61499999999999999</v>
      </c>
      <c r="G66" s="1" t="str">
        <f>G60</f>
        <v>per 1000 youth</v>
      </c>
      <c r="L66" s="58">
        <f>L60</f>
        <v>1000</v>
      </c>
      <c r="M66" s="58">
        <f>IF((B66=G66),1,2)</f>
        <v>1</v>
      </c>
    </row>
    <row r="67" spans="2:13" ht="15" hidden="1" customHeight="1">
      <c r="B67" s="49" t="str">
        <f t="shared" ref="B67:D68" si="12">IF(($E61&gt;0),B61,B60)</f>
        <v>per 1000 youth</v>
      </c>
      <c r="C67" s="49">
        <f t="shared" si="12"/>
        <v>0.61499999999999999</v>
      </c>
      <c r="D67" s="49">
        <f t="shared" si="12"/>
        <v>0</v>
      </c>
      <c r="E67" s="49">
        <f>MAX(C67:D67)</f>
        <v>0.61499999999999999</v>
      </c>
      <c r="G67" s="1" t="str">
        <f>G61</f>
        <v>per 100 arrests</v>
      </c>
      <c r="L67" s="58">
        <f>IF(($E61&gt;0),L61,L60)</f>
        <v>1000</v>
      </c>
      <c r="M67" s="58">
        <f>IF((B67=G67),1,2)</f>
        <v>2</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0.08</v>
      </c>
      <c r="D69" s="49">
        <f>IF(($E63&gt;0),D63,D62)</f>
        <v>0</v>
      </c>
      <c r="E69" s="49">
        <f>MAX(C69:D69)</f>
        <v>0.08</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Montmorency</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615</v>
      </c>
      <c r="D6" s="34"/>
      <c r="E6" s="33">
        <f>'Data Entry'!H6</f>
        <v>7</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7</v>
      </c>
      <c r="P7" s="42">
        <f t="shared" ref="P7:P15" si="4">C7</f>
        <v>0</v>
      </c>
      <c r="Q7" s="42">
        <f>C6-C7</f>
        <v>615</v>
      </c>
      <c r="R7" s="42">
        <f t="shared" ref="R7:R15" si="5">SUM(N7:Q7)</f>
        <v>622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10</v>
      </c>
      <c r="D8" s="34">
        <f>IF((AND(C67&gt;0,C8&gt;0)),(C8/C67),0)</f>
        <v>16.260162601626018</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7.05</v>
      </c>
      <c r="P8" s="42">
        <f t="shared" si="4"/>
        <v>10</v>
      </c>
      <c r="Q8" s="42">
        <f>(C$67*L67)-C8</f>
        <v>605</v>
      </c>
      <c r="R8" s="42">
        <f t="shared" si="5"/>
        <v>622.04999999999995</v>
      </c>
      <c r="S8" s="30">
        <f t="shared" si="6"/>
        <v>3091744.0124999997</v>
      </c>
      <c r="T8" s="30">
        <f t="shared" si="7"/>
        <v>26536957.874999996</v>
      </c>
      <c r="U8" s="31">
        <f t="shared" si="8"/>
        <v>0.11650710028871386</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10</v>
      </c>
      <c r="R9" s="42">
        <f t="shared" si="5"/>
        <v>10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10</v>
      </c>
      <c r="R10" s="42">
        <f t="shared" si="5"/>
        <v>10</v>
      </c>
      <c r="S10" s="30">
        <f t="shared" si="6"/>
        <v>0</v>
      </c>
      <c r="T10" s="30">
        <f t="shared" si="7"/>
        <v>0</v>
      </c>
      <c r="U10" s="31" t="str">
        <f t="shared" si="8"/>
        <v>- -</v>
      </c>
    </row>
    <row r="11" spans="2:21" ht="18" customHeight="1">
      <c r="B11" s="32" t="str">
        <f>'Data Entry'!A11</f>
        <v>6. Cases Petitioned (Charge Filed)</v>
      </c>
      <c r="C11" s="33">
        <f>'Data Entry'!C11</f>
        <v>8</v>
      </c>
      <c r="D11" s="34">
        <f>IF(((AND(C68&gt;0,C11&gt;0))),(C11/(C68)),0)</f>
        <v>80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8</v>
      </c>
      <c r="Q11" s="42">
        <f>(C$68*L68)-C11</f>
        <v>2</v>
      </c>
      <c r="R11" s="42">
        <f t="shared" si="5"/>
        <v>10</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37.5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5</v>
      </c>
      <c r="R12" s="42">
        <f t="shared" si="5"/>
        <v>8</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3</v>
      </c>
      <c r="D15" s="34">
        <f>IF(((AND(C69&gt;0,C15&gt;0))),((C15/(C69))),0)</f>
        <v>37.5</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3</v>
      </c>
      <c r="Q15" s="42">
        <f>(C69*L69)-C15</f>
        <v>5</v>
      </c>
      <c r="R15" s="42">
        <f t="shared" si="5"/>
        <v>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1000 youth</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0.61499999999999999</v>
      </c>
      <c r="D42" s="56">
        <f>E6/1000</f>
        <v>7.0000000000000001E-3</v>
      </c>
      <c r="E42" s="56">
        <f>MAX(C42:D42)</f>
        <v>0.61499999999999999</v>
      </c>
      <c r="G42" s="1" t="str">
        <f>B42</f>
        <v>per 1000 youth</v>
      </c>
      <c r="L42" s="57">
        <v>1000</v>
      </c>
      <c r="M42" s="57"/>
      <c r="R42" s="49"/>
    </row>
    <row r="43" spans="2:18" ht="15" hidden="1" customHeight="1">
      <c r="B43" s="49" t="s">
        <v>87</v>
      </c>
      <c r="C43" s="56">
        <f>C7/100</f>
        <v>0</v>
      </c>
      <c r="D43" s="56">
        <f>E7/100</f>
        <v>0</v>
      </c>
      <c r="E43" s="56">
        <f>MAX(C43:D43,0)</f>
        <v>0</v>
      </c>
      <c r="G43" s="1" t="str">
        <f>B43</f>
        <v>per 100 arrests</v>
      </c>
      <c r="L43" s="57">
        <v>100</v>
      </c>
      <c r="M43" s="57"/>
      <c r="R43" s="49"/>
    </row>
    <row r="44" spans="2:18" ht="15" hidden="1" customHeight="1">
      <c r="B44" s="49" t="s">
        <v>88</v>
      </c>
      <c r="C44" s="56">
        <f>C8/100</f>
        <v>0.1</v>
      </c>
      <c r="D44" s="56">
        <f>E8/100</f>
        <v>0</v>
      </c>
      <c r="E44" s="56">
        <f>MAX(C44:D44,0)</f>
        <v>0.1</v>
      </c>
      <c r="G44" s="1" t="str">
        <f>B44</f>
        <v>per 100 referrals</v>
      </c>
      <c r="L44" s="57">
        <v>100</v>
      </c>
      <c r="M44" s="57"/>
      <c r="R44" s="49"/>
    </row>
    <row r="45" spans="2:18" ht="15" hidden="1" customHeight="1">
      <c r="B45" s="49" t="s">
        <v>89</v>
      </c>
      <c r="C45" s="49">
        <f>C11/100</f>
        <v>0.08</v>
      </c>
      <c r="D45" s="49">
        <f>E11/100</f>
        <v>0</v>
      </c>
      <c r="E45" s="56">
        <f>MAX(C45:D45,0)</f>
        <v>0.08</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0.61499999999999999</v>
      </c>
      <c r="D48" s="56">
        <f>D42</f>
        <v>7.0000000000000001E-3</v>
      </c>
      <c r="E48" s="56">
        <f>MAX(C48:D48)</f>
        <v>0.61499999999999999</v>
      </c>
      <c r="G48" s="1" t="str">
        <f>G42</f>
        <v>per 1000 youth</v>
      </c>
      <c r="L48" s="58">
        <f>L42</f>
        <v>1000</v>
      </c>
      <c r="M48" s="58"/>
      <c r="N48" s="21"/>
      <c r="O48" s="21"/>
      <c r="P48" s="21"/>
      <c r="Q48" s="21"/>
      <c r="R48" s="21"/>
    </row>
    <row r="49" spans="2:18" ht="15" hidden="1" customHeight="1">
      <c r="B49" s="49" t="str">
        <f t="shared" ref="B49:D50" si="9">IF(($E43&gt;0),B43,B42)</f>
        <v>per 1000 youth</v>
      </c>
      <c r="C49" s="49">
        <f t="shared" si="9"/>
        <v>0.61499999999999999</v>
      </c>
      <c r="D49" s="49">
        <f t="shared" si="9"/>
        <v>7.0000000000000001E-3</v>
      </c>
      <c r="E49" s="49">
        <f>MAX(C49:D49)</f>
        <v>0.61499999999999999</v>
      </c>
      <c r="G49" s="1" t="str">
        <f>G43</f>
        <v>per 100 arrests</v>
      </c>
      <c r="L49" s="58">
        <f>IF(($E43&gt;0),L43,L42)</f>
        <v>1000</v>
      </c>
      <c r="M49" s="58"/>
      <c r="N49" s="21"/>
      <c r="O49" s="21"/>
      <c r="P49" s="21"/>
      <c r="Q49" s="21"/>
      <c r="R49" s="21"/>
    </row>
    <row r="50" spans="2:18" ht="15" hidden="1" customHeight="1">
      <c r="B50" s="49" t="str">
        <f t="shared" si="9"/>
        <v>per 100 referrals</v>
      </c>
      <c r="C50" s="49">
        <f t="shared" si="9"/>
        <v>0.1</v>
      </c>
      <c r="D50" s="49">
        <f t="shared" si="9"/>
        <v>0</v>
      </c>
      <c r="E50" s="49">
        <f>MAX(C50:D50)</f>
        <v>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0.08</v>
      </c>
      <c r="D51" s="49">
        <f>IF(($E45&gt;0),D45,D44)</f>
        <v>0</v>
      </c>
      <c r="E51" s="49">
        <f>MAX(C51:D51)</f>
        <v>0.08</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0.61499999999999999</v>
      </c>
      <c r="D54" s="56">
        <f>D48</f>
        <v>7.0000000000000001E-3</v>
      </c>
      <c r="E54" s="56">
        <f>MAX(C54:D54)</f>
        <v>0.61499999999999999</v>
      </c>
      <c r="G54" s="1" t="str">
        <f>G48</f>
        <v>per 1000 youth</v>
      </c>
      <c r="L54" s="58">
        <f>L48</f>
        <v>1000</v>
      </c>
      <c r="M54" s="58"/>
    </row>
    <row r="55" spans="2:18" ht="15" hidden="1" customHeight="1">
      <c r="B55" s="49" t="str">
        <f t="shared" ref="B55:D56" si="10">IF(($E49&gt;0),B49,B48)</f>
        <v>per 1000 youth</v>
      </c>
      <c r="C55" s="49">
        <f t="shared" si="10"/>
        <v>0.61499999999999999</v>
      </c>
      <c r="D55" s="49">
        <f t="shared" si="10"/>
        <v>7.0000000000000001E-3</v>
      </c>
      <c r="E55" s="49">
        <f>MAX(C55:D55)</f>
        <v>0.61499999999999999</v>
      </c>
      <c r="G55" s="1" t="str">
        <f>G49</f>
        <v>per 100 arrests</v>
      </c>
      <c r="L55" s="58">
        <f>IF(($E49&gt;0),L49,L48)</f>
        <v>1000</v>
      </c>
      <c r="M55" s="58"/>
    </row>
    <row r="56" spans="2:18" ht="15" hidden="1" customHeight="1">
      <c r="B56" s="49" t="str">
        <f t="shared" si="10"/>
        <v>per 100 referrals</v>
      </c>
      <c r="C56" s="49">
        <f t="shared" si="10"/>
        <v>0.1</v>
      </c>
      <c r="D56" s="49">
        <f t="shared" si="10"/>
        <v>0</v>
      </c>
      <c r="E56" s="49">
        <f>MAX(C56:D56)</f>
        <v>0.1</v>
      </c>
      <c r="G56" s="1" t="str">
        <f>G50</f>
        <v>per 100 referrals</v>
      </c>
      <c r="L56" s="58">
        <f>IF(($E50&gt;0),L50,L49)</f>
        <v>100</v>
      </c>
      <c r="M56" s="58"/>
    </row>
    <row r="57" spans="2:18" ht="15" hidden="1" customHeight="1">
      <c r="B57" s="49" t="str">
        <f>IF(($E51&gt;0),B51,B49)</f>
        <v>per 100 youth petitioned</v>
      </c>
      <c r="C57" s="49">
        <f>IF(($E51&gt;0),C51,C50)</f>
        <v>0.08</v>
      </c>
      <c r="D57" s="49">
        <f>IF(($E51&gt;0),D51,D50)</f>
        <v>0</v>
      </c>
      <c r="E57" s="49">
        <f>MAX(C57:D57)</f>
        <v>0.08</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0.61499999999999999</v>
      </c>
      <c r="D60" s="56">
        <f>D54</f>
        <v>7.0000000000000001E-3</v>
      </c>
      <c r="E60" s="56">
        <f>MAX(C60:D60)</f>
        <v>0.61499999999999999</v>
      </c>
      <c r="G60" s="1" t="str">
        <f>G54</f>
        <v>per 1000 youth</v>
      </c>
      <c r="L60" s="58">
        <f>L54</f>
        <v>1000</v>
      </c>
      <c r="M60" s="58"/>
    </row>
    <row r="61" spans="2:18" ht="15" hidden="1" customHeight="1">
      <c r="B61" s="49" t="str">
        <f t="shared" ref="B61:D62" si="11">IF(($E55&gt;0),B55,B54)</f>
        <v>per 1000 youth</v>
      </c>
      <c r="C61" s="49">
        <f t="shared" si="11"/>
        <v>0.61499999999999999</v>
      </c>
      <c r="D61" s="49">
        <f t="shared" si="11"/>
        <v>7.0000000000000001E-3</v>
      </c>
      <c r="E61" s="49">
        <f>MAX(C61:D61)</f>
        <v>0.61499999999999999</v>
      </c>
      <c r="G61" s="1" t="str">
        <f>G55</f>
        <v>per 100 arrests</v>
      </c>
      <c r="L61" s="58">
        <f>IF(($E55&gt;0),L55,L54)</f>
        <v>1000</v>
      </c>
      <c r="M61" s="58"/>
    </row>
    <row r="62" spans="2:18" ht="15" hidden="1" customHeight="1">
      <c r="B62" s="49" t="str">
        <f t="shared" si="11"/>
        <v>per 100 referrals</v>
      </c>
      <c r="C62" s="49">
        <f t="shared" si="11"/>
        <v>0.1</v>
      </c>
      <c r="D62" s="49">
        <f t="shared" si="11"/>
        <v>0</v>
      </c>
      <c r="E62" s="49">
        <f>MAX(C62:D62)</f>
        <v>0.1</v>
      </c>
      <c r="G62" s="1" t="str">
        <f>G56</f>
        <v>per 100 referrals</v>
      </c>
      <c r="L62" s="58">
        <f>IF(($E56&gt;0),L56,L55)</f>
        <v>100</v>
      </c>
      <c r="M62" s="58"/>
    </row>
    <row r="63" spans="2:18" ht="15" hidden="1" customHeight="1">
      <c r="B63" s="49" t="str">
        <f>IF(($E57&gt;0),B57,B55)</f>
        <v>per 100 youth petitioned</v>
      </c>
      <c r="C63" s="49">
        <f>IF(($E57&gt;0),C57,C56)</f>
        <v>0.08</v>
      </c>
      <c r="D63" s="49">
        <f>IF(($E57&gt;0),D57,D56)</f>
        <v>0</v>
      </c>
      <c r="E63" s="49">
        <f>MAX(C63:D63)</f>
        <v>0.08</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0.61499999999999999</v>
      </c>
      <c r="D66" s="56">
        <f>D60</f>
        <v>7.0000000000000001E-3</v>
      </c>
      <c r="E66" s="56">
        <f>MAX(C66:D66)</f>
        <v>0.61499999999999999</v>
      </c>
      <c r="G66" s="1" t="str">
        <f>G60</f>
        <v>per 1000 youth</v>
      </c>
      <c r="L66" s="58">
        <f>L60</f>
        <v>1000</v>
      </c>
      <c r="M66" s="58">
        <f>IF((B66=G66),1,2)</f>
        <v>1</v>
      </c>
    </row>
    <row r="67" spans="2:13" ht="15" hidden="1" customHeight="1">
      <c r="B67" s="49" t="str">
        <f t="shared" ref="B67:D68" si="12">IF(($E61&gt;0),B61,B60)</f>
        <v>per 1000 youth</v>
      </c>
      <c r="C67" s="49">
        <f t="shared" si="12"/>
        <v>0.61499999999999999</v>
      </c>
      <c r="D67" s="49">
        <f t="shared" si="12"/>
        <v>7.0000000000000001E-3</v>
      </c>
      <c r="E67" s="49">
        <f>MAX(C67:D67)</f>
        <v>0.61499999999999999</v>
      </c>
      <c r="G67" s="1" t="str">
        <f>G61</f>
        <v>per 100 arrests</v>
      </c>
      <c r="L67" s="58">
        <f>IF(($E61&gt;0),L61,L60)</f>
        <v>1000</v>
      </c>
      <c r="M67" s="58">
        <f>IF((B67=G67),1,2)</f>
        <v>2</v>
      </c>
    </row>
    <row r="68" spans="2:13" ht="15" hidden="1" customHeight="1">
      <c r="B68" s="49" t="str">
        <f t="shared" si="12"/>
        <v>per 100 referrals</v>
      </c>
      <c r="C68" s="49">
        <f t="shared" si="12"/>
        <v>0.1</v>
      </c>
      <c r="D68" s="49">
        <f t="shared" si="12"/>
        <v>0</v>
      </c>
      <c r="E68" s="49">
        <f>MAX(C68:D68)</f>
        <v>0.1</v>
      </c>
      <c r="G68" s="1" t="str">
        <f>G62</f>
        <v>per 100 referrals</v>
      </c>
      <c r="L68" s="58">
        <f>IF(($E62&gt;0),L62,L61)</f>
        <v>100</v>
      </c>
      <c r="M68" s="58">
        <f>IF((B68=G68),1,2)</f>
        <v>1</v>
      </c>
    </row>
    <row r="69" spans="2:13" ht="15" hidden="1" customHeight="1">
      <c r="B69" s="49" t="str">
        <f>IF(($E63&gt;0),B63,B61)</f>
        <v>per 100 youth petitioned</v>
      </c>
      <c r="C69" s="49">
        <f>IF(($E63&gt;0),C63,C62)</f>
        <v>0.08</v>
      </c>
      <c r="D69" s="49">
        <f>IF(($E63&gt;0),D63,D62)</f>
        <v>0</v>
      </c>
      <c r="E69" s="49">
        <f>MAX(C69:D69)</f>
        <v>0.08</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U47JMPN4QEAR-1806752177-30521</_dlc_DocId>
    <_dlc_DocIdUrl xmlns="ac3811b5-0f3e-49e2-ba69-f2ffa0c782af">
      <Url>https://michiganphi.sharepoint.com/sites/CMDMC/_layouts/15/DocIdRedir.aspx?ID=U47JMPN4QEAR-1806752177-30521</Url>
      <Description>U47JMPN4QEAR-1806752177-30521</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17DDB28-71EB-4444-B114-CDB1F7DE6469}">
  <ds:schemaRefs>
    <ds:schemaRef ds:uri="http://schemas.microsoft.com/sharepoint/v3/contenttype/forms"/>
  </ds:schemaRefs>
</ds:datastoreItem>
</file>

<file path=customXml/itemProps2.xml><?xml version="1.0" encoding="utf-8"?>
<ds:datastoreItem xmlns:ds="http://schemas.openxmlformats.org/officeDocument/2006/customXml" ds:itemID="{0F8A4D6A-78CC-4232-9C21-867038525D33}"/>
</file>

<file path=customXml/itemProps3.xml><?xml version="1.0" encoding="utf-8"?>
<ds:datastoreItem xmlns:ds="http://schemas.openxmlformats.org/officeDocument/2006/customXml" ds:itemID="{7057AC79-A755-4AD9-BEBF-763B32B73E7C}">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01AB7414-7875-4806-9F45-C96ADA1670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2023-09-01T18:53:43Z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fb44a9c9-6a62-4ed2-aefb-dc94676f5cee</vt:lpwstr>
  </property>
</Properties>
</file>