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DDE37904-0568-424D-A0DF-0C54B11AB357}"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c r="G54" i="4"/>
  <c r="G60" i="4"/>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G66" i="4"/>
  <c r="F1" i="5"/>
  <c r="J5" i="13" s="1"/>
  <c r="B2" i="5"/>
  <c r="B3" i="5"/>
  <c r="B6" i="5"/>
  <c r="B7" i="5"/>
  <c r="B8" i="5"/>
  <c r="B9" i="5"/>
  <c r="B10" i="5"/>
  <c r="B11" i="5"/>
  <c r="B12" i="5"/>
  <c r="B13" i="5"/>
  <c r="B14" i="5"/>
  <c r="B15" i="5"/>
  <c r="B48" i="5"/>
  <c r="B54" i="5"/>
  <c r="B60" i="5"/>
  <c r="B66" i="5"/>
  <c r="J27" i="5"/>
  <c r="G42" i="5"/>
  <c r="G43" i="5"/>
  <c r="G49" i="5"/>
  <c r="G55" i="5"/>
  <c r="G61" i="5"/>
  <c r="G67" i="5" s="1"/>
  <c r="G44" i="5"/>
  <c r="G50" i="5"/>
  <c r="G56" i="5"/>
  <c r="G62" i="5"/>
  <c r="G45" i="5"/>
  <c r="G51" i="5" s="1"/>
  <c r="G57" i="5" s="1"/>
  <c r="G63" i="5" s="1"/>
  <c r="G69" i="5" s="1"/>
  <c r="G46" i="5"/>
  <c r="G48" i="5"/>
  <c r="G54" i="5"/>
  <c r="G60" i="5" s="1"/>
  <c r="G66" i="5" s="1"/>
  <c r="M66" i="5" s="1"/>
  <c r="L48" i="5"/>
  <c r="G52" i="5"/>
  <c r="G58" i="5" s="1"/>
  <c r="G64" i="5" s="1"/>
  <c r="G70" i="5" s="1"/>
  <c r="L54" i="5"/>
  <c r="L60" i="5" s="1"/>
  <c r="L66" i="5" s="1"/>
  <c r="G68" i="5"/>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c r="F27" i="4" l="1"/>
  <c r="M66" i="4"/>
  <c r="F27" i="2"/>
  <c r="M66" i="2"/>
  <c r="M66" i="7"/>
  <c r="F27" i="7"/>
  <c r="M66" i="6"/>
  <c r="F27" i="6"/>
  <c r="F27" i="3"/>
  <c r="M66"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L58" i="8" s="1"/>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E58" i="5" s="1"/>
  <c r="C60" i="4"/>
  <c r="E54" i="4"/>
  <c r="C60" i="5"/>
  <c r="E54" i="5"/>
  <c r="E54" i="7"/>
  <c r="C60" i="7"/>
  <c r="B58" i="6"/>
  <c r="D58" i="6"/>
  <c r="C58" i="6"/>
  <c r="L58" i="6"/>
  <c r="E51" i="5"/>
  <c r="E60" i="8"/>
  <c r="C66" i="8"/>
  <c r="C60" i="3"/>
  <c r="E54" i="3"/>
  <c r="E51" i="2"/>
  <c r="E52" i="2"/>
  <c r="B58" i="8" l="1"/>
  <c r="C56" i="2"/>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D64" i="5" s="1"/>
  <c r="L57" i="5"/>
  <c r="L64" i="5" s="1"/>
  <c r="B57" i="5"/>
  <c r="B64" i="5" s="1"/>
  <c r="C57" i="5"/>
  <c r="C64" i="5" s="1"/>
  <c r="C66" i="6"/>
  <c r="E60" i="6"/>
  <c r="C66" i="2"/>
  <c r="E60" i="2"/>
  <c r="E56" i="6"/>
  <c r="E55" i="6"/>
  <c r="E55" i="7"/>
  <c r="E56" i="2"/>
  <c r="E58" i="7"/>
  <c r="E58" i="8" l="1"/>
  <c r="L64" i="3"/>
  <c r="L56" i="8"/>
  <c r="C57" i="8"/>
  <c r="C64" i="8" s="1"/>
  <c r="B57" i="8"/>
  <c r="B56" i="8"/>
  <c r="B55" i="8"/>
  <c r="D56" i="8"/>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E64"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E56" i="8"/>
  <c r="D64" i="7"/>
  <c r="C64" i="7"/>
  <c r="B64" i="7"/>
  <c r="L64" i="7"/>
  <c r="L62" i="6"/>
  <c r="C62" i="6"/>
  <c r="B62" i="6"/>
  <c r="D62" i="6"/>
  <c r="D7" i="6"/>
  <c r="E66" i="6"/>
  <c r="D7" i="3"/>
  <c r="G7" i="3" s="1"/>
  <c r="I8" i="16" s="1"/>
  <c r="E66" i="3"/>
  <c r="E61" i="4"/>
  <c r="E66" i="5"/>
  <c r="D7" i="5"/>
  <c r="E57" i="8" l="1"/>
  <c r="B63" i="8" s="1"/>
  <c r="B64" i="8"/>
  <c r="Q8" i="13"/>
  <c r="I7" i="9"/>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L63" i="8"/>
  <c r="B63" i="2"/>
  <c r="L63" i="2"/>
  <c r="D63" i="2"/>
  <c r="E63" i="2" s="1"/>
  <c r="E64" i="8"/>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70" i="8" l="1"/>
  <c r="D70" i="6"/>
  <c r="F14" i="6" s="1"/>
  <c r="C69" i="7"/>
  <c r="D12" i="7" s="1"/>
  <c r="E63" i="3"/>
  <c r="C69" i="3" s="1"/>
  <c r="D15" i="3" s="1"/>
  <c r="B70" i="3"/>
  <c r="M70" i="3" s="1"/>
  <c r="L69" i="7"/>
  <c r="Q12" i="7" s="1"/>
  <c r="C70" i="6"/>
  <c r="C70" i="3"/>
  <c r="D14" i="3" s="1"/>
  <c r="L70" i="3"/>
  <c r="L70" i="6"/>
  <c r="O14"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F13" i="6"/>
  <c r="D8" i="3"/>
  <c r="E63" i="8"/>
  <c r="D69" i="8" s="1"/>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Q13" i="8" s="1"/>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5" i="7" l="1"/>
  <c r="D12" i="3"/>
  <c r="Q15" i="7"/>
  <c r="D69" i="3"/>
  <c r="E69" i="3" s="1"/>
  <c r="E69" i="7"/>
  <c r="O13" i="6"/>
  <c r="E70" i="6"/>
  <c r="B69" i="6"/>
  <c r="M69" i="6" s="1"/>
  <c r="E70" i="3"/>
  <c r="F33" i="3"/>
  <c r="L69" i="3"/>
  <c r="Q12" i="3" s="1"/>
  <c r="D13" i="3"/>
  <c r="F34" i="3"/>
  <c r="B69" i="3"/>
  <c r="M69" i="3" s="1"/>
  <c r="D14" i="6"/>
  <c r="Q13" i="6"/>
  <c r="Q14" i="6"/>
  <c r="R14" i="6" s="1"/>
  <c r="S14" i="6" s="1"/>
  <c r="F14" i="3"/>
  <c r="D13" i="6"/>
  <c r="O13" i="3"/>
  <c r="C69" i="6"/>
  <c r="D12" i="6" s="1"/>
  <c r="O12" i="7"/>
  <c r="R12" i="7" s="1"/>
  <c r="S12" i="7" s="1"/>
  <c r="U12" i="7" s="1"/>
  <c r="J12" i="7" s="1"/>
  <c r="O15" i="7"/>
  <c r="Q13" i="3"/>
  <c r="Q14" i="3"/>
  <c r="F12" i="7"/>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3" i="8" s="1"/>
  <c r="S13" i="8" s="1"/>
  <c r="U13" i="8" s="1"/>
  <c r="J13" i="8" s="1"/>
  <c r="M13" i="8" s="1"/>
  <c r="G13" i="8" s="1"/>
  <c r="K14" i="16" s="1"/>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T12" i="7"/>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5" i="7" l="1"/>
  <c r="O12" i="6"/>
  <c r="K12" i="7"/>
  <c r="F15" i="3"/>
  <c r="F12" i="3"/>
  <c r="O12" i="3"/>
  <c r="R12" i="3" s="1"/>
  <c r="S12" i="3" s="1"/>
  <c r="Q15" i="3"/>
  <c r="R13" i="6"/>
  <c r="S13" i="6" s="1"/>
  <c r="U13" i="6" s="1"/>
  <c r="J13" i="6" s="1"/>
  <c r="M13" i="6" s="1"/>
  <c r="G13" i="6" s="1"/>
  <c r="M14" i="13" s="1"/>
  <c r="F35" i="6"/>
  <c r="K13" i="3"/>
  <c r="Q12" i="6"/>
  <c r="K12" i="6" s="1"/>
  <c r="F35" i="3"/>
  <c r="Q15" i="6"/>
  <c r="F32" i="3"/>
  <c r="F32" i="6"/>
  <c r="K13" i="6"/>
  <c r="O15" i="3"/>
  <c r="K15" i="3" s="1"/>
  <c r="R15" i="7"/>
  <c r="S15" i="7" s="1"/>
  <c r="U15" i="7" s="1"/>
  <c r="J15" i="7" s="1"/>
  <c r="M15" i="7" s="1"/>
  <c r="T13" i="6"/>
  <c r="R14" i="8"/>
  <c r="S14" i="8" s="1"/>
  <c r="T13" i="8"/>
  <c r="D15" i="6"/>
  <c r="T14" i="6"/>
  <c r="K14" i="6"/>
  <c r="R14" i="3"/>
  <c r="S14" i="3" s="1"/>
  <c r="U14" i="3" s="1"/>
  <c r="J14" i="3" s="1"/>
  <c r="M14" i="3" s="1"/>
  <c r="G14" i="3" s="1"/>
  <c r="I15" i="16" s="1"/>
  <c r="E69" i="6"/>
  <c r="K14" i="3"/>
  <c r="R13" i="3"/>
  <c r="S13" i="3" s="1"/>
  <c r="U13" i="3" s="1"/>
  <c r="J13" i="3" s="1"/>
  <c r="L13" i="3" s="1"/>
  <c r="P14" i="16" s="1"/>
  <c r="O15" i="6"/>
  <c r="T15" i="6" s="1"/>
  <c r="T13" i="3"/>
  <c r="T14" i="3"/>
  <c r="K15" i="7"/>
  <c r="F15" i="6"/>
  <c r="L13" i="4"/>
  <c r="O14" i="16" s="1"/>
  <c r="L11" i="4"/>
  <c r="O12" i="16" s="1"/>
  <c r="K8" i="7"/>
  <c r="O13" i="2"/>
  <c r="O12" i="8"/>
  <c r="F35" i="8"/>
  <c r="T8" i="7"/>
  <c r="U8" i="7" s="1"/>
  <c r="J8" i="7" s="1"/>
  <c r="M8" i="7" s="1"/>
  <c r="T13" i="7"/>
  <c r="Q12" i="8"/>
  <c r="F32" i="8"/>
  <c r="Q10" i="7"/>
  <c r="F13" i="2"/>
  <c r="Q11" i="7"/>
  <c r="L12" i="7"/>
  <c r="S13" i="16" s="1"/>
  <c r="R8" i="6"/>
  <c r="S8" i="6" s="1"/>
  <c r="F14" i="2"/>
  <c r="E69" i="8"/>
  <c r="F10" i="7"/>
  <c r="L10" i="3"/>
  <c r="P11" i="16" s="1"/>
  <c r="F30" i="7"/>
  <c r="D12" i="8"/>
  <c r="M68" i="7"/>
  <c r="Q15" i="8"/>
  <c r="R15" i="8" s="1"/>
  <c r="S15" i="8" s="1"/>
  <c r="F29" i="7"/>
  <c r="F15" i="5"/>
  <c r="D15" i="8"/>
  <c r="U14" i="6"/>
  <c r="J14" i="6" s="1"/>
  <c r="M14" i="6" s="1"/>
  <c r="G14" i="6" s="1"/>
  <c r="M15" i="13" s="1"/>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D15" i="5"/>
  <c r="D12" i="5"/>
  <c r="Q15" i="5"/>
  <c r="K15" i="5" s="1"/>
  <c r="I12" i="16"/>
  <c r="E11" i="9"/>
  <c r="I12" i="13"/>
  <c r="G13" i="9"/>
  <c r="T14" i="8"/>
  <c r="L13" i="6"/>
  <c r="R14" i="16" s="1"/>
  <c r="D13" i="2"/>
  <c r="E70" i="2"/>
  <c r="Q14" i="2"/>
  <c r="K14" i="2" s="1"/>
  <c r="M13" i="4"/>
  <c r="G13" i="4" s="1"/>
  <c r="G14" i="16" s="1"/>
  <c r="M12" i="7"/>
  <c r="L9" i="4"/>
  <c r="O10" i="16" s="1"/>
  <c r="R13" i="7"/>
  <c r="S13" i="7" s="1"/>
  <c r="U13" i="7" s="1"/>
  <c r="J13" i="7" s="1"/>
  <c r="M13" i="7" s="1"/>
  <c r="Q13" i="2"/>
  <c r="U9" i="3"/>
  <c r="J9" i="3" s="1"/>
  <c r="L9" i="3" s="1"/>
  <c r="Q14" i="13"/>
  <c r="N30" i="5"/>
  <c r="L14" i="5"/>
  <c r="Q15" i="16" s="1"/>
  <c r="I13" i="9"/>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L15" i="7"/>
  <c r="S16" i="16"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T12" i="3" l="1"/>
  <c r="R12" i="6"/>
  <c r="S12" i="6" s="1"/>
  <c r="U12" i="6" s="1"/>
  <c r="J12" i="6" s="1"/>
  <c r="K12" i="3"/>
  <c r="T12" i="6"/>
  <c r="T15" i="3"/>
  <c r="R15" i="3"/>
  <c r="S15" i="3" s="1"/>
  <c r="U15" i="3" s="1"/>
  <c r="J15" i="3" s="1"/>
  <c r="M15" i="3" s="1"/>
  <c r="G15" i="3" s="1"/>
  <c r="I16" i="16" s="1"/>
  <c r="R15" i="6"/>
  <c r="S15" i="6" s="1"/>
  <c r="U15" i="6" s="1"/>
  <c r="J15" i="6" s="1"/>
  <c r="L15" i="6" s="1"/>
  <c r="R16" i="16" s="1"/>
  <c r="I15" i="13"/>
  <c r="N30" i="3"/>
  <c r="K15" i="6"/>
  <c r="E14" i="9"/>
  <c r="U14" i="8"/>
  <c r="J14" i="8" s="1"/>
  <c r="N30" i="8" s="1"/>
  <c r="L14" i="3"/>
  <c r="P15" i="16" s="1"/>
  <c r="M13" i="3"/>
  <c r="G13" i="3" s="1"/>
  <c r="E13" i="9"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P13" i="9"/>
  <c r="K9" i="7"/>
  <c r="T14" i="2"/>
  <c r="V12" i="13"/>
  <c r="U10" i="13"/>
  <c r="X14" i="13"/>
  <c r="N11" i="9"/>
  <c r="T15" i="5"/>
  <c r="W14" i="13"/>
  <c r="N13" i="9"/>
  <c r="L15" i="3"/>
  <c r="P16" i="16" s="1"/>
  <c r="M15" i="6"/>
  <c r="G15" i="6" s="1"/>
  <c r="N14" i="9"/>
  <c r="L13" i="7"/>
  <c r="S14" i="16" s="1"/>
  <c r="M9" i="3"/>
  <c r="G9" i="3" s="1"/>
  <c r="I10" i="13" s="1"/>
  <c r="G12" i="13"/>
  <c r="G12" i="16"/>
  <c r="N9" i="9"/>
  <c r="P10" i="16"/>
  <c r="M14" i="7"/>
  <c r="N30" i="7"/>
  <c r="L14" i="7"/>
  <c r="S15" i="16" s="1"/>
  <c r="L8" i="7"/>
  <c r="S9" i="16" s="1"/>
  <c r="O13" i="9"/>
  <c r="V14" i="13"/>
  <c r="M9" i="9"/>
  <c r="M10" i="9"/>
  <c r="O14" i="9"/>
  <c r="V10" i="13"/>
  <c r="Z14" i="13"/>
  <c r="V15" i="13"/>
  <c r="W15" i="13"/>
  <c r="U12" i="2"/>
  <c r="J12" i="2" s="1"/>
  <c r="L12" i="2" s="1"/>
  <c r="N13" i="16" s="1"/>
  <c r="R13" i="9"/>
  <c r="D11"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12" i="6"/>
  <c r="G12" i="6" s="1"/>
  <c r="L12" i="6"/>
  <c r="R13" i="16"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I16" i="13" l="1"/>
  <c r="E15" i="9"/>
  <c r="L14" i="8"/>
  <c r="T15" i="16" s="1"/>
  <c r="I14" i="13"/>
  <c r="I14" i="16"/>
  <c r="M14" i="8"/>
  <c r="G14" i="8" s="1"/>
  <c r="K15" i="16" s="1"/>
  <c r="L8" i="6"/>
  <c r="R9" i="16" s="1"/>
  <c r="L10" i="7"/>
  <c r="S11" i="16" s="1"/>
  <c r="R14" i="9"/>
  <c r="X16" i="13"/>
  <c r="P15" i="9"/>
  <c r="L15" i="5"/>
  <c r="Q16" i="16" s="1"/>
  <c r="T9" i="13"/>
  <c r="L8" i="9"/>
  <c r="X15" i="13"/>
  <c r="P14" i="9"/>
  <c r="G8" i="9"/>
  <c r="Z15" i="13"/>
  <c r="Q14" i="9"/>
  <c r="Y15" i="13"/>
  <c r="Y14" i="13"/>
  <c r="E9" i="13"/>
  <c r="Q13" i="9"/>
  <c r="I14"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Q15" i="13" l="1"/>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<sst xmlns="http://schemas.openxmlformats.org/spreadsheetml/2006/main" count="654" uniqueCount="141">
  <si>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</si>
  <si>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</si>
  <si>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</si>
  <si>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</si>
  <si>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</si>
  <si>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</si>
  <si>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</si>
  <si>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</si>
  <si>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</si>
  <si>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</si>
  <si>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</si>
  <si>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</si>
  <si>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</si>
  <si>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</si>
  <si>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</si>
  <si>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</si>
  <si>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</si>
  <si>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</si>
  <si>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</si>
  <si>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</si>
  <si>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</si>
  <si>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</si>
  <si>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</si>
  <si>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</si>
  <si>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</si>
  <si>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</si>
  <si>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</si>
  <si>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</si>
  <si>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</si>
  <si>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</si>
  <si>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</si>
  <si>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</si>
  <si>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</si>
  <si>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</si>
  <si>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</si>
  <si>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</si>
  <si>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</si>
  <si>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</si>
  <si>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</si>
  <si>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</si>
  <si>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</si>
  <si>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</si>
  <si>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</si>
  <si>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</si>
  <si>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</si>
  <si>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</si>
  <si>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</si>
  <si>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</si>
  <si>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</si>
  <si>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</si>
  <si>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</si>
  <si>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</si>
  <si>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</si>
  <si>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</si>
  <si>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</si>
  <si>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</si>
  <si>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</si>
  <si>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</si>
  <si>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</si>
  <si>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</si>
  <si>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</si>
  <si>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</si>
  <si>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</si>
  <si>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</si>
  <si>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</si>
  <si>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</si>
  <si>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</si>
  <si>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</si>
  <si>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</si>
  <si>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</si>
  <si>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</si>
  <si>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</si>
  <si>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</si>
  <si>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</si>
  <si>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</si>
  <si>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</si>
  <si>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</si>
  <si>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</si>
  <si>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</si>
  <si>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</si>
  <si>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</si>
  <si>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</si>
  <si>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</si>
  <si>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</si>
  <si>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</si>
  <si>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</si>
  <si>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</si>
  <si>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</si>
  <si>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</si>
  <si>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</si>
  <si>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</si>
  <si>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</si>
  <si>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</si>
  <si>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</si>
  <si>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</si>
  <si>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</si>
  <si>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</si>
  <si>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</si>
  <si>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</si>
  <si>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</si>
  <si>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</si>
  <si>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</si>
  <si>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</si>
  <si>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</si>
  <si>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</si>
  <si>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</si>
  <si>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</si>
  <si>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</si>
  <si>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</si>
  <si>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</si>
  <si>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</si>
  <si>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</si>
  <si>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</si>
  <si>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</si>
  <si>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</si>
  <si>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</si>
  <si>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</si>
  <si>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</si>
  <si>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</si>
  <si>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</si>
  <si>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</si>
  <si>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</si>
  <si>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</si>
  <si>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</si>
  <si>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</si>
  <si>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</si>
  <si>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</si>
  <si>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</si>
  <si>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</si>
  <si>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</si>
  <si>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</si>
  <si>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</si>
  <si>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</si>
  <si>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</si>
  <si>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</si>
  <si>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</si>
  <si>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</si>
  <si>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Montmorency</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</si>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</sst>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Montmorency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c:v>
                </c:pt>
                <c:pt idx="3">
                  <c:v>Petitions, total N=0</c:v>
                </c:pt>
                <c:pt idx="4">
                  <c:v>Detentions, total N=0</c:v>
                </c:pt>
                <c:pt idx="5">
                  <c:v>Referrals, total N=1</c:v>
                </c:pt>
                <c:pt idx="6">
                  <c:v>Arrests, total N=0</c:v>
                </c:pt>
                <c:pt idx="7">
                  <c:v>Population, total N=586</c:v>
                </c:pt>
              </c:strCache>
            </c:strRef>
          </c:cat>
          <c:val>
            <c:numRef>
              <c:f>'Stacked 100%'!$B$7:$B$14</c:f>
              <c:numCache>
                <c:formatCode>0%</c:formatCode>
                <c:ptCount val="8"/>
                <c:pt idx="0">
                  <c:v>0</c:v>
                </c:pt>
                <c:pt idx="1">
                  <c:v>0</c:v>
                </c:pt>
                <c:pt idx="2">
                  <c:v>0</c:v>
                </c:pt>
                <c:pt idx="3">
                  <c:v>0</c:v>
                </c:pt>
                <c:pt idx="4">
                  <c:v>0</c:v>
                </c:pt>
                <c:pt idx="5">
                  <c:v>0</c:v>
                </c:pt>
                <c:pt idx="6">
                  <c:v>0</c:v>
                </c:pt>
                <c:pt idx="7">
                  <c:v>2.9010238907849831E-2</c:v>
                </c:pt>
              </c:numCache>
            </c:numRef>
          </c:val>
          <c:extLst>
            <c:ext xmlns:c16="http://schemas.microsoft.com/office/drawing/2014/chart" uri="{C3380CC4-5D6E-409C-BE32-E72D297353CC}">
              <c16:uniqueId val="{00000000-6F2C-4C6E-A19F-F2379E52BCB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c:v>
                </c:pt>
                <c:pt idx="3">
                  <c:v>Petitions, total N=0</c:v>
                </c:pt>
                <c:pt idx="4">
                  <c:v>Detentions, total N=0</c:v>
                </c:pt>
                <c:pt idx="5">
                  <c:v>Referrals, total N=1</c:v>
                </c:pt>
                <c:pt idx="6">
                  <c:v>Arrests, total N=0</c:v>
                </c:pt>
                <c:pt idx="7">
                  <c:v>Population, total N=586</c:v>
                </c:pt>
              </c:strCache>
            </c:strRef>
          </c:cat>
          <c:val>
            <c:numRef>
              <c:f>'Stacked 100%'!$C$7:$C$14</c:f>
              <c:numCache>
                <c:formatCode>0%</c:formatCode>
                <c:ptCount val="8"/>
                <c:pt idx="0">
                  <c:v>0</c:v>
                </c:pt>
                <c:pt idx="1">
                  <c:v>0</c:v>
                </c:pt>
                <c:pt idx="2">
                  <c:v>0</c:v>
                </c:pt>
                <c:pt idx="3">
                  <c:v>0</c:v>
                </c:pt>
                <c:pt idx="4">
                  <c:v>0</c:v>
                </c:pt>
                <c:pt idx="5">
                  <c:v>0</c:v>
                </c:pt>
                <c:pt idx="6">
                  <c:v>0</c:v>
                </c:pt>
                <c:pt idx="7">
                  <c:v>3.4129692832764506E-2</c:v>
                </c:pt>
              </c:numCache>
            </c:numRef>
          </c:val>
          <c:extLst>
            <c:ext xmlns:c16="http://schemas.microsoft.com/office/drawing/2014/chart" uri="{C3380CC4-5D6E-409C-BE32-E72D297353CC}">
              <c16:uniqueId val="{00000001-6F2C-4C6E-A19F-F2379E52BCB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N=1</c:v>
                </c:pt>
                <c:pt idx="3">
                  <c:v>Petitions, total N=0</c:v>
                </c:pt>
                <c:pt idx="4">
                  <c:v>Detentions, total N=0</c:v>
                </c:pt>
                <c:pt idx="5">
                  <c:v>Referrals, total N=1</c:v>
                </c:pt>
                <c:pt idx="6">
                  <c:v>Arrests, total N=0</c:v>
                </c:pt>
                <c:pt idx="7">
                  <c:v>Population, total N=586</c:v>
                </c:pt>
              </c:strCache>
            </c:strRef>
          </c:cat>
          <c:val>
            <c:numRef>
              <c:f>'Stacked 100%'!$H$7:$H$14</c:f>
              <c:numCache>
                <c:formatCode>0%</c:formatCode>
                <c:ptCount val="8"/>
                <c:pt idx="0">
                  <c:v>0</c:v>
                </c:pt>
                <c:pt idx="1">
                  <c:v>0</c:v>
                </c:pt>
                <c:pt idx="2">
                  <c:v>0</c:v>
                </c:pt>
                <c:pt idx="3">
                  <c:v>0</c:v>
                </c:pt>
                <c:pt idx="4">
                  <c:v>0</c:v>
                </c:pt>
                <c:pt idx="5">
                  <c:v>0</c:v>
                </c:pt>
                <c:pt idx="6">
                  <c:v>0</c:v>
                </c:pt>
                <c:pt idx="7">
                  <c:v>3.4945077985765705E-5</c:v>
                </c:pt>
              </c:numCache>
            </c:numRef>
          </c:val>
          <c:extLst>
            <c:ext xmlns:c16="http://schemas.microsoft.com/office/drawing/2014/chart" uri="{C3380CC4-5D6E-409C-BE32-E72D297353CC}">
              <c16:uniqueId val="{00000002-6F2C-4C6E-A19F-F2379E52BCB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c:v>
                </c:pt>
                <c:pt idx="3">
                  <c:v>Petitions, total N=0</c:v>
                </c:pt>
                <c:pt idx="4">
                  <c:v>Detentions, total N=0</c:v>
                </c:pt>
                <c:pt idx="5">
                  <c:v>Referrals, total N=1</c:v>
                </c:pt>
                <c:pt idx="6">
                  <c:v>Arrests, total N=0</c:v>
                </c:pt>
                <c:pt idx="7">
                  <c:v>Population, total N=586</c:v>
                </c:pt>
              </c:strCache>
            </c:strRef>
          </c:cat>
          <c:val>
            <c:numRef>
              <c:f>'Stacked 100%'!$I$7:$I$14</c:f>
              <c:numCache>
                <c:formatCode>0%</c:formatCode>
                <c:ptCount val="8"/>
                <c:pt idx="0">
                  <c:v>0</c:v>
                </c:pt>
                <c:pt idx="1">
                  <c:v>0</c:v>
                </c:pt>
                <c:pt idx="2">
                  <c:v>0</c:v>
                </c:pt>
                <c:pt idx="3">
                  <c:v>0</c:v>
                </c:pt>
                <c:pt idx="4">
                  <c:v>0</c:v>
                </c:pt>
                <c:pt idx="5">
                  <c:v>0</c:v>
                </c:pt>
                <c:pt idx="6">
                  <c:v>0</c:v>
                </c:pt>
                <c:pt idx="7">
                  <c:v>0.91638225255972694</c:v>
                </c:pt>
              </c:numCache>
            </c:numRef>
          </c:val>
          <c:extLst>
            <c:ext xmlns:c16="http://schemas.microsoft.com/office/drawing/2014/chart" uri="{C3380CC4-5D6E-409C-BE32-E72D297353CC}">
              <c16:uniqueId val="{00000003-6F2C-4C6E-A19F-F2379E52BCB9}"/>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N=1</c:v>
                </c:pt>
                <c:pt idx="3">
                  <c:v>Petitions, total N=0</c:v>
                </c:pt>
                <c:pt idx="4">
                  <c:v>Detentions, total N=0</c:v>
                </c:pt>
                <c:pt idx="5">
                  <c:v>Referrals, total N=1</c:v>
                </c:pt>
                <c:pt idx="6">
                  <c:v>Arrests, total N=0</c:v>
                </c:pt>
                <c:pt idx="7">
                  <c:v>Population, total N=586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6F2C-4C6E-A19F-F2379E52BCB9}"/>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4" sqref="K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586</v>
      </c>
      <c r="C6" s="11">
        <v>537</v>
      </c>
      <c r="D6" s="11">
        <v>17</v>
      </c>
      <c r="E6" s="11">
        <v>20</v>
      </c>
      <c r="F6" s="11">
        <v>5</v>
      </c>
      <c r="G6" s="11"/>
      <c r="H6" s="11">
        <v>7</v>
      </c>
      <c r="I6" s="11"/>
      <c r="J6" s="91">
        <f>SUM(D6:I6)</f>
        <v>49</v>
      </c>
      <c r="K6" s="92"/>
    </row>
    <row r="7" spans="1:11" ht="15.75" customHeight="1" thickBot="1" x14ac:dyDescent="0.25">
      <c r="A7" s="10" t="s">
        <v>8</v>
      </c>
      <c r="B7" s="11">
        <f t="shared" ref="B7:B15" si="0">SUM(C7:I7)+K7</f>
        <v>0</v>
      </c>
      <c r="C7" s="11"/>
      <c r="D7" s="11"/>
      <c r="E7" s="11"/>
      <c r="F7" s="11"/>
      <c r="G7" s="11"/>
      <c r="H7" s="11"/>
      <c r="I7" s="11"/>
      <c r="J7" s="91">
        <f t="shared" ref="J7:J15" si="1">SUM(D7:I7)</f>
        <v>0</v>
      </c>
      <c r="K7" s="92"/>
    </row>
    <row r="8" spans="1:11" ht="15.75" customHeight="1" thickBot="1" x14ac:dyDescent="0.25">
      <c r="A8" s="10" t="s">
        <v>9</v>
      </c>
      <c r="B8" s="11">
        <f t="shared" si="0"/>
        <v>1</v>
      </c>
      <c r="C8" s="11"/>
      <c r="D8" s="11"/>
      <c r="E8" s="11"/>
      <c r="F8" s="11"/>
      <c r="G8" s="11"/>
      <c r="H8" s="11"/>
      <c r="I8" s="11"/>
      <c r="J8" s="91">
        <f t="shared" si="1"/>
        <v>0</v>
      </c>
      <c r="K8" s="92">
        <v>1</v>
      </c>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0</v>
      </c>
      <c r="C11" s="11"/>
      <c r="D11" s="11"/>
      <c r="E11" s="11"/>
      <c r="F11" s="11"/>
      <c r="G11" s="11"/>
      <c r="H11" s="11"/>
      <c r="I11" s="11"/>
      <c r="J11" s="91">
        <f t="shared" si="1"/>
        <v>0</v>
      </c>
      <c r="K11" s="92"/>
    </row>
    <row r="12" spans="1:11" ht="15.75" customHeight="1" thickBot="1" x14ac:dyDescent="0.25">
      <c r="A12" s="10" t="s">
        <v>13</v>
      </c>
      <c r="B12" s="11">
        <f t="shared" si="0"/>
        <v>1</v>
      </c>
      <c r="C12" s="11"/>
      <c r="D12" s="11"/>
      <c r="E12" s="11"/>
      <c r="F12" s="11"/>
      <c r="G12" s="11"/>
      <c r="H12" s="11"/>
      <c r="I12" s="11"/>
      <c r="J12" s="91">
        <f t="shared" si="1"/>
        <v>0</v>
      </c>
      <c r="K12" s="92">
        <v>1</v>
      </c>
    </row>
    <row r="13" spans="1:11" ht="15.75" customHeight="1" thickBot="1" x14ac:dyDescent="0.25">
      <c r="A13" s="10" t="s">
        <v>133</v>
      </c>
      <c r="B13" s="11">
        <f t="shared" si="0"/>
        <v>1</v>
      </c>
      <c r="C13" s="11"/>
      <c r="D13" s="11"/>
      <c r="E13" s="11"/>
      <c r="F13" s="11"/>
      <c r="G13" s="11"/>
      <c r="H13" s="11"/>
      <c r="I13" s="11"/>
      <c r="J13" s="91">
        <f t="shared" si="1"/>
        <v>0</v>
      </c>
      <c r="K13" s="92">
        <v>1</v>
      </c>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Montmorency</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537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537</v>
      </c>
      <c r="R7" s="42">
        <f t="shared" ref="R7:R15" si="5">SUM(N7:Q7)</f>
        <v>537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537</v>
      </c>
      <c r="R8" s="42">
        <f t="shared" si="5"/>
        <v>537.04999999999995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537</v>
      </c>
      <c r="R9" s="42">
        <f t="shared" si="5"/>
        <v>537</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537</v>
      </c>
      <c r="R10" s="42">
        <f t="shared" si="5"/>
        <v>537</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537</v>
      </c>
      <c r="R11" s="42">
        <f t="shared" si="5"/>
        <v>537</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537</v>
      </c>
      <c r="R12" s="42">
        <f t="shared" si="5"/>
        <v>537</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537</v>
      </c>
      <c r="R13" s="42">
        <f t="shared" si="5"/>
        <v>537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537</v>
      </c>
      <c r="R14" s="42">
        <f t="shared" si="5"/>
        <v>537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537</v>
      </c>
      <c r="R15" s="42">
        <f t="shared" si="5"/>
        <v>537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1000 youth</v>
      </c>
      <c r="G29" s="52"/>
      <c r="H29" s="52"/>
      <c r="I29" s="52"/>
      <c r="J29" s="52"/>
      <c r="K29" s="52"/>
      <c r="L29" s="53"/>
      <c r="R29" s="49"/>
    </row>
    <row r="30" spans="2:21" ht="15" customHeight="1" x14ac:dyDescent="0.25">
      <c r="B30" s="52" t="s">
        <v>73</v>
      </c>
      <c r="C30" s="52"/>
      <c r="D30" s="52"/>
      <c r="E30" s="52"/>
      <c r="F30" s="52" t="str">
        <f>B68</f>
        <v>per 1000 youth</v>
      </c>
      <c r="G30" s="52"/>
      <c r="H30" s="52"/>
      <c r="I30" s="52"/>
      <c r="J30" s="52"/>
      <c r="K30" s="52"/>
      <c r="L30" s="53"/>
      <c r="N30" s="1" t="b">
        <f>ISNUMBER(J14)</f>
        <v>0</v>
      </c>
      <c r="R30" s="49"/>
    </row>
    <row r="31" spans="2:21" ht="15" customHeight="1" x14ac:dyDescent="0.25">
      <c r="B31" s="52" t="s">
        <v>74</v>
      </c>
      <c r="C31" s="52"/>
      <c r="D31" s="52"/>
      <c r="E31" s="52"/>
      <c r="F31" s="52" t="str">
        <f>B68</f>
        <v>per 1000 youth</v>
      </c>
      <c r="G31" s="52"/>
      <c r="H31" s="52"/>
      <c r="I31" s="52"/>
      <c r="J31" s="52"/>
      <c r="K31" s="52"/>
      <c r="L31" s="53"/>
      <c r="R31" s="49"/>
    </row>
    <row r="32" spans="2:21" ht="15" customHeight="1" x14ac:dyDescent="0.25">
      <c r="B32" s="52" t="s">
        <v>75</v>
      </c>
      <c r="C32" s="52"/>
      <c r="D32" s="52"/>
      <c r="E32" s="52"/>
      <c r="F32" s="52" t="str">
        <f>B69</f>
        <v>per 1000 youth</v>
      </c>
      <c r="G32" s="52"/>
      <c r="H32" s="52"/>
      <c r="I32" s="52"/>
      <c r="J32" s="52"/>
      <c r="K32" s="52"/>
      <c r="L32" s="53"/>
      <c r="R32" s="49"/>
    </row>
    <row r="33" spans="2:18" ht="15" customHeight="1" x14ac:dyDescent="0.25">
      <c r="B33" s="52" t="s">
        <v>76</v>
      </c>
      <c r="C33" s="52"/>
      <c r="D33" s="52"/>
      <c r="E33" s="52"/>
      <c r="F33" s="52" t="str">
        <f>B70</f>
        <v>per 1000 youth</v>
      </c>
      <c r="G33" s="52"/>
      <c r="H33" s="52"/>
      <c r="I33" s="52"/>
      <c r="J33" s="52"/>
      <c r="K33" s="52"/>
      <c r="L33" s="53"/>
      <c r="R33" s="49"/>
    </row>
    <row r="34" spans="2:18" ht="15" customHeight="1" x14ac:dyDescent="0.25">
      <c r="B34" s="52" t="s">
        <v>77</v>
      </c>
      <c r="C34" s="52"/>
      <c r="D34" s="52"/>
      <c r="E34" s="52"/>
      <c r="F34" s="52" t="str">
        <f>B70</f>
        <v>per 1000 youth</v>
      </c>
      <c r="G34" s="52"/>
      <c r="H34" s="52"/>
      <c r="I34" s="52"/>
      <c r="J34" s="52"/>
      <c r="K34" s="52"/>
      <c r="L34" s="53"/>
      <c r="R34" s="49"/>
    </row>
    <row r="35" spans="2:18" ht="15" customHeight="1" x14ac:dyDescent="0.25">
      <c r="B35" s="52" t="s">
        <v>78</v>
      </c>
      <c r="C35" s="52"/>
      <c r="D35" s="52"/>
      <c r="E35" s="52"/>
      <c r="F35" s="52" t="str">
        <f>B69</f>
        <v>per 1000 youth</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0.53700000000000003</v>
      </c>
      <c r="D42" s="56">
        <f>E6/1000</f>
        <v>0</v>
      </c>
      <c r="E42" s="56">
        <f>MAX(C42:D42)</f>
        <v>0.53700000000000003</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0.53700000000000003</v>
      </c>
      <c r="D48" s="56">
        <f>D42</f>
        <v>0</v>
      </c>
      <c r="E48" s="56">
        <f>MAX(C48:D48)</f>
        <v>0.53700000000000003</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0.53700000000000003</v>
      </c>
      <c r="D49" s="49">
        <f t="shared" si="9"/>
        <v>0</v>
      </c>
      <c r="E49" s="49">
        <f>MAX(C49:D49)</f>
        <v>0.53700000000000003</v>
      </c>
      <c r="G49" s="1" t="str">
        <f>G43</f>
        <v>per 100 arrests</v>
      </c>
      <c r="L49" s="58">
        <f>IF(($E43&gt;0),L43,L42)</f>
        <v>1000</v>
      </c>
      <c r="M49" s="58"/>
      <c r="N49" s="21"/>
      <c r="O49" s="21"/>
      <c r="P49" s="21"/>
      <c r="Q49" s="21"/>
      <c r="R49" s="21"/>
    </row>
    <row r="50" spans="2:18" ht="15" hidden="1" customHeight="1" x14ac:dyDescent="0.25">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0.53700000000000003</v>
      </c>
      <c r="D54" s="56">
        <f>D48</f>
        <v>0</v>
      </c>
      <c r="E54" s="56">
        <f>MAX(C54:D54)</f>
        <v>0.53700000000000003</v>
      </c>
      <c r="G54" s="1" t="str">
        <f>G48</f>
        <v>per 1000 youth</v>
      </c>
      <c r="L54" s="58">
        <f>L48</f>
        <v>1000</v>
      </c>
      <c r="M54" s="58"/>
    </row>
    <row r="55" spans="2:18" ht="15" hidden="1" customHeight="1" x14ac:dyDescent="0.25">
      <c r="B55" s="49" t="str">
        <f t="shared" ref="B55:D56" si="10">IF(($E49&gt;0),B49,B48)</f>
        <v>per 1000 youth</v>
      </c>
      <c r="C55" s="49">
        <f t="shared" si="10"/>
        <v>0.53700000000000003</v>
      </c>
      <c r="D55" s="49">
        <f t="shared" si="10"/>
        <v>0</v>
      </c>
      <c r="E55" s="49">
        <f>MAX(C55:D55)</f>
        <v>0.53700000000000003</v>
      </c>
      <c r="G55" s="1" t="str">
        <f>G49</f>
        <v>per 100 arrests</v>
      </c>
      <c r="L55" s="58">
        <f>IF(($E49&gt;0),L49,L48)</f>
        <v>1000</v>
      </c>
      <c r="M55" s="58"/>
    </row>
    <row r="56" spans="2:18" ht="15" hidden="1" customHeight="1" x14ac:dyDescent="0.25">
      <c r="B56" s="49" t="str">
        <f t="shared" si="10"/>
        <v>per 1000 youth</v>
      </c>
      <c r="C56" s="49">
        <f t="shared" si="10"/>
        <v>0.53700000000000003</v>
      </c>
      <c r="D56" s="49">
        <f t="shared" si="10"/>
        <v>0</v>
      </c>
      <c r="E56" s="49">
        <f>MAX(C56:D56)</f>
        <v>0.53700000000000003</v>
      </c>
      <c r="G56" s="1" t="str">
        <f>G50</f>
        <v>per 100 referrals</v>
      </c>
      <c r="L56" s="58">
        <f>IF(($E50&gt;0),L50,L49)</f>
        <v>1000</v>
      </c>
      <c r="M56" s="58"/>
    </row>
    <row r="57" spans="2:18" ht="15" hidden="1" customHeight="1" x14ac:dyDescent="0.25">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0.53700000000000003</v>
      </c>
      <c r="D60" s="56">
        <f>D54</f>
        <v>0</v>
      </c>
      <c r="E60" s="56">
        <f>MAX(C60:D60)</f>
        <v>0.53700000000000003</v>
      </c>
      <c r="G60" s="1" t="str">
        <f>G54</f>
        <v>per 1000 youth</v>
      </c>
      <c r="L60" s="58">
        <f>L54</f>
        <v>1000</v>
      </c>
      <c r="M60" s="58"/>
    </row>
    <row r="61" spans="2:18" ht="15" hidden="1" customHeight="1" x14ac:dyDescent="0.25">
      <c r="B61" s="49" t="str">
        <f t="shared" ref="B61:D62" si="11">IF(($E55&gt;0),B55,B54)</f>
        <v>per 1000 youth</v>
      </c>
      <c r="C61" s="49">
        <f t="shared" si="11"/>
        <v>0.53700000000000003</v>
      </c>
      <c r="D61" s="49">
        <f t="shared" si="11"/>
        <v>0</v>
      </c>
      <c r="E61" s="49">
        <f>MAX(C61:D61)</f>
        <v>0.53700000000000003</v>
      </c>
      <c r="G61" s="1" t="str">
        <f>G55</f>
        <v>per 100 arrests</v>
      </c>
      <c r="L61" s="58">
        <f>IF(($E55&gt;0),L55,L54)</f>
        <v>1000</v>
      </c>
      <c r="M61" s="58"/>
    </row>
    <row r="62" spans="2:18" ht="15" hidden="1" customHeight="1" x14ac:dyDescent="0.25">
      <c r="B62" s="49" t="str">
        <f t="shared" si="11"/>
        <v>per 1000 youth</v>
      </c>
      <c r="C62" s="49">
        <f t="shared" si="11"/>
        <v>0.53700000000000003</v>
      </c>
      <c r="D62" s="49">
        <f t="shared" si="11"/>
        <v>0</v>
      </c>
      <c r="E62" s="49">
        <f>MAX(C62:D62)</f>
        <v>0.53700000000000003</v>
      </c>
      <c r="G62" s="1" t="str">
        <f>G56</f>
        <v>per 100 referrals</v>
      </c>
      <c r="L62" s="58">
        <f>IF(($E56&gt;0),L56,L55)</f>
        <v>1000</v>
      </c>
      <c r="M62" s="58"/>
    </row>
    <row r="63" spans="2:18" ht="15" hidden="1" customHeight="1" x14ac:dyDescent="0.25">
      <c r="B63" s="49" t="str">
        <f>IF(($E57&gt;0),B57,B55)</f>
        <v>per 1000 youth</v>
      </c>
      <c r="C63" s="49">
        <f>IF(($E57&gt;0),C57,C56)</f>
        <v>0.53700000000000003</v>
      </c>
      <c r="D63" s="49">
        <f>IF(($E57&gt;0),D57,D56)</f>
        <v>0</v>
      </c>
      <c r="E63" s="49">
        <f>MAX(C63:D63)</f>
        <v>0.53700000000000003</v>
      </c>
      <c r="G63" s="1" t="str">
        <f>G57</f>
        <v>per 100 youth petitioned</v>
      </c>
      <c r="L63" s="58">
        <f>IF(($E57&gt;0),L57,L56)</f>
        <v>1000</v>
      </c>
      <c r="M63" s="58"/>
    </row>
    <row r="64" spans="2:18" ht="15" hidden="1" customHeight="1" x14ac:dyDescent="0.25">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0.53700000000000003</v>
      </c>
      <c r="D66" s="56">
        <f>D60</f>
        <v>0</v>
      </c>
      <c r="E66" s="56">
        <f>MAX(C66:D66)</f>
        <v>0.53700000000000003</v>
      </c>
      <c r="G66" s="1" t="str">
        <f>G60</f>
        <v>per 1000 youth</v>
      </c>
      <c r="L66" s="58">
        <f>L60</f>
        <v>1000</v>
      </c>
      <c r="M66" s="58">
        <f>IF((B66=G66),1,2)</f>
        <v>1</v>
      </c>
    </row>
    <row r="67" spans="2:13" ht="15" hidden="1" customHeight="1" x14ac:dyDescent="0.25">
      <c r="B67" s="49" t="str">
        <f t="shared" ref="B67:D68" si="12">IF(($E61&gt;0),B61,B60)</f>
        <v>per 1000 youth</v>
      </c>
      <c r="C67" s="49">
        <f t="shared" si="12"/>
        <v>0.53700000000000003</v>
      </c>
      <c r="D67" s="49">
        <f t="shared" si="12"/>
        <v>0</v>
      </c>
      <c r="E67" s="49">
        <f>MAX(C67:D67)</f>
        <v>0.53700000000000003</v>
      </c>
      <c r="G67" s="1" t="str">
        <f>G61</f>
        <v>per 100 arrests</v>
      </c>
      <c r="L67" s="58">
        <f>IF(($E61&gt;0),L61,L60)</f>
        <v>1000</v>
      </c>
      <c r="M67" s="58">
        <f>IF((B67=G67),1,2)</f>
        <v>2</v>
      </c>
    </row>
    <row r="68" spans="2:13" ht="15" hidden="1" customHeight="1" x14ac:dyDescent="0.25">
      <c r="B68" s="49" t="str">
        <f t="shared" si="12"/>
        <v>per 1000 youth</v>
      </c>
      <c r="C68" s="49">
        <f t="shared" si="12"/>
        <v>0.53700000000000003</v>
      </c>
      <c r="D68" s="49">
        <f t="shared" si="12"/>
        <v>0</v>
      </c>
      <c r="E68" s="49">
        <f>MAX(C68:D68)</f>
        <v>0.53700000000000003</v>
      </c>
      <c r="G68" s="1" t="str">
        <f>G62</f>
        <v>per 100 referrals</v>
      </c>
      <c r="L68" s="58">
        <f>IF(($E62&gt;0),L62,L61)</f>
        <v>1000</v>
      </c>
      <c r="M68" s="58">
        <f>IF((B68=G68),1,2)</f>
        <v>2</v>
      </c>
    </row>
    <row r="69" spans="2:13" ht="15" hidden="1" customHeight="1" x14ac:dyDescent="0.25">
      <c r="B69" s="49" t="str">
        <f>IF(($E63&gt;0),B63,B61)</f>
        <v>per 1000 youth</v>
      </c>
      <c r="C69" s="49">
        <f>IF(($E63&gt;0),C63,C62)</f>
        <v>0.53700000000000003</v>
      </c>
      <c r="D69" s="49">
        <f>IF(($E63&gt;0),D63,D62)</f>
        <v>0</v>
      </c>
      <c r="E69" s="49">
        <f>MAX(C69:D69)</f>
        <v>0.53700000000000003</v>
      </c>
      <c r="G69" s="1" t="str">
        <f>G63</f>
        <v>per 100 youth petitioned</v>
      </c>
      <c r="L69" s="58">
        <f>IF(($E63&gt;0),L63,L62)</f>
        <v>1000</v>
      </c>
      <c r="M69" s="58">
        <f>IF((B69=G69),1,2)</f>
        <v>2</v>
      </c>
    </row>
    <row r="70" spans="2:13" ht="15" hidden="1" customHeight="1" x14ac:dyDescent="0.25">
      <c r="B70" s="49" t="str">
        <f>IF(($E64&gt;0),B64,B63)</f>
        <v>per 1000 youth</v>
      </c>
      <c r="C70" s="49">
        <f>IF(($E64&gt;0),C64,C63)</f>
        <v>0.53700000000000003</v>
      </c>
      <c r="D70" s="49">
        <f>IF(($E64&gt;0),D64,D63)</f>
        <v>0</v>
      </c>
      <c r="E70" s="56">
        <f>MAX(C70:D70)</f>
        <v>0.53700000000000003</v>
      </c>
      <c r="G70" s="1" t="str">
        <f>G64</f>
        <v>per 100 youth found delinquent</v>
      </c>
      <c r="L70" s="58">
        <f>IF(($E64&gt;0),L64,L63)</f>
        <v>1000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Montmorency</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537</v>
      </c>
      <c r="D6" s="34"/>
      <c r="E6" s="33">
        <f>'Data Entry'!J6</f>
        <v>49</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Entry'!J7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49</v>
      </c>
      <c r="P7" s="42">
        <f t="shared" ref="P7:P15" si="4">C7</f>
        <v>0</v>
      </c>
      <c r="Q7" s="42">
        <f>C6-C7</f>
        <v>537</v>
      </c>
      <c r="R7" s="42">
        <f t="shared" ref="R7:R15" si="5">SUM(N7:Q7)</f>
        <v>586</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49.05</v>
      </c>
      <c r="P8" s="42">
        <f t="shared" si="4"/>
        <v>0</v>
      </c>
      <c r="Q8" s="42">
        <f>(C$67*L67)-C8</f>
        <v>537</v>
      </c>
      <c r="R8" s="42">
        <f t="shared" si="5"/>
        <v>586.04999999999995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49</v>
      </c>
      <c r="P9" s="42">
        <f t="shared" si="4"/>
        <v>0</v>
      </c>
      <c r="Q9" s="42">
        <f>(C$68*L68)-C9</f>
        <v>537</v>
      </c>
      <c r="R9" s="42">
        <f t="shared" si="5"/>
        <v>586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49</v>
      </c>
      <c r="P10" s="42">
        <f t="shared" si="4"/>
        <v>0</v>
      </c>
      <c r="Q10" s="42">
        <f>(C$68*L68)-C10</f>
        <v>537</v>
      </c>
      <c r="R10" s="42">
        <f t="shared" si="5"/>
        <v>586</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49</v>
      </c>
      <c r="P11" s="42">
        <f t="shared" si="4"/>
        <v>0</v>
      </c>
      <c r="Q11" s="42">
        <f>(C$68*L68)-C11</f>
        <v>537</v>
      </c>
      <c r="R11" s="42">
        <f t="shared" si="5"/>
        <v>586</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49</v>
      </c>
      <c r="P12" s="42">
        <f t="shared" si="4"/>
        <v>0</v>
      </c>
      <c r="Q12" s="42">
        <f>(C69*L69)-C12</f>
        <v>537</v>
      </c>
      <c r="R12" s="42">
        <f t="shared" si="5"/>
        <v>586</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49</v>
      </c>
      <c r="P13" s="42">
        <f t="shared" si="4"/>
        <v>0</v>
      </c>
      <c r="Q13" s="42">
        <f>(C70*L70)-C13</f>
        <v>537</v>
      </c>
      <c r="R13" s="42">
        <f t="shared" si="5"/>
        <v>586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49</v>
      </c>
      <c r="P14" s="42">
        <f t="shared" si="4"/>
        <v>0</v>
      </c>
      <c r="Q14" s="42">
        <f>(C70*L70)-C14</f>
        <v>537</v>
      </c>
      <c r="R14" s="42">
        <f t="shared" si="5"/>
        <v>586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49</v>
      </c>
      <c r="P15" s="42">
        <f t="shared" si="4"/>
        <v>0</v>
      </c>
      <c r="Q15" s="42">
        <f>(C69*L69)-C15</f>
        <v>537</v>
      </c>
      <c r="R15" s="42">
        <f t="shared" si="5"/>
        <v>586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1000 youth</v>
      </c>
      <c r="G29" s="52"/>
      <c r="H29" s="52"/>
      <c r="I29" s="52"/>
      <c r="J29" s="52"/>
      <c r="K29" s="52"/>
      <c r="L29" s="53"/>
      <c r="R29" s="49"/>
    </row>
    <row r="30" spans="2:21" ht="15" customHeight="1" x14ac:dyDescent="0.25">
      <c r="B30" s="52" t="s">
        <v>73</v>
      </c>
      <c r="C30" s="52"/>
      <c r="D30" s="52"/>
      <c r="E30" s="52"/>
      <c r="F30" s="52" t="str">
        <f>B68</f>
        <v>per 1000 youth</v>
      </c>
      <c r="G30" s="52"/>
      <c r="H30" s="52"/>
      <c r="I30" s="52"/>
      <c r="J30" s="52"/>
      <c r="K30" s="52"/>
      <c r="L30" s="53"/>
      <c r="N30" s="1" t="b">
        <f>ISNUMBER(J14)</f>
        <v>0</v>
      </c>
      <c r="R30" s="49"/>
    </row>
    <row r="31" spans="2:21" ht="15" customHeight="1" x14ac:dyDescent="0.25">
      <c r="B31" s="52" t="s">
        <v>74</v>
      </c>
      <c r="C31" s="52"/>
      <c r="D31" s="52"/>
      <c r="E31" s="52"/>
      <c r="F31" s="52" t="str">
        <f>B68</f>
        <v>per 1000 youth</v>
      </c>
      <c r="G31" s="52"/>
      <c r="H31" s="52"/>
      <c r="I31" s="52"/>
      <c r="J31" s="52"/>
      <c r="K31" s="52"/>
      <c r="L31" s="53"/>
      <c r="R31" s="49"/>
    </row>
    <row r="32" spans="2:21" ht="15" customHeight="1" x14ac:dyDescent="0.25">
      <c r="B32" s="52" t="s">
        <v>75</v>
      </c>
      <c r="C32" s="52"/>
      <c r="D32" s="52"/>
      <c r="E32" s="52"/>
      <c r="F32" s="52" t="str">
        <f>B69</f>
        <v>per 1000 youth</v>
      </c>
      <c r="G32" s="52"/>
      <c r="H32" s="52"/>
      <c r="I32" s="52"/>
      <c r="J32" s="52"/>
      <c r="K32" s="52"/>
      <c r="L32" s="53"/>
      <c r="R32" s="49"/>
    </row>
    <row r="33" spans="2:18" ht="15" customHeight="1" x14ac:dyDescent="0.25">
      <c r="B33" s="52" t="s">
        <v>76</v>
      </c>
      <c r="C33" s="52"/>
      <c r="D33" s="52"/>
      <c r="E33" s="52"/>
      <c r="F33" s="52" t="str">
        <f>B70</f>
        <v>per 1000 youth</v>
      </c>
      <c r="G33" s="52"/>
      <c r="H33" s="52"/>
      <c r="I33" s="52"/>
      <c r="J33" s="52"/>
      <c r="K33" s="52"/>
      <c r="L33" s="53"/>
      <c r="R33" s="49"/>
    </row>
    <row r="34" spans="2:18" ht="15" customHeight="1" x14ac:dyDescent="0.25">
      <c r="B34" s="52" t="s">
        <v>77</v>
      </c>
      <c r="C34" s="52"/>
      <c r="D34" s="52"/>
      <c r="E34" s="52"/>
      <c r="F34" s="52" t="str">
        <f>B70</f>
        <v>per 1000 youth</v>
      </c>
      <c r="G34" s="52"/>
      <c r="H34" s="52"/>
      <c r="I34" s="52"/>
      <c r="J34" s="52"/>
      <c r="K34" s="52"/>
      <c r="L34" s="53"/>
      <c r="R34" s="49"/>
    </row>
    <row r="35" spans="2:18" ht="15" customHeight="1" x14ac:dyDescent="0.25">
      <c r="B35" s="52" t="s">
        <v>78</v>
      </c>
      <c r="C35" s="52"/>
      <c r="D35" s="52"/>
      <c r="E35" s="52"/>
      <c r="F35" s="52" t="str">
        <f>B69</f>
        <v>per 1000 youth</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0.53700000000000003</v>
      </c>
      <c r="D42" s="56">
        <f>E6/1000</f>
        <v>4.9000000000000002E-2</v>
      </c>
      <c r="E42" s="56">
        <f>MAX(C42:D42)</f>
        <v>0.53700000000000003</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0.53700000000000003</v>
      </c>
      <c r="D48" s="56">
        <f>D42</f>
        <v>4.9000000000000002E-2</v>
      </c>
      <c r="E48" s="56">
        <f>MAX(C48:D48)</f>
        <v>0.53700000000000003</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0.53700000000000003</v>
      </c>
      <c r="D49" s="49">
        <f t="shared" si="9"/>
        <v>4.9000000000000002E-2</v>
      </c>
      <c r="E49" s="49">
        <f>MAX(C49:D49)</f>
        <v>0.53700000000000003</v>
      </c>
      <c r="G49" s="1" t="str">
        <f>G43</f>
        <v>per 100 arrests</v>
      </c>
      <c r="L49" s="58">
        <f>IF(($E43&gt;0),L43,L42)</f>
        <v>1000</v>
      </c>
      <c r="M49" s="58"/>
      <c r="N49" s="21"/>
      <c r="O49" s="21"/>
      <c r="P49" s="21"/>
      <c r="Q49" s="21"/>
      <c r="R49" s="21"/>
    </row>
    <row r="50" spans="2:18" ht="15" hidden="1" customHeight="1" x14ac:dyDescent="0.25">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0.53700000000000003</v>
      </c>
      <c r="D54" s="56">
        <f>D48</f>
        <v>4.9000000000000002E-2</v>
      </c>
      <c r="E54" s="56">
        <f>MAX(C54:D54)</f>
        <v>0.53700000000000003</v>
      </c>
      <c r="G54" s="1" t="str">
        <f>G48</f>
        <v>per 1000 youth</v>
      </c>
      <c r="L54" s="58">
        <f>L48</f>
        <v>1000</v>
      </c>
      <c r="M54" s="58"/>
    </row>
    <row r="55" spans="2:18" ht="15" hidden="1" customHeight="1" x14ac:dyDescent="0.25">
      <c r="B55" s="49" t="str">
        <f t="shared" ref="B55:D56" si="10">IF(($E49&gt;0),B49,B48)</f>
        <v>per 1000 youth</v>
      </c>
      <c r="C55" s="49">
        <f t="shared" si="10"/>
        <v>0.53700000000000003</v>
      </c>
      <c r="D55" s="49">
        <f t="shared" si="10"/>
        <v>4.9000000000000002E-2</v>
      </c>
      <c r="E55" s="49">
        <f>MAX(C55:D55)</f>
        <v>0.53700000000000003</v>
      </c>
      <c r="G55" s="1" t="str">
        <f>G49</f>
        <v>per 100 arrests</v>
      </c>
      <c r="L55" s="58">
        <f>IF(($E49&gt;0),L49,L48)</f>
        <v>1000</v>
      </c>
      <c r="M55" s="58"/>
    </row>
    <row r="56" spans="2:18" ht="15" hidden="1" customHeight="1" x14ac:dyDescent="0.25">
      <c r="B56" s="49" t="str">
        <f t="shared" si="10"/>
        <v>per 1000 youth</v>
      </c>
      <c r="C56" s="49">
        <f t="shared" si="10"/>
        <v>0.53700000000000003</v>
      </c>
      <c r="D56" s="49">
        <f t="shared" si="10"/>
        <v>4.9000000000000002E-2</v>
      </c>
      <c r="E56" s="49">
        <f>MAX(C56:D56)</f>
        <v>0.53700000000000003</v>
      </c>
      <c r="G56" s="1" t="str">
        <f>G50</f>
        <v>per 100 referrals</v>
      </c>
      <c r="L56" s="58">
        <f>IF(($E50&gt;0),L50,L49)</f>
        <v>1000</v>
      </c>
      <c r="M56" s="58"/>
    </row>
    <row r="57" spans="2:18" ht="15" hidden="1" customHeight="1" x14ac:dyDescent="0.25">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0.53700000000000003</v>
      </c>
      <c r="D60" s="56">
        <f>D54</f>
        <v>4.9000000000000002E-2</v>
      </c>
      <c r="E60" s="56">
        <f>MAX(C60:D60)</f>
        <v>0.53700000000000003</v>
      </c>
      <c r="G60" s="1" t="str">
        <f>G54</f>
        <v>per 1000 youth</v>
      </c>
      <c r="L60" s="58">
        <f>L54</f>
        <v>1000</v>
      </c>
      <c r="M60" s="58"/>
    </row>
    <row r="61" spans="2:18" ht="15" hidden="1" customHeight="1" x14ac:dyDescent="0.25">
      <c r="B61" s="49" t="str">
        <f t="shared" ref="B61:D62" si="11">IF(($E55&gt;0),B55,B54)</f>
        <v>per 1000 youth</v>
      </c>
      <c r="C61" s="49">
        <f t="shared" si="11"/>
        <v>0.53700000000000003</v>
      </c>
      <c r="D61" s="49">
        <f t="shared" si="11"/>
        <v>4.9000000000000002E-2</v>
      </c>
      <c r="E61" s="49">
        <f>MAX(C61:D61)</f>
        <v>0.53700000000000003</v>
      </c>
      <c r="G61" s="1" t="str">
        <f>G55</f>
        <v>per 100 arrests</v>
      </c>
      <c r="L61" s="58">
        <f>IF(($E55&gt;0),L55,L54)</f>
        <v>1000</v>
      </c>
      <c r="M61" s="58"/>
    </row>
    <row r="62" spans="2:18" ht="15" hidden="1" customHeight="1" x14ac:dyDescent="0.25">
      <c r="B62" s="49" t="str">
        <f t="shared" si="11"/>
        <v>per 1000 youth</v>
      </c>
      <c r="C62" s="49">
        <f t="shared" si="11"/>
        <v>0.53700000000000003</v>
      </c>
      <c r="D62" s="49">
        <f t="shared" si="11"/>
        <v>4.9000000000000002E-2</v>
      </c>
      <c r="E62" s="49">
        <f>MAX(C62:D62)</f>
        <v>0.53700000000000003</v>
      </c>
      <c r="G62" s="1" t="str">
        <f>G56</f>
        <v>per 100 referrals</v>
      </c>
      <c r="L62" s="58">
        <f>IF(($E56&gt;0),L56,L55)</f>
        <v>1000</v>
      </c>
      <c r="M62" s="58"/>
    </row>
    <row r="63" spans="2:18" ht="15" hidden="1" customHeight="1" x14ac:dyDescent="0.25">
      <c r="B63" s="49" t="str">
        <f>IF(($E57&gt;0),B57,B55)</f>
        <v>per 1000 youth</v>
      </c>
      <c r="C63" s="49">
        <f>IF(($E57&gt;0),C57,C56)</f>
        <v>0.53700000000000003</v>
      </c>
      <c r="D63" s="49">
        <f>IF(($E57&gt;0),D57,D56)</f>
        <v>4.9000000000000002E-2</v>
      </c>
      <c r="E63" s="49">
        <f>MAX(C63:D63)</f>
        <v>0.53700000000000003</v>
      </c>
      <c r="G63" s="1" t="str">
        <f>G57</f>
        <v>per 100 youth petitioned</v>
      </c>
      <c r="L63" s="58">
        <f>IF(($E57&gt;0),L57,L56)</f>
        <v>1000</v>
      </c>
      <c r="M63" s="58"/>
    </row>
    <row r="64" spans="2:18" ht="15" hidden="1" customHeight="1" x14ac:dyDescent="0.25">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0.53700000000000003</v>
      </c>
      <c r="D66" s="56">
        <f>D60</f>
        <v>4.9000000000000002E-2</v>
      </c>
      <c r="E66" s="56">
        <f>MAX(C66:D66)</f>
        <v>0.53700000000000003</v>
      </c>
      <c r="G66" s="1" t="str">
        <f>G60</f>
        <v>per 1000 youth</v>
      </c>
      <c r="L66" s="58">
        <f>L60</f>
        <v>1000</v>
      </c>
      <c r="M66" s="58">
        <f>IF((B66=G66),1,2)</f>
        <v>1</v>
      </c>
    </row>
    <row r="67" spans="2:13" ht="15" hidden="1" customHeight="1" x14ac:dyDescent="0.25">
      <c r="B67" s="49" t="str">
        <f t="shared" ref="B67:D68" si="12">IF(($E61&gt;0),B61,B60)</f>
        <v>per 1000 youth</v>
      </c>
      <c r="C67" s="49">
        <f t="shared" si="12"/>
        <v>0.53700000000000003</v>
      </c>
      <c r="D67" s="49">
        <f t="shared" si="12"/>
        <v>4.9000000000000002E-2</v>
      </c>
      <c r="E67" s="49">
        <f>MAX(C67:D67)</f>
        <v>0.53700000000000003</v>
      </c>
      <c r="G67" s="1" t="str">
        <f>G61</f>
        <v>per 100 arrests</v>
      </c>
      <c r="L67" s="58">
        <f>IF(($E61&gt;0),L61,L60)</f>
        <v>1000</v>
      </c>
      <c r="M67" s="58">
        <f>IF((B67=G67),1,2)</f>
        <v>2</v>
      </c>
    </row>
    <row r="68" spans="2:13" ht="15" hidden="1" customHeight="1" x14ac:dyDescent="0.25">
      <c r="B68" s="49" t="str">
        <f t="shared" si="12"/>
        <v>per 1000 youth</v>
      </c>
      <c r="C68" s="49">
        <f t="shared" si="12"/>
        <v>0.53700000000000003</v>
      </c>
      <c r="D68" s="49">
        <f t="shared" si="12"/>
        <v>4.9000000000000002E-2</v>
      </c>
      <c r="E68" s="49">
        <f>MAX(C68:D68)</f>
        <v>0.53700000000000003</v>
      </c>
      <c r="G68" s="1" t="str">
        <f>G62</f>
        <v>per 100 referrals</v>
      </c>
      <c r="L68" s="58">
        <f>IF(($E62&gt;0),L62,L61)</f>
        <v>1000</v>
      </c>
      <c r="M68" s="58">
        <f>IF((B68=G68),1,2)</f>
        <v>2</v>
      </c>
    </row>
    <row r="69" spans="2:13" ht="15" hidden="1" customHeight="1" x14ac:dyDescent="0.25">
      <c r="B69" s="49" t="str">
        <f>IF(($E63&gt;0),B63,B61)</f>
        <v>per 1000 youth</v>
      </c>
      <c r="C69" s="49">
        <f>IF(($E63&gt;0),C63,C62)</f>
        <v>0.53700000000000003</v>
      </c>
      <c r="D69" s="49">
        <f>IF(($E63&gt;0),D63,D62)</f>
        <v>4.9000000000000002E-2</v>
      </c>
      <c r="E69" s="49">
        <f>MAX(C69:D69)</f>
        <v>0.53700000000000003</v>
      </c>
      <c r="G69" s="1" t="str">
        <f>G63</f>
        <v>per 100 youth petitioned</v>
      </c>
      <c r="L69" s="58">
        <f>IF(($E63&gt;0),L63,L62)</f>
        <v>1000</v>
      </c>
      <c r="M69" s="58">
        <f>IF((B69=G69),1,2)</f>
        <v>2</v>
      </c>
    </row>
    <row r="70" spans="2:13" ht="15" hidden="1" customHeight="1" x14ac:dyDescent="0.25">
      <c r="B70" s="49" t="str">
        <f>IF(($E64&gt;0),B64,B63)</f>
        <v>per 1000 youth</v>
      </c>
      <c r="C70" s="49">
        <f>IF(($E64&gt;0),C64,C63)</f>
        <v>0.53700000000000003</v>
      </c>
      <c r="D70" s="49">
        <f>IF(($E64&gt;0),D64,D63)</f>
        <v>4.9000000000000002E-2</v>
      </c>
      <c r="E70" s="56">
        <f>MAX(C70:D70)</f>
        <v>0.53700000000000003</v>
      </c>
      <c r="G70" s="1" t="str">
        <f>G64</f>
        <v>per 100 youth found delinquent</v>
      </c>
      <c r="L70" s="58">
        <f>IF(($E64&gt;0),L64,L63)</f>
        <v>1000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Montmorency</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t="e">
        <f>'Black or African-American'!L7</f>
        <v>#VALUE!</v>
      </c>
      <c r="M7" s="1" t="e">
        <f>Hispanic!L7</f>
        <v>#VALUE!</v>
      </c>
      <c r="N7" s="1" t="e">
        <f>Asian!L7</f>
        <v>#VALUE!</v>
      </c>
      <c r="O7" s="1" t="e">
        <f>Hawaiian!L7</f>
        <v>#VALUE!</v>
      </c>
      <c r="P7" s="1" t="e">
        <f>'Am Indian'!L7</f>
        <v>#VALUE!</v>
      </c>
      <c r="Q7" s="1" t="e">
        <f>'Other - Mixed'!L7</f>
        <v>#VALUE!</v>
      </c>
      <c r="R7" s="1" t="e">
        <f>'All Minorities'!L7</f>
        <v>#VALUE!</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586</v>
      </c>
      <c r="D3" s="57">
        <f>'Data Entry'!C6</f>
        <v>537</v>
      </c>
      <c r="E3" s="57">
        <f>'Data Entry'!D6</f>
        <v>17</v>
      </c>
      <c r="F3" s="57">
        <f>'Data Entry'!E6</f>
        <v>20</v>
      </c>
      <c r="G3" s="57">
        <f>'Data Entry'!F6</f>
        <v>5</v>
      </c>
      <c r="H3" s="57">
        <f>'Data Entry'!G6</f>
        <v>0</v>
      </c>
      <c r="I3" s="57">
        <f>'Data Entry'!H6</f>
        <v>7</v>
      </c>
      <c r="J3" s="57">
        <f>'Data Entry'!I6</f>
        <v>0</v>
      </c>
      <c r="K3" s="57">
        <f>'Data Entry'!J6</f>
        <v>49</v>
      </c>
    </row>
    <row r="4" spans="2:11" ht="15" customHeight="1" x14ac:dyDescent="0.25">
      <c r="B4" s="16" t="s">
        <v>8</v>
      </c>
      <c r="C4" s="1">
        <f>IF((C$3&gt;0),(1000*('Data Entry'!B7/'Data Entry'!B$6)), 0)</f>
        <v>0</v>
      </c>
      <c r="D4" s="1">
        <f>IF((D$3&gt;0),(1000*('Data Entry'!C7/'Data Entry'!C$6)), 0)</f>
        <v>0</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1.7064846416382253</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1.7064846416382253</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1.7064846416382253</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Montmorency</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t="str">
        <f>IF(AND(($D4&gt;0),(D4&gt;0)), (D4/$D4),"--")</f>
        <v>--</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Montmorency</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537</v>
      </c>
      <c r="D7" s="105">
        <f>'Data Entry'!D6</f>
        <v>17</v>
      </c>
      <c r="E7" s="106"/>
      <c r="F7" s="107">
        <f>'Data Entry'!E6</f>
        <v>20</v>
      </c>
      <c r="G7" s="106"/>
      <c r="H7" s="107">
        <f>'Data Entry'!F6</f>
        <v>5</v>
      </c>
      <c r="I7" s="106"/>
      <c r="J7" s="107">
        <f>'Data Entry'!G6</f>
        <v>0</v>
      </c>
      <c r="K7" s="106"/>
      <c r="L7" s="107">
        <f>'Data Entry'!H6</f>
        <v>7</v>
      </c>
      <c r="M7" s="106"/>
      <c r="N7" s="107">
        <f>'Data Entry'!I6</f>
        <v>0</v>
      </c>
      <c r="O7" s="106"/>
      <c r="P7" s="107">
        <f>'Data Entry'!J6</f>
        <v>49</v>
      </c>
      <c r="Q7" s="108"/>
    </row>
    <row r="8" spans="2:26" s="1" customFormat="1" ht="15" customHeight="1" x14ac:dyDescent="0.3">
      <c r="B8" s="149" t="s">
        <v>8</v>
      </c>
      <c r="C8" s="104">
        <f>'Data Entry'!C7</f>
        <v>0</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t="e">
        <f>'Black or African-American'!L7</f>
        <v>#VALUE!</v>
      </c>
      <c r="U8" s="1" t="e">
        <f>Hispanic!L7</f>
        <v>#VALUE!</v>
      </c>
      <c r="V8" s="1" t="e">
        <f>Asian!L7</f>
        <v>#VALUE!</v>
      </c>
      <c r="W8" s="1" t="e">
        <f>Hawaiian!L7</f>
        <v>#VALUE!</v>
      </c>
      <c r="X8" s="1" t="e">
        <f>'Am Indian'!L7</f>
        <v>#VALUE!</v>
      </c>
      <c r="Y8" s="1" t="e">
        <f>'Other - Mixed'!L7</f>
        <v>#VALUE!</v>
      </c>
      <c r="Z8" s="1" t="e">
        <f>'All Minorities'!L7</f>
        <v>#VALUE!</v>
      </c>
    </row>
    <row r="9" spans="2:26" s="1" customFormat="1" ht="15" customHeight="1" x14ac:dyDescent="0.3">
      <c r="B9" s="149" t="s">
        <v>134</v>
      </c>
      <c r="C9" s="104">
        <f>'Data Entry'!C8</f>
        <v>0</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Montmorency</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Montmorency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10.959183673469388</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10.959183673469388</v>
      </c>
    </row>
    <row r="9" spans="1:12" x14ac:dyDescent="0.2">
      <c r="A9" s="132" t="str">
        <f>CONCATENATE("Delinquent Findings, total N=", 'Data Entry'!B12)</f>
        <v>Delinquent Findings, total N=1</v>
      </c>
      <c r="B9" s="157">
        <f>'Data Entry'!D12/'Data Entry'!B12</f>
        <v>0</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0</v>
      </c>
      <c r="K9" s="97" t="str">
        <f t="shared" si="0"/>
        <v>Delinquent Findings, total N=1</v>
      </c>
      <c r="L9">
        <f>I14/(SUM(B14:G14))</f>
        <v>10.959183673469388</v>
      </c>
    </row>
    <row r="10" spans="1:12" x14ac:dyDescent="0.2">
      <c r="A10" s="132" t="str">
        <f>CONCATENATE("Petitions, total N=", 'Data Entry'!B11)</f>
        <v>Petitions, total N=0</v>
      </c>
      <c r="B10" s="157" t="e">
        <f>'Data Entry'!D11/'Data Entry'!B11</f>
        <v>#DIV/0!</v>
      </c>
      <c r="C10" s="157" t="e">
        <f>'Data Entry'!E11/'Data Entry'!B11</f>
        <v>#DIV/0!</v>
      </c>
      <c r="D10" s="157" t="e">
        <f>'Data Entry'!F11/'Data Entry'!B11</f>
        <v>#DIV/0!</v>
      </c>
      <c r="E10" s="157" t="e">
        <f>'Data Entry'!G11/'Data Entry'!B11</f>
        <v>#DIV/0!</v>
      </c>
      <c r="F10" s="157" t="e">
        <f>'Data Entry'!H11/'Data Entry'!B11</f>
        <v>#DIV/0!</v>
      </c>
      <c r="G10" s="157" t="e">
        <f>'Data Entry'!I11/'Data Entry'!B11</f>
        <v>#DIV/0!</v>
      </c>
      <c r="H10" s="157" t="e">
        <f>SUM(D10:G10)/'Data Entry'!B11</f>
        <v>#DIV/0!</v>
      </c>
      <c r="I10" s="157" t="e">
        <f>'Data Entry'!C11/'Data Entry'!B11</f>
        <v>#DIV/0!</v>
      </c>
      <c r="K10" s="97" t="str">
        <f t="shared" si="0"/>
        <v>Petitions, total N=0</v>
      </c>
      <c r="L10">
        <f>I14/(SUM(B14:G14))</f>
        <v>10.959183673469388</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10.959183673469388</v>
      </c>
    </row>
    <row r="12" spans="1:12" x14ac:dyDescent="0.2">
      <c r="A12" s="132" t="str">
        <f>CONCATENATE("Referrals, total N=", 'Data Entry'!B8)</f>
        <v>Referrals, total N=1</v>
      </c>
      <c r="B12" s="157">
        <f>'Data Entry'!D8/'Data Entry'!B8</f>
        <v>0</v>
      </c>
      <c r="C12" s="157">
        <f>'Data Entry'!E8/'Data Entry'!B8</f>
        <v>0</v>
      </c>
      <c r="D12" s="157">
        <f>'Data Entry'!F8/'Data Entry'!B8</f>
        <v>0</v>
      </c>
      <c r="E12" s="157">
        <f>'Data Entry'!G8/'Data Entry'!B8</f>
        <v>0</v>
      </c>
      <c r="F12" s="157">
        <f>'Data Entry'!H8/'Data Entry'!B8</f>
        <v>0</v>
      </c>
      <c r="G12" s="157">
        <f>'Data Entry'!I8/'Data Entry'!B8</f>
        <v>0</v>
      </c>
      <c r="H12" s="157">
        <f>SUM(D12:G12)/'Data Entry'!B8</f>
        <v>0</v>
      </c>
      <c r="I12" s="157">
        <f>'Data Entry'!C8/'Data Entry'!B8</f>
        <v>0</v>
      </c>
      <c r="K12" s="97" t="str">
        <f t="shared" si="0"/>
        <v>Referrals, total N=1</v>
      </c>
      <c r="L12">
        <f>I14/(SUM(B14:G14))</f>
        <v>10.959183673469388</v>
      </c>
    </row>
    <row r="13" spans="1:12" x14ac:dyDescent="0.2">
      <c r="A13" s="132" t="str">
        <f>CONCATENATE("Arrests, total N=", 'Data Entry'!B7)</f>
        <v>Arrests, total N=0</v>
      </c>
      <c r="B13" s="157" t="e">
        <f>'Data Entry'!D7/'Data Entry'!B7</f>
        <v>#DIV/0!</v>
      </c>
      <c r="C13" s="157" t="e">
        <f>'Data Entry'!E7/'Data Entry'!B7</f>
        <v>#DIV/0!</v>
      </c>
      <c r="D13" s="157" t="e">
        <f>'Data Entry'!F7/'Data Entry'!B7</f>
        <v>#DIV/0!</v>
      </c>
      <c r="E13" s="157" t="e">
        <f>'Data Entry'!G7/'Data Entry'!B7</f>
        <v>#DIV/0!</v>
      </c>
      <c r="F13" s="157" t="e">
        <f>'Data Entry'!H7/'Data Entry'!B7</f>
        <v>#DIV/0!</v>
      </c>
      <c r="G13" s="157" t="e">
        <f>'Data Entry'!I7/'Data Entry'!B7</f>
        <v>#DIV/0!</v>
      </c>
      <c r="H13" s="157" t="e">
        <f>SUM(D13:G13)/'Data Entry'!B7</f>
        <v>#DIV/0!</v>
      </c>
      <c r="I13" s="157" t="e">
        <f>'Data Entry'!C7/'Data Entry'!B7</f>
        <v>#DIV/0!</v>
      </c>
      <c r="K13" s="97" t="str">
        <f t="shared" si="0"/>
        <v>Arrests, total N=0</v>
      </c>
      <c r="L13">
        <f>I14/(SUM(B14:G14))</f>
        <v>10.959183673469388</v>
      </c>
    </row>
    <row r="14" spans="1:12" x14ac:dyDescent="0.2">
      <c r="A14" s="132" t="str">
        <f>CONCATENATE("Population, total N=", 'Data Entry'!B6)</f>
        <v>Population, total N=586</v>
      </c>
      <c r="B14" s="157">
        <f>'Data Entry'!D6/'Data Entry'!B6</f>
        <v>2.9010238907849831E-2</v>
      </c>
      <c r="C14" s="157">
        <f>'Data Entry'!E6/'Data Entry'!B6</f>
        <v>3.4129692832764506E-2</v>
      </c>
      <c r="D14" s="157">
        <f>'Data Entry'!F6/'Data Entry'!B6</f>
        <v>8.5324232081911266E-3</v>
      </c>
      <c r="E14" s="157">
        <f>'Data Entry'!G6/'Data Entry'!B6</f>
        <v>0</v>
      </c>
      <c r="F14" s="157">
        <f>'Data Entry'!H6/'Data Entry'!B6</f>
        <v>1.1945392491467578E-2</v>
      </c>
      <c r="G14" s="157">
        <f>'Data Entry'!I6/'Data Entry'!B6</f>
        <v>0</v>
      </c>
      <c r="H14" s="157">
        <f>SUM(D14:G14)/'Data Entry'!B6</f>
        <v>3.4945077985765705E-5</v>
      </c>
      <c r="I14" s="157">
        <f>'Data Entry'!C6/'Data Entry'!B6</f>
        <v>0.91638225255972694</v>
      </c>
      <c r="K14" s="97" t="str">
        <f t="shared" si="0"/>
        <v>Population, total N=586</v>
      </c>
      <c r="L14">
        <f>I14/(SUM(B14:G14))</f>
        <v>10.959183673469388</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Montmorency</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537</v>
      </c>
      <c r="D7" s="105">
        <f>'Data Entry'!D6</f>
        <v>17</v>
      </c>
      <c r="E7" s="106"/>
      <c r="F7" s="107">
        <f>'Data Entry'!E6</f>
        <v>20</v>
      </c>
      <c r="G7" s="106"/>
      <c r="H7" s="107">
        <f>'Data Entry'!F6</f>
        <v>5</v>
      </c>
      <c r="I7" s="106"/>
      <c r="J7" s="107">
        <f>'Data Entry'!J6</f>
        <v>49</v>
      </c>
      <c r="K7" s="108"/>
    </row>
    <row r="8" spans="2:30" s="1" customFormat="1" ht="15" customHeight="1" x14ac:dyDescent="0.3">
      <c r="B8" s="125" t="s">
        <v>8</v>
      </c>
      <c r="C8" s="104">
        <f>'Data Entry'!C7</f>
        <v>0</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t="e">
        <f>'Black or African-American'!L7</f>
        <v>#VALUE!</v>
      </c>
      <c r="O8" s="1" t="e">
        <f>Hispanic!L7</f>
        <v>#VALUE!</v>
      </c>
      <c r="P8" s="1" t="e">
        <f>Asian!L7</f>
        <v>#VALUE!</v>
      </c>
      <c r="Q8" s="1" t="e">
        <f>Hawaiian!L7</f>
        <v>#VALUE!</v>
      </c>
      <c r="R8" s="1" t="e">
        <f>'Am Indian'!L7</f>
        <v>#VALUE!</v>
      </c>
      <c r="S8" s="1" t="e">
        <f>'Other - Mixed'!L7</f>
        <v>#VALUE!</v>
      </c>
      <c r="T8" s="1" t="e">
        <f>'All Minorities'!L7</f>
        <v>#VALUE!</v>
      </c>
    </row>
    <row r="9" spans="2:30" s="1" customFormat="1" ht="15" customHeight="1" x14ac:dyDescent="0.3">
      <c r="B9" s="125" t="s">
        <v>134</v>
      </c>
      <c r="C9" s="104">
        <f>'Data Entry'!C8</f>
        <v>0</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Montmorency</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537</v>
      </c>
      <c r="D6" s="34"/>
      <c r="E6" s="33">
        <f>'Data Entry'!D6</f>
        <v>17</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Entry'!D7</f>
        <v>0</v>
      </c>
      <c r="F7" s="34">
        <f>IF((AND($E$7&gt;0,$D$66&gt;0)),($E$7/$D$66),0)</f>
        <v>0</v>
      </c>
      <c r="G7" s="39" t="str">
        <f>IF(L$6=100,"*",IF(M7=FALSE,"--",IF(K7=20,"**",($F7/$D7))))</f>
        <v>--</v>
      </c>
      <c r="H7" s="40"/>
      <c r="I7" s="41"/>
      <c r="J7" s="40" t="e">
        <f>IF((ABS($U7)&gt;Defaults!D$7),1,2)</f>
        <v>#VALUE!</v>
      </c>
      <c r="K7" s="39">
        <f>IF((AND(N7&gt;Defaults!B$12,(N7+O7)&gt;Defaults!B$13, P7 &gt; Defaults!B$12, (P7+Q7) &gt; Defaults!B$13)),1,20)</f>
        <v>20</v>
      </c>
      <c r="L7" s="1" t="e">
        <f>(J7*K7+L$6)-1</f>
        <v>#VALUE!</v>
      </c>
      <c r="M7" s="1" t="b">
        <f t="shared" ref="M7:M15" si="0">(ISNUMBER(J7))</f>
        <v>0</v>
      </c>
      <c r="N7" s="42">
        <f t="shared" ref="N7:N15" si="1">E7</f>
        <v>0</v>
      </c>
      <c r="O7" s="42">
        <f>E6-E7</f>
        <v>17</v>
      </c>
      <c r="P7" s="42">
        <f t="shared" ref="P7:P15" si="2">C7</f>
        <v>0</v>
      </c>
      <c r="Q7" s="42">
        <f>C6-C7</f>
        <v>537</v>
      </c>
      <c r="R7" s="42">
        <f t="shared" ref="R7:R15" si="3">SUM(N7:Q7)</f>
        <v>554</v>
      </c>
      <c r="S7" s="30">
        <f t="shared" ref="S7:S15" si="4">R7*((((N7*Q7)-(O7*P7))^2))</f>
        <v>0</v>
      </c>
      <c r="T7" s="30">
        <f t="shared" ref="T7:T15" si="5">(N7+O7)*(P7+Q7)*(N7+P7)*(O7+Q7)</f>
        <v>0</v>
      </c>
      <c r="U7" s="31" t="str">
        <f t="shared" ref="U7:U15" si="6">IF((S7&gt;0),S7/T7,"- -")</f>
        <v>- -</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17.05</v>
      </c>
      <c r="P8" s="42">
        <f t="shared" si="2"/>
        <v>0</v>
      </c>
      <c r="Q8" s="42">
        <f>(C$67*L67)-C8</f>
        <v>537</v>
      </c>
      <c r="R8" s="42">
        <f t="shared" si="3"/>
        <v>554.04999999999995</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17</v>
      </c>
      <c r="P9" s="42">
        <f t="shared" si="2"/>
        <v>0</v>
      </c>
      <c r="Q9" s="42">
        <f>(C$68*L68)-C9</f>
        <v>537</v>
      </c>
      <c r="R9" s="42">
        <f t="shared" si="3"/>
        <v>554</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17</v>
      </c>
      <c r="P10" s="42">
        <f t="shared" si="2"/>
        <v>0</v>
      </c>
      <c r="Q10" s="42">
        <f>(C$68*L68)-C10</f>
        <v>537</v>
      </c>
      <c r="R10" s="42">
        <f t="shared" si="3"/>
        <v>554</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17</v>
      </c>
      <c r="P11" s="42">
        <f t="shared" si="2"/>
        <v>0</v>
      </c>
      <c r="Q11" s="42">
        <f>(C$68*L68)-C11</f>
        <v>537</v>
      </c>
      <c r="R11" s="42">
        <f t="shared" si="3"/>
        <v>554</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17</v>
      </c>
      <c r="P12" s="42">
        <f t="shared" si="2"/>
        <v>0</v>
      </c>
      <c r="Q12" s="42">
        <f>(C69*L69)-C12</f>
        <v>537</v>
      </c>
      <c r="R12" s="42">
        <f t="shared" si="3"/>
        <v>554</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17</v>
      </c>
      <c r="P13" s="42">
        <f t="shared" si="2"/>
        <v>0</v>
      </c>
      <c r="Q13" s="42">
        <f>(C70*L70)-C13</f>
        <v>537</v>
      </c>
      <c r="R13" s="42">
        <f t="shared" si="3"/>
        <v>554</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17</v>
      </c>
      <c r="P14" s="42">
        <f t="shared" si="2"/>
        <v>0</v>
      </c>
      <c r="Q14" s="42">
        <f>(C70*L70)-C14</f>
        <v>537</v>
      </c>
      <c r="R14" s="42">
        <f t="shared" si="3"/>
        <v>554</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17</v>
      </c>
      <c r="P15" s="42">
        <f t="shared" si="2"/>
        <v>0</v>
      </c>
      <c r="Q15" s="42">
        <f>(C69*L69)-C15</f>
        <v>537</v>
      </c>
      <c r="R15" s="42">
        <f t="shared" si="3"/>
        <v>554</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1000 youth</v>
      </c>
      <c r="G29" s="52"/>
      <c r="H29" s="52"/>
      <c r="I29" s="52"/>
      <c r="J29" s="52"/>
      <c r="K29" s="52"/>
      <c r="L29" s="53"/>
      <c r="R29" s="49"/>
    </row>
    <row r="30" spans="2:21" ht="15" customHeight="1" x14ac:dyDescent="0.25">
      <c r="B30" s="52" t="s">
        <v>73</v>
      </c>
      <c r="C30" s="52"/>
      <c r="D30" s="52"/>
      <c r="E30" s="52"/>
      <c r="F30" s="52" t="str">
        <f>B68</f>
        <v>per 1000 youth</v>
      </c>
      <c r="G30" s="52"/>
      <c r="H30" s="52"/>
      <c r="I30" s="52"/>
      <c r="J30" s="52"/>
      <c r="K30" s="52"/>
      <c r="L30" s="53"/>
      <c r="N30" s="1" t="b">
        <f>ISNUMBER(J14)</f>
        <v>0</v>
      </c>
      <c r="R30" s="49"/>
    </row>
    <row r="31" spans="2:21" ht="15" customHeight="1" x14ac:dyDescent="0.25">
      <c r="B31" s="52" t="s">
        <v>74</v>
      </c>
      <c r="C31" s="52"/>
      <c r="D31" s="52"/>
      <c r="E31" s="52"/>
      <c r="F31" s="52" t="str">
        <f>B68</f>
        <v>per 1000 youth</v>
      </c>
      <c r="G31" s="52"/>
      <c r="H31" s="52"/>
      <c r="I31" s="52"/>
      <c r="J31" s="52"/>
      <c r="K31" s="52"/>
      <c r="L31" s="53"/>
      <c r="R31" s="49"/>
    </row>
    <row r="32" spans="2:21" ht="15" customHeight="1" x14ac:dyDescent="0.25">
      <c r="B32" s="52" t="s">
        <v>75</v>
      </c>
      <c r="C32" s="52"/>
      <c r="D32" s="52"/>
      <c r="E32" s="52"/>
      <c r="F32" s="52" t="str">
        <f>B69</f>
        <v>per 1000 youth</v>
      </c>
      <c r="G32" s="52"/>
      <c r="H32" s="52"/>
      <c r="I32" s="52"/>
      <c r="J32" s="52"/>
      <c r="K32" s="52"/>
      <c r="L32" s="53"/>
      <c r="R32" s="49"/>
    </row>
    <row r="33" spans="2:18" ht="15" customHeight="1" x14ac:dyDescent="0.25">
      <c r="B33" s="52" t="s">
        <v>76</v>
      </c>
      <c r="C33" s="52"/>
      <c r="D33" s="52"/>
      <c r="E33" s="52"/>
      <c r="F33" s="52" t="str">
        <f>B70</f>
        <v>per 1000 youth</v>
      </c>
      <c r="G33" s="52"/>
      <c r="H33" s="52"/>
      <c r="I33" s="52"/>
      <c r="J33" s="52"/>
      <c r="K33" s="52"/>
      <c r="L33" s="53"/>
      <c r="R33" s="49"/>
    </row>
    <row r="34" spans="2:18" ht="15" customHeight="1" x14ac:dyDescent="0.25">
      <c r="B34" s="52" t="s">
        <v>77</v>
      </c>
      <c r="C34" s="52"/>
      <c r="D34" s="52"/>
      <c r="E34" s="52"/>
      <c r="F34" s="52" t="str">
        <f>B70</f>
        <v>per 1000 youth</v>
      </c>
      <c r="G34" s="52"/>
      <c r="H34" s="52"/>
      <c r="I34" s="52"/>
      <c r="J34" s="52"/>
      <c r="K34" s="52"/>
      <c r="L34" s="53"/>
      <c r="R34" s="49"/>
    </row>
    <row r="35" spans="2:18" ht="15" customHeight="1" x14ac:dyDescent="0.25">
      <c r="B35" s="52" t="s">
        <v>78</v>
      </c>
      <c r="C35" s="52"/>
      <c r="D35" s="52"/>
      <c r="E35" s="52"/>
      <c r="F35" s="52" t="str">
        <f>B69</f>
        <v>per 1000 youth</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0.53700000000000003</v>
      </c>
      <c r="D42" s="56">
        <f>E6/1000</f>
        <v>1.7000000000000001E-2</v>
      </c>
      <c r="E42" s="56">
        <f>MAX(C42:D42)</f>
        <v>0.53700000000000003</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0.53700000000000003</v>
      </c>
      <c r="D48" s="56">
        <f>D42</f>
        <v>1.7000000000000001E-2</v>
      </c>
      <c r="E48" s="56">
        <f>MAX(C48:D48)</f>
        <v>0.53700000000000003</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IF(($E43&gt;0),C43,C42)</f>
        <v>0.53700000000000003</v>
      </c>
      <c r="D49" s="49">
        <f t="shared" si="9"/>
        <v>1.7000000000000001E-2</v>
      </c>
      <c r="E49" s="49">
        <f>MAX(C49:D49)</f>
        <v>0.53700000000000003</v>
      </c>
      <c r="G49" s="1" t="str">
        <f>G43</f>
        <v>per 100 arrests</v>
      </c>
      <c r="L49" s="58">
        <f>IF(($E43&gt;0),L43,L42)</f>
        <v>1000</v>
      </c>
      <c r="M49" s="58"/>
      <c r="N49" s="21"/>
      <c r="O49" s="21"/>
      <c r="P49" s="21"/>
      <c r="Q49" s="21"/>
      <c r="R49" s="21"/>
    </row>
    <row r="50" spans="2:18" ht="15" hidden="1" customHeight="1" x14ac:dyDescent="0.25">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0.53700000000000003</v>
      </c>
      <c r="D54" s="56">
        <f>D48</f>
        <v>1.7000000000000001E-2</v>
      </c>
      <c r="E54" s="56">
        <f>MAX(C54:D54)</f>
        <v>0.53700000000000003</v>
      </c>
      <c r="G54" s="1" t="str">
        <f>G48</f>
        <v>per 1000 youth</v>
      </c>
      <c r="L54" s="58">
        <f>L48</f>
        <v>1000</v>
      </c>
      <c r="M54" s="58"/>
    </row>
    <row r="55" spans="2:18" ht="15" hidden="1" customHeight="1" x14ac:dyDescent="0.25">
      <c r="B55" s="49" t="str">
        <f t="shared" ref="B55:D56" si="10">IF(($E49&gt;0),B49,B48)</f>
        <v>per 1000 youth</v>
      </c>
      <c r="C55" s="49">
        <f t="shared" si="10"/>
        <v>0.53700000000000003</v>
      </c>
      <c r="D55" s="49">
        <f t="shared" si="10"/>
        <v>1.7000000000000001E-2</v>
      </c>
      <c r="E55" s="49">
        <f>MAX(C55:D55)</f>
        <v>0.53700000000000003</v>
      </c>
      <c r="G55" s="1" t="str">
        <f>G49</f>
        <v>per 100 arrests</v>
      </c>
      <c r="L55" s="58">
        <f>IF(($E49&gt;0),L49,L48)</f>
        <v>1000</v>
      </c>
      <c r="M55" s="58"/>
    </row>
    <row r="56" spans="2:18" ht="15" hidden="1" customHeight="1" x14ac:dyDescent="0.25">
      <c r="B56" s="49" t="str">
        <f t="shared" si="10"/>
        <v>per 1000 youth</v>
      </c>
      <c r="C56" s="49">
        <f t="shared" si="10"/>
        <v>0.53700000000000003</v>
      </c>
      <c r="D56" s="49">
        <f t="shared" si="10"/>
        <v>1.7000000000000001E-2</v>
      </c>
      <c r="E56" s="49">
        <f>MAX(C56:D56)</f>
        <v>0.53700000000000003</v>
      </c>
      <c r="G56" s="1" t="str">
        <f>G50</f>
        <v>per 100 referrals</v>
      </c>
      <c r="L56" s="58">
        <f>IF(($E50&gt;0),L50,L49)</f>
        <v>1000</v>
      </c>
      <c r="M56" s="58"/>
    </row>
    <row r="57" spans="2:18" ht="15" hidden="1" customHeight="1" x14ac:dyDescent="0.25">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0.53700000000000003</v>
      </c>
      <c r="D60" s="56">
        <f>D54</f>
        <v>1.7000000000000001E-2</v>
      </c>
      <c r="E60" s="56">
        <f>MAX(C60:D60)</f>
        <v>0.53700000000000003</v>
      </c>
      <c r="G60" s="1" t="str">
        <f>G54</f>
        <v>per 1000 youth</v>
      </c>
      <c r="L60" s="58">
        <f>L54</f>
        <v>1000</v>
      </c>
      <c r="M60" s="58"/>
    </row>
    <row r="61" spans="2:18" ht="15" hidden="1" customHeight="1" x14ac:dyDescent="0.25">
      <c r="B61" s="49" t="str">
        <f t="shared" ref="B61:D62" si="11">IF(($E55&gt;0),B55,B54)</f>
        <v>per 1000 youth</v>
      </c>
      <c r="C61" s="49">
        <f t="shared" si="11"/>
        <v>0.53700000000000003</v>
      </c>
      <c r="D61" s="49">
        <f t="shared" si="11"/>
        <v>1.7000000000000001E-2</v>
      </c>
      <c r="E61" s="49">
        <f>MAX(C61:D61)</f>
        <v>0.53700000000000003</v>
      </c>
      <c r="G61" s="1" t="str">
        <f>G55</f>
        <v>per 100 arrests</v>
      </c>
      <c r="L61" s="58">
        <f>IF(($E55&gt;0),L55,L54)</f>
        <v>1000</v>
      </c>
      <c r="M61" s="58"/>
    </row>
    <row r="62" spans="2:18" ht="15" hidden="1" customHeight="1" x14ac:dyDescent="0.25">
      <c r="B62" s="49" t="str">
        <f t="shared" si="11"/>
        <v>per 1000 youth</v>
      </c>
      <c r="C62" s="49">
        <f t="shared" si="11"/>
        <v>0.53700000000000003</v>
      </c>
      <c r="D62" s="49">
        <f t="shared" si="11"/>
        <v>1.7000000000000001E-2</v>
      </c>
      <c r="E62" s="49">
        <f>MAX(C62:D62)</f>
        <v>0.53700000000000003</v>
      </c>
      <c r="G62" s="1" t="str">
        <f>G56</f>
        <v>per 100 referrals</v>
      </c>
      <c r="L62" s="58">
        <f>IF(($E56&gt;0),L56,L55)</f>
        <v>1000</v>
      </c>
      <c r="M62" s="58"/>
    </row>
    <row r="63" spans="2:18" ht="15" hidden="1" customHeight="1" x14ac:dyDescent="0.25">
      <c r="B63" s="49" t="str">
        <f>IF(($E57&gt;0),B57,B55)</f>
        <v>per 1000 youth</v>
      </c>
      <c r="C63" s="49">
        <f>IF(($E57&gt;0),C57,C56)</f>
        <v>0.53700000000000003</v>
      </c>
      <c r="D63" s="49">
        <f>IF(($E57&gt;0),D57,D56)</f>
        <v>1.7000000000000001E-2</v>
      </c>
      <c r="E63" s="49">
        <f>MAX(C63:D63)</f>
        <v>0.53700000000000003</v>
      </c>
      <c r="G63" s="1" t="str">
        <f>G57</f>
        <v>per 100 youth petitioned</v>
      </c>
      <c r="L63" s="58">
        <f>IF(($E57&gt;0),L57,L56)</f>
        <v>1000</v>
      </c>
      <c r="M63" s="58"/>
    </row>
    <row r="64" spans="2:18" ht="15" hidden="1" customHeight="1" x14ac:dyDescent="0.25">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0.53700000000000003</v>
      </c>
      <c r="D66" s="56">
        <f>D60</f>
        <v>1.7000000000000001E-2</v>
      </c>
      <c r="E66" s="56">
        <f>MAX(C66:D66)</f>
        <v>0.53700000000000003</v>
      </c>
      <c r="G66" s="1" t="str">
        <f>G60</f>
        <v>per 1000 youth</v>
      </c>
      <c r="L66" s="58">
        <f>L60</f>
        <v>1000</v>
      </c>
      <c r="M66" s="58">
        <f>IF((B66=G66),1,2)</f>
        <v>1</v>
      </c>
    </row>
    <row r="67" spans="2:13" ht="15" hidden="1" customHeight="1" x14ac:dyDescent="0.25">
      <c r="B67" s="49" t="str">
        <f t="shared" ref="B67:D68" si="12">IF(($E61&gt;0),B61,B60)</f>
        <v>per 1000 youth</v>
      </c>
      <c r="C67" s="49">
        <f t="shared" si="12"/>
        <v>0.53700000000000003</v>
      </c>
      <c r="D67" s="49">
        <f t="shared" si="12"/>
        <v>1.7000000000000001E-2</v>
      </c>
      <c r="E67" s="49">
        <f>MAX(C67:D67)</f>
        <v>0.53700000000000003</v>
      </c>
      <c r="G67" s="1" t="str">
        <f>G61</f>
        <v>per 100 arrests</v>
      </c>
      <c r="L67" s="58">
        <f>IF(($E61&gt;0),L61,L60)</f>
        <v>1000</v>
      </c>
      <c r="M67" s="58">
        <f>IF((B67=G67),1,2)</f>
        <v>2</v>
      </c>
    </row>
    <row r="68" spans="2:13" ht="15" hidden="1" customHeight="1" x14ac:dyDescent="0.25">
      <c r="B68" s="49" t="str">
        <f t="shared" si="12"/>
        <v>per 1000 youth</v>
      </c>
      <c r="C68" s="49">
        <f t="shared" si="12"/>
        <v>0.53700000000000003</v>
      </c>
      <c r="D68" s="49">
        <f t="shared" si="12"/>
        <v>1.7000000000000001E-2</v>
      </c>
      <c r="E68" s="49">
        <f>MAX(C68:D68)</f>
        <v>0.53700000000000003</v>
      </c>
      <c r="G68" s="1" t="str">
        <f>G62</f>
        <v>per 100 referrals</v>
      </c>
      <c r="L68" s="58">
        <f>IF(($E62&gt;0),L62,L61)</f>
        <v>1000</v>
      </c>
      <c r="M68" s="58">
        <f>IF((B68=G68),1,2)</f>
        <v>2</v>
      </c>
    </row>
    <row r="69" spans="2:13" ht="15" hidden="1" customHeight="1" x14ac:dyDescent="0.25">
      <c r="B69" s="49" t="str">
        <f>IF(($E63&gt;0),B63,B61)</f>
        <v>per 1000 youth</v>
      </c>
      <c r="C69" s="49">
        <f>IF(($E63&gt;0),C63,C62)</f>
        <v>0.53700000000000003</v>
      </c>
      <c r="D69" s="49">
        <f>IF(($E63&gt;0),D63,D62)</f>
        <v>1.7000000000000001E-2</v>
      </c>
      <c r="E69" s="49">
        <f>MAX(C69:D69)</f>
        <v>0.53700000000000003</v>
      </c>
      <c r="G69" s="1" t="str">
        <f>G63</f>
        <v>per 100 youth petitioned</v>
      </c>
      <c r="L69" s="58">
        <f>IF(($E63&gt;0),L63,L62)</f>
        <v>1000</v>
      </c>
      <c r="M69" s="58">
        <f>IF((B69=G69),1,2)</f>
        <v>2</v>
      </c>
    </row>
    <row r="70" spans="2:13" ht="15" hidden="1" customHeight="1" x14ac:dyDescent="0.25">
      <c r="B70" s="49" t="str">
        <f>IF(($E64&gt;0),B64,B63)</f>
        <v>per 1000 youth</v>
      </c>
      <c r="C70" s="49">
        <f>IF(($E64&gt;0),C64,C63)</f>
        <v>0.53700000000000003</v>
      </c>
      <c r="D70" s="49">
        <f>IF(($E64&gt;0),D64,D63)</f>
        <v>1.7000000000000001E-2</v>
      </c>
      <c r="E70" s="56">
        <f>MAX(C70:D70)</f>
        <v>0.53700000000000003</v>
      </c>
      <c r="G70" s="1" t="str">
        <f>G64</f>
        <v>per 100 youth found delinquent</v>
      </c>
      <c r="L70" s="58">
        <f>IF(($E64&gt;0),L64,L63)</f>
        <v>1000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Montmorency</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537</v>
      </c>
      <c r="D6" s="34"/>
      <c r="E6" s="33">
        <f>'Data Entry'!F6</f>
        <v>5</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Entry'!F7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5</v>
      </c>
      <c r="P7" s="42">
        <f t="shared" ref="P7:P15" si="4">C7</f>
        <v>0</v>
      </c>
      <c r="Q7" s="42">
        <f>C6-C7</f>
        <v>537</v>
      </c>
      <c r="R7" s="42">
        <f t="shared" ref="R7:R15" si="5">SUM(N7:Q7)</f>
        <v>542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5.05</v>
      </c>
      <c r="P8" s="42">
        <f t="shared" si="4"/>
        <v>0</v>
      </c>
      <c r="Q8" s="42">
        <f>(C$67*L67)-C8</f>
        <v>537</v>
      </c>
      <c r="R8" s="42">
        <f t="shared" si="5"/>
        <v>542.04999999999995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5</v>
      </c>
      <c r="P9" s="42">
        <f t="shared" si="4"/>
        <v>0</v>
      </c>
      <c r="Q9" s="42">
        <f>(C$68*L68)-C9</f>
        <v>537</v>
      </c>
      <c r="R9" s="42">
        <f t="shared" si="5"/>
        <v>542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5</v>
      </c>
      <c r="P10" s="42">
        <f t="shared" si="4"/>
        <v>0</v>
      </c>
      <c r="Q10" s="42">
        <f>(C$68*L68)-C10</f>
        <v>537</v>
      </c>
      <c r="R10" s="42">
        <f t="shared" si="5"/>
        <v>542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5</v>
      </c>
      <c r="P11" s="42">
        <f t="shared" si="4"/>
        <v>0</v>
      </c>
      <c r="Q11" s="42">
        <f>(C$68*L68)-C11</f>
        <v>537</v>
      </c>
      <c r="R11" s="42">
        <f t="shared" si="5"/>
        <v>542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5</v>
      </c>
      <c r="P12" s="42">
        <f t="shared" si="4"/>
        <v>0</v>
      </c>
      <c r="Q12" s="42">
        <f>(C69*L69)-C12</f>
        <v>537</v>
      </c>
      <c r="R12" s="42">
        <f t="shared" si="5"/>
        <v>542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5</v>
      </c>
      <c r="P13" s="42">
        <f t="shared" si="4"/>
        <v>0</v>
      </c>
      <c r="Q13" s="42">
        <f>(C70*L70)-C13</f>
        <v>537</v>
      </c>
      <c r="R13" s="42">
        <f t="shared" si="5"/>
        <v>542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5</v>
      </c>
      <c r="P14" s="42">
        <f t="shared" si="4"/>
        <v>0</v>
      </c>
      <c r="Q14" s="42">
        <f>(C70*L70)-C14</f>
        <v>537</v>
      </c>
      <c r="R14" s="42">
        <f t="shared" si="5"/>
        <v>542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v>
      </c>
      <c r="P15" s="42">
        <f t="shared" si="4"/>
        <v>0</v>
      </c>
      <c r="Q15" s="42">
        <f>(C69*L69)-C15</f>
        <v>537</v>
      </c>
      <c r="R15" s="42">
        <f t="shared" si="5"/>
        <v>542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1000 youth</v>
      </c>
      <c r="G29" s="52"/>
      <c r="H29" s="52"/>
      <c r="I29" s="52"/>
      <c r="J29" s="52"/>
      <c r="K29" s="52"/>
      <c r="L29" s="53"/>
      <c r="R29" s="49"/>
    </row>
    <row r="30" spans="2:21" ht="15" customHeight="1" x14ac:dyDescent="0.25">
      <c r="B30" s="52" t="s">
        <v>73</v>
      </c>
      <c r="C30" s="52"/>
      <c r="D30" s="52"/>
      <c r="E30" s="52"/>
      <c r="F30" s="52" t="str">
        <f>B68</f>
        <v>per 1000 youth</v>
      </c>
      <c r="G30" s="52"/>
      <c r="H30" s="52"/>
      <c r="I30" s="52"/>
      <c r="J30" s="52"/>
      <c r="K30" s="52"/>
      <c r="L30" s="53"/>
      <c r="N30" s="1" t="b">
        <f>ISNUMBER(J14)</f>
        <v>0</v>
      </c>
      <c r="R30" s="49"/>
    </row>
    <row r="31" spans="2:21" ht="15" customHeight="1" x14ac:dyDescent="0.25">
      <c r="B31" s="52" t="s">
        <v>74</v>
      </c>
      <c r="C31" s="52"/>
      <c r="D31" s="52"/>
      <c r="E31" s="52"/>
      <c r="F31" s="52" t="str">
        <f>B68</f>
        <v>per 1000 youth</v>
      </c>
      <c r="G31" s="52"/>
      <c r="H31" s="52"/>
      <c r="I31" s="52"/>
      <c r="J31" s="52"/>
      <c r="K31" s="52"/>
      <c r="L31" s="53"/>
      <c r="R31" s="49"/>
    </row>
    <row r="32" spans="2:21" ht="15" customHeight="1" x14ac:dyDescent="0.25">
      <c r="B32" s="52" t="s">
        <v>75</v>
      </c>
      <c r="C32" s="52"/>
      <c r="D32" s="52"/>
      <c r="E32" s="52"/>
      <c r="F32" s="52" t="str">
        <f>B69</f>
        <v>per 1000 youth</v>
      </c>
      <c r="G32" s="52"/>
      <c r="H32" s="52"/>
      <c r="I32" s="52"/>
      <c r="J32" s="52"/>
      <c r="K32" s="52"/>
      <c r="L32" s="53"/>
      <c r="R32" s="49"/>
    </row>
    <row r="33" spans="2:18" ht="15" customHeight="1" x14ac:dyDescent="0.25">
      <c r="B33" s="52" t="s">
        <v>76</v>
      </c>
      <c r="C33" s="52"/>
      <c r="D33" s="52"/>
      <c r="E33" s="52"/>
      <c r="F33" s="52" t="str">
        <f>B70</f>
        <v>per 1000 youth</v>
      </c>
      <c r="G33" s="52"/>
      <c r="H33" s="52"/>
      <c r="I33" s="52"/>
      <c r="J33" s="52"/>
      <c r="K33" s="52"/>
      <c r="L33" s="53"/>
      <c r="R33" s="49"/>
    </row>
    <row r="34" spans="2:18" ht="15" customHeight="1" x14ac:dyDescent="0.25">
      <c r="B34" s="52" t="s">
        <v>77</v>
      </c>
      <c r="C34" s="52"/>
      <c r="D34" s="52"/>
      <c r="E34" s="52"/>
      <c r="F34" s="52" t="str">
        <f>B70</f>
        <v>per 1000 youth</v>
      </c>
      <c r="G34" s="52"/>
      <c r="H34" s="52"/>
      <c r="I34" s="52"/>
      <c r="J34" s="52"/>
      <c r="K34" s="52"/>
      <c r="L34" s="53"/>
      <c r="R34" s="49"/>
    </row>
    <row r="35" spans="2:18" ht="15" customHeight="1" x14ac:dyDescent="0.25">
      <c r="B35" s="52" t="s">
        <v>78</v>
      </c>
      <c r="C35" s="52"/>
      <c r="D35" s="52"/>
      <c r="E35" s="52"/>
      <c r="F35" s="52" t="str">
        <f>B69</f>
        <v>per 1000 youth</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0.53700000000000003</v>
      </c>
      <c r="D42" s="56">
        <f>E6/1000</f>
        <v>5.0000000000000001E-3</v>
      </c>
      <c r="E42" s="56">
        <f>MAX(C42:D42)</f>
        <v>0.53700000000000003</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0.53700000000000003</v>
      </c>
      <c r="D48" s="56">
        <f>D42</f>
        <v>5.0000000000000001E-3</v>
      </c>
      <c r="E48" s="56">
        <f>MAX(C48:D48)</f>
        <v>0.53700000000000003</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0.53700000000000003</v>
      </c>
      <c r="D49" s="49">
        <f t="shared" si="9"/>
        <v>5.0000000000000001E-3</v>
      </c>
      <c r="E49" s="49">
        <f>MAX(C49:D49)</f>
        <v>0.53700000000000003</v>
      </c>
      <c r="G49" s="1" t="str">
        <f>G43</f>
        <v>per 100 arrests</v>
      </c>
      <c r="L49" s="58">
        <f>IF(($E43&gt;0),L43,L42)</f>
        <v>1000</v>
      </c>
      <c r="M49" s="58"/>
      <c r="N49" s="21"/>
      <c r="O49" s="21"/>
      <c r="P49" s="21"/>
      <c r="Q49" s="21"/>
      <c r="R49" s="21"/>
    </row>
    <row r="50" spans="2:18" ht="15" hidden="1" customHeight="1" x14ac:dyDescent="0.25">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0.53700000000000003</v>
      </c>
      <c r="D54" s="56">
        <f>D48</f>
        <v>5.0000000000000001E-3</v>
      </c>
      <c r="E54" s="56">
        <f>MAX(C54:D54)</f>
        <v>0.53700000000000003</v>
      </c>
      <c r="G54" s="1" t="str">
        <f>G48</f>
        <v>per 1000 youth</v>
      </c>
      <c r="L54" s="58">
        <f>L48</f>
        <v>1000</v>
      </c>
      <c r="M54" s="58"/>
    </row>
    <row r="55" spans="2:18" ht="15" hidden="1" customHeight="1" x14ac:dyDescent="0.25">
      <c r="B55" s="49" t="str">
        <f t="shared" ref="B55:D56" si="10">IF(($E49&gt;0),B49,B48)</f>
        <v>per 1000 youth</v>
      </c>
      <c r="C55" s="49">
        <f t="shared" si="10"/>
        <v>0.53700000000000003</v>
      </c>
      <c r="D55" s="49">
        <f t="shared" si="10"/>
        <v>5.0000000000000001E-3</v>
      </c>
      <c r="E55" s="49">
        <f>MAX(C55:D55)</f>
        <v>0.53700000000000003</v>
      </c>
      <c r="G55" s="1" t="str">
        <f>G49</f>
        <v>per 100 arrests</v>
      </c>
      <c r="L55" s="58">
        <f>IF(($E49&gt;0),L49,L48)</f>
        <v>1000</v>
      </c>
      <c r="M55" s="58"/>
    </row>
    <row r="56" spans="2:18" ht="15" hidden="1" customHeight="1" x14ac:dyDescent="0.25">
      <c r="B56" s="49" t="str">
        <f t="shared" si="10"/>
        <v>per 1000 youth</v>
      </c>
      <c r="C56" s="49">
        <f t="shared" si="10"/>
        <v>0.53700000000000003</v>
      </c>
      <c r="D56" s="49">
        <f t="shared" si="10"/>
        <v>5.0000000000000001E-3</v>
      </c>
      <c r="E56" s="49">
        <f>MAX(C56:D56)</f>
        <v>0.53700000000000003</v>
      </c>
      <c r="G56" s="1" t="str">
        <f>G50</f>
        <v>per 100 referrals</v>
      </c>
      <c r="L56" s="58">
        <f>IF(($E50&gt;0),L50,L49)</f>
        <v>1000</v>
      </c>
      <c r="M56" s="58"/>
    </row>
    <row r="57" spans="2:18" ht="15" hidden="1" customHeight="1" x14ac:dyDescent="0.25">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0.53700000000000003</v>
      </c>
      <c r="D60" s="56">
        <f>D54</f>
        <v>5.0000000000000001E-3</v>
      </c>
      <c r="E60" s="56">
        <f>MAX(C60:D60)</f>
        <v>0.53700000000000003</v>
      </c>
      <c r="G60" s="1" t="str">
        <f>G54</f>
        <v>per 1000 youth</v>
      </c>
      <c r="L60" s="58">
        <f>L54</f>
        <v>1000</v>
      </c>
      <c r="M60" s="58"/>
    </row>
    <row r="61" spans="2:18" ht="15" hidden="1" customHeight="1" x14ac:dyDescent="0.25">
      <c r="B61" s="49" t="str">
        <f t="shared" ref="B61:D62" si="11">IF(($E55&gt;0),B55,B54)</f>
        <v>per 1000 youth</v>
      </c>
      <c r="C61" s="49">
        <f t="shared" si="11"/>
        <v>0.53700000000000003</v>
      </c>
      <c r="D61" s="49">
        <f t="shared" si="11"/>
        <v>5.0000000000000001E-3</v>
      </c>
      <c r="E61" s="49">
        <f>MAX(C61:D61)</f>
        <v>0.53700000000000003</v>
      </c>
      <c r="G61" s="1" t="str">
        <f>G55</f>
        <v>per 100 arrests</v>
      </c>
      <c r="L61" s="58">
        <f>IF(($E55&gt;0),L55,L54)</f>
        <v>1000</v>
      </c>
      <c r="M61" s="58"/>
    </row>
    <row r="62" spans="2:18" ht="15" hidden="1" customHeight="1" x14ac:dyDescent="0.25">
      <c r="B62" s="49" t="str">
        <f t="shared" si="11"/>
        <v>per 1000 youth</v>
      </c>
      <c r="C62" s="49">
        <f t="shared" si="11"/>
        <v>0.53700000000000003</v>
      </c>
      <c r="D62" s="49">
        <f t="shared" si="11"/>
        <v>5.0000000000000001E-3</v>
      </c>
      <c r="E62" s="49">
        <f>MAX(C62:D62)</f>
        <v>0.53700000000000003</v>
      </c>
      <c r="G62" s="1" t="str">
        <f>G56</f>
        <v>per 100 referrals</v>
      </c>
      <c r="L62" s="58">
        <f>IF(($E56&gt;0),L56,L55)</f>
        <v>1000</v>
      </c>
      <c r="M62" s="58"/>
    </row>
    <row r="63" spans="2:18" ht="15" hidden="1" customHeight="1" x14ac:dyDescent="0.25">
      <c r="B63" s="49" t="str">
        <f>IF(($E57&gt;0),B57,B55)</f>
        <v>per 1000 youth</v>
      </c>
      <c r="C63" s="49">
        <f>IF(($E57&gt;0),C57,C56)</f>
        <v>0.53700000000000003</v>
      </c>
      <c r="D63" s="49">
        <f>IF(($E57&gt;0),D57,D56)</f>
        <v>5.0000000000000001E-3</v>
      </c>
      <c r="E63" s="49">
        <f>MAX(C63:D63)</f>
        <v>0.53700000000000003</v>
      </c>
      <c r="G63" s="1" t="str">
        <f>G57</f>
        <v>per 100 youth petitioned</v>
      </c>
      <c r="L63" s="58">
        <f>IF(($E57&gt;0),L57,L56)</f>
        <v>1000</v>
      </c>
      <c r="M63" s="58"/>
    </row>
    <row r="64" spans="2:18" ht="15" hidden="1" customHeight="1" x14ac:dyDescent="0.25">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0.53700000000000003</v>
      </c>
      <c r="D66" s="56">
        <f>D60</f>
        <v>5.0000000000000001E-3</v>
      </c>
      <c r="E66" s="56">
        <f>MAX(C66:D66)</f>
        <v>0.53700000000000003</v>
      </c>
      <c r="G66" s="1" t="str">
        <f>G60</f>
        <v>per 1000 youth</v>
      </c>
      <c r="L66" s="58">
        <f>L60</f>
        <v>1000</v>
      </c>
      <c r="M66" s="58">
        <f>IF((B66=G66),1,2)</f>
        <v>1</v>
      </c>
    </row>
    <row r="67" spans="2:13" ht="15" hidden="1" customHeight="1" x14ac:dyDescent="0.25">
      <c r="B67" s="49" t="str">
        <f t="shared" ref="B67:D68" si="12">IF(($E61&gt;0),B61,B60)</f>
        <v>per 1000 youth</v>
      </c>
      <c r="C67" s="49">
        <f t="shared" si="12"/>
        <v>0.53700000000000003</v>
      </c>
      <c r="D67" s="49">
        <f t="shared" si="12"/>
        <v>5.0000000000000001E-3</v>
      </c>
      <c r="E67" s="49">
        <f>MAX(C67:D67)</f>
        <v>0.53700000000000003</v>
      </c>
      <c r="G67" s="1" t="str">
        <f>G61</f>
        <v>per 100 arrests</v>
      </c>
      <c r="L67" s="58">
        <f>IF(($E61&gt;0),L61,L60)</f>
        <v>1000</v>
      </c>
      <c r="M67" s="58">
        <f>IF((B67=G67),1,2)</f>
        <v>2</v>
      </c>
    </row>
    <row r="68" spans="2:13" ht="15" hidden="1" customHeight="1" x14ac:dyDescent="0.25">
      <c r="B68" s="49" t="str">
        <f t="shared" si="12"/>
        <v>per 1000 youth</v>
      </c>
      <c r="C68" s="49">
        <f t="shared" si="12"/>
        <v>0.53700000000000003</v>
      </c>
      <c r="D68" s="49">
        <f t="shared" si="12"/>
        <v>5.0000000000000001E-3</v>
      </c>
      <c r="E68" s="49">
        <f>MAX(C68:D68)</f>
        <v>0.53700000000000003</v>
      </c>
      <c r="G68" s="1" t="str">
        <f>G62</f>
        <v>per 100 referrals</v>
      </c>
      <c r="L68" s="58">
        <f>IF(($E62&gt;0),L62,L61)</f>
        <v>1000</v>
      </c>
      <c r="M68" s="58">
        <f>IF((B68=G68),1,2)</f>
        <v>2</v>
      </c>
    </row>
    <row r="69" spans="2:13" ht="15" hidden="1" customHeight="1" x14ac:dyDescent="0.25">
      <c r="B69" s="49" t="str">
        <f>IF(($E63&gt;0),B63,B61)</f>
        <v>per 1000 youth</v>
      </c>
      <c r="C69" s="49">
        <f>IF(($E63&gt;0),C63,C62)</f>
        <v>0.53700000000000003</v>
      </c>
      <c r="D69" s="49">
        <f>IF(($E63&gt;0),D63,D62)</f>
        <v>5.0000000000000001E-3</v>
      </c>
      <c r="E69" s="49">
        <f>MAX(C69:D69)</f>
        <v>0.53700000000000003</v>
      </c>
      <c r="G69" s="1" t="str">
        <f>G63</f>
        <v>per 100 youth petitioned</v>
      </c>
      <c r="L69" s="58">
        <f>IF(($E63&gt;0),L63,L62)</f>
        <v>1000</v>
      </c>
      <c r="M69" s="58">
        <f>IF((B69=G69),1,2)</f>
        <v>2</v>
      </c>
    </row>
    <row r="70" spans="2:13" ht="15" hidden="1" customHeight="1" x14ac:dyDescent="0.25">
      <c r="B70" s="49" t="str">
        <f>IF(($E64&gt;0),B64,B63)</f>
        <v>per 1000 youth</v>
      </c>
      <c r="C70" s="49">
        <f>IF(($E64&gt;0),C64,C63)</f>
        <v>0.53700000000000003</v>
      </c>
      <c r="D70" s="49">
        <f>IF(($E64&gt;0),D64,D63)</f>
        <v>5.0000000000000001E-3</v>
      </c>
      <c r="E70" s="56">
        <f>MAX(C70:D70)</f>
        <v>0.53700000000000003</v>
      </c>
      <c r="G70" s="1" t="str">
        <f>G64</f>
        <v>per 100 youth found delinquent</v>
      </c>
      <c r="L70" s="58">
        <f>IF(($E64&gt;0),L64,L63)</f>
        <v>1000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Montmorency</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537</v>
      </c>
      <c r="D6" s="34"/>
      <c r="E6" s="33">
        <f>'Data Entry'!E6</f>
        <v>20</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Entry'!E7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20</v>
      </c>
      <c r="P7" s="42">
        <f t="shared" ref="P7:P15" si="4">C7</f>
        <v>0</v>
      </c>
      <c r="Q7" s="42">
        <f>C6-C7</f>
        <v>537</v>
      </c>
      <c r="R7" s="42">
        <f t="shared" ref="R7:R15" si="5">SUM(N7:Q7)</f>
        <v>557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20.05</v>
      </c>
      <c r="P8" s="42">
        <f t="shared" si="4"/>
        <v>0</v>
      </c>
      <c r="Q8" s="42">
        <f>(C$67*L67)-C8</f>
        <v>537</v>
      </c>
      <c r="R8" s="42">
        <f t="shared" si="5"/>
        <v>557.04999999999995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20</v>
      </c>
      <c r="P9" s="42">
        <f t="shared" si="4"/>
        <v>0</v>
      </c>
      <c r="Q9" s="42">
        <f>(C$68*L68)-C9</f>
        <v>537</v>
      </c>
      <c r="R9" s="42">
        <f t="shared" si="5"/>
        <v>557</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20</v>
      </c>
      <c r="P10" s="42">
        <f t="shared" si="4"/>
        <v>0</v>
      </c>
      <c r="Q10" s="42">
        <f>(C$68*L68)-C10</f>
        <v>537</v>
      </c>
      <c r="R10" s="42">
        <f t="shared" si="5"/>
        <v>557</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20</v>
      </c>
      <c r="P11" s="42">
        <f t="shared" si="4"/>
        <v>0</v>
      </c>
      <c r="Q11" s="42">
        <f>(C$68*L68)-C11</f>
        <v>537</v>
      </c>
      <c r="R11" s="42">
        <f t="shared" si="5"/>
        <v>557</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20</v>
      </c>
      <c r="P12" s="42">
        <f t="shared" si="4"/>
        <v>0</v>
      </c>
      <c r="Q12" s="42">
        <f>(C69*L69)-C12</f>
        <v>537</v>
      </c>
      <c r="R12" s="42">
        <f t="shared" si="5"/>
        <v>557</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20</v>
      </c>
      <c r="P13" s="42">
        <f t="shared" si="4"/>
        <v>0</v>
      </c>
      <c r="Q13" s="42">
        <f>(C70*L70)-C13</f>
        <v>537</v>
      </c>
      <c r="R13" s="42">
        <f t="shared" si="5"/>
        <v>557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20</v>
      </c>
      <c r="P14" s="42">
        <f t="shared" si="4"/>
        <v>0</v>
      </c>
      <c r="Q14" s="42">
        <f>(C70*L70)-C14</f>
        <v>537</v>
      </c>
      <c r="R14" s="42">
        <f t="shared" si="5"/>
        <v>557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20</v>
      </c>
      <c r="P15" s="42">
        <f t="shared" si="4"/>
        <v>0</v>
      </c>
      <c r="Q15" s="42">
        <f>(C69*L69)-C15</f>
        <v>537</v>
      </c>
      <c r="R15" s="42">
        <f t="shared" si="5"/>
        <v>557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1000 youth</v>
      </c>
      <c r="G29" s="52"/>
      <c r="H29" s="52"/>
      <c r="I29" s="52"/>
      <c r="J29" s="52"/>
      <c r="K29" s="52"/>
      <c r="L29" s="53"/>
      <c r="R29" s="49"/>
    </row>
    <row r="30" spans="2:21" ht="15" customHeight="1" x14ac:dyDescent="0.25">
      <c r="B30" s="52" t="s">
        <v>73</v>
      </c>
      <c r="C30" s="52"/>
      <c r="D30" s="52"/>
      <c r="E30" s="52"/>
      <c r="F30" s="52" t="str">
        <f>B68</f>
        <v>per 1000 youth</v>
      </c>
      <c r="G30" s="52"/>
      <c r="H30" s="52"/>
      <c r="I30" s="52"/>
      <c r="J30" s="52"/>
      <c r="K30" s="52"/>
      <c r="L30" s="53"/>
      <c r="N30" s="1" t="b">
        <f>ISNUMBER(J14)</f>
        <v>0</v>
      </c>
      <c r="R30" s="49"/>
    </row>
    <row r="31" spans="2:21" ht="15" customHeight="1" x14ac:dyDescent="0.25">
      <c r="B31" s="52" t="s">
        <v>74</v>
      </c>
      <c r="C31" s="52"/>
      <c r="D31" s="52"/>
      <c r="E31" s="52"/>
      <c r="F31" s="52" t="str">
        <f>B68</f>
        <v>per 1000 youth</v>
      </c>
      <c r="G31" s="52"/>
      <c r="H31" s="52"/>
      <c r="I31" s="52"/>
      <c r="J31" s="52"/>
      <c r="K31" s="52"/>
      <c r="L31" s="53"/>
      <c r="R31" s="49"/>
    </row>
    <row r="32" spans="2:21" ht="15" customHeight="1" x14ac:dyDescent="0.25">
      <c r="B32" s="52" t="s">
        <v>75</v>
      </c>
      <c r="C32" s="52"/>
      <c r="D32" s="52"/>
      <c r="E32" s="52"/>
      <c r="F32" s="52" t="str">
        <f>B69</f>
        <v>per 1000 youth</v>
      </c>
      <c r="G32" s="52"/>
      <c r="H32" s="52"/>
      <c r="I32" s="52"/>
      <c r="J32" s="52"/>
      <c r="K32" s="52"/>
      <c r="L32" s="53"/>
      <c r="R32" s="49"/>
    </row>
    <row r="33" spans="2:18" ht="15" customHeight="1" x14ac:dyDescent="0.25">
      <c r="B33" s="52" t="s">
        <v>76</v>
      </c>
      <c r="C33" s="52"/>
      <c r="D33" s="52"/>
      <c r="E33" s="52"/>
      <c r="F33" s="52" t="str">
        <f>B70</f>
        <v>per 1000 youth</v>
      </c>
      <c r="G33" s="52"/>
      <c r="H33" s="52"/>
      <c r="I33" s="52"/>
      <c r="J33" s="52"/>
      <c r="K33" s="52"/>
      <c r="L33" s="53"/>
      <c r="R33" s="49"/>
    </row>
    <row r="34" spans="2:18" ht="15" customHeight="1" x14ac:dyDescent="0.25">
      <c r="B34" s="52" t="s">
        <v>77</v>
      </c>
      <c r="C34" s="52"/>
      <c r="D34" s="52"/>
      <c r="E34" s="52"/>
      <c r="F34" s="52" t="str">
        <f>B70</f>
        <v>per 1000 youth</v>
      </c>
      <c r="G34" s="52"/>
      <c r="H34" s="52"/>
      <c r="I34" s="52"/>
      <c r="J34" s="52"/>
      <c r="K34" s="52"/>
      <c r="L34" s="53"/>
      <c r="R34" s="49"/>
    </row>
    <row r="35" spans="2:18" ht="15" customHeight="1" x14ac:dyDescent="0.25">
      <c r="B35" s="52" t="s">
        <v>78</v>
      </c>
      <c r="C35" s="52"/>
      <c r="D35" s="52"/>
      <c r="E35" s="52"/>
      <c r="F35" s="52" t="str">
        <f>B69</f>
        <v>per 1000 youth</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0.53700000000000003</v>
      </c>
      <c r="D42" s="56">
        <f>E6/1000</f>
        <v>0.02</v>
      </c>
      <c r="E42" s="56">
        <f>MAX(C42:D42)</f>
        <v>0.53700000000000003</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0.53700000000000003</v>
      </c>
      <c r="D48" s="56">
        <f>D42</f>
        <v>0.02</v>
      </c>
      <c r="E48" s="56">
        <f>MAX(C48:D48)</f>
        <v>0.53700000000000003</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0.53700000000000003</v>
      </c>
      <c r="D49" s="49">
        <f t="shared" si="9"/>
        <v>0.02</v>
      </c>
      <c r="E49" s="49">
        <f>MAX(C49:D49)</f>
        <v>0.53700000000000003</v>
      </c>
      <c r="G49" s="1" t="str">
        <f>G43</f>
        <v>per 100 arrests</v>
      </c>
      <c r="L49" s="58">
        <f>IF(($E43&gt;0),L43,L42)</f>
        <v>1000</v>
      </c>
      <c r="M49" s="58"/>
      <c r="N49" s="21"/>
      <c r="O49" s="21"/>
      <c r="P49" s="21"/>
      <c r="Q49" s="21"/>
      <c r="R49" s="21"/>
    </row>
    <row r="50" spans="2:18" ht="15" hidden="1" customHeight="1" x14ac:dyDescent="0.25">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0.53700000000000003</v>
      </c>
      <c r="D54" s="56">
        <f>D48</f>
        <v>0.02</v>
      </c>
      <c r="E54" s="56">
        <f>MAX(C54:D54)</f>
        <v>0.53700000000000003</v>
      </c>
      <c r="G54" s="1" t="str">
        <f>G48</f>
        <v>per 1000 youth</v>
      </c>
      <c r="L54" s="58">
        <f>L48</f>
        <v>1000</v>
      </c>
      <c r="M54" s="58"/>
    </row>
    <row r="55" spans="2:18" ht="15" hidden="1" customHeight="1" x14ac:dyDescent="0.25">
      <c r="B55" s="49" t="str">
        <f t="shared" ref="B55:D56" si="10">IF(($E49&gt;0),B49,B48)</f>
        <v>per 1000 youth</v>
      </c>
      <c r="C55" s="49">
        <f t="shared" si="10"/>
        <v>0.53700000000000003</v>
      </c>
      <c r="D55" s="49">
        <f t="shared" si="10"/>
        <v>0.02</v>
      </c>
      <c r="E55" s="49">
        <f>MAX(C55:D55)</f>
        <v>0.53700000000000003</v>
      </c>
      <c r="G55" s="1" t="str">
        <f>G49</f>
        <v>per 100 arrests</v>
      </c>
      <c r="L55" s="58">
        <f>IF(($E49&gt;0),L49,L48)</f>
        <v>1000</v>
      </c>
      <c r="M55" s="58"/>
    </row>
    <row r="56" spans="2:18" ht="15" hidden="1" customHeight="1" x14ac:dyDescent="0.25">
      <c r="B56" s="49" t="str">
        <f t="shared" si="10"/>
        <v>per 1000 youth</v>
      </c>
      <c r="C56" s="49">
        <f t="shared" si="10"/>
        <v>0.53700000000000003</v>
      </c>
      <c r="D56" s="49">
        <f t="shared" si="10"/>
        <v>0.02</v>
      </c>
      <c r="E56" s="49">
        <f>MAX(C56:D56)</f>
        <v>0.53700000000000003</v>
      </c>
      <c r="G56" s="1" t="str">
        <f>G50</f>
        <v>per 100 referrals</v>
      </c>
      <c r="L56" s="58">
        <f>IF(($E50&gt;0),L50,L49)</f>
        <v>1000</v>
      </c>
      <c r="M56" s="58"/>
    </row>
    <row r="57" spans="2:18" ht="15" hidden="1" customHeight="1" x14ac:dyDescent="0.25">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0.53700000000000003</v>
      </c>
      <c r="D60" s="56">
        <f>D54</f>
        <v>0.02</v>
      </c>
      <c r="E60" s="56">
        <f>MAX(C60:D60)</f>
        <v>0.53700000000000003</v>
      </c>
      <c r="G60" s="1" t="str">
        <f>G54</f>
        <v>per 1000 youth</v>
      </c>
      <c r="L60" s="58">
        <f>L54</f>
        <v>1000</v>
      </c>
      <c r="M60" s="58"/>
    </row>
    <row r="61" spans="2:18" ht="15" hidden="1" customHeight="1" x14ac:dyDescent="0.25">
      <c r="B61" s="49" t="str">
        <f t="shared" ref="B61:D62" si="11">IF(($E55&gt;0),B55,B54)</f>
        <v>per 1000 youth</v>
      </c>
      <c r="C61" s="49">
        <f t="shared" si="11"/>
        <v>0.53700000000000003</v>
      </c>
      <c r="D61" s="49">
        <f t="shared" si="11"/>
        <v>0.02</v>
      </c>
      <c r="E61" s="49">
        <f>MAX(C61:D61)</f>
        <v>0.53700000000000003</v>
      </c>
      <c r="G61" s="1" t="str">
        <f>G55</f>
        <v>per 100 arrests</v>
      </c>
      <c r="L61" s="58">
        <f>IF(($E55&gt;0),L55,L54)</f>
        <v>1000</v>
      </c>
      <c r="M61" s="58"/>
    </row>
    <row r="62" spans="2:18" ht="15" hidden="1" customHeight="1" x14ac:dyDescent="0.25">
      <c r="B62" s="49" t="str">
        <f t="shared" si="11"/>
        <v>per 1000 youth</v>
      </c>
      <c r="C62" s="49">
        <f t="shared" si="11"/>
        <v>0.53700000000000003</v>
      </c>
      <c r="D62" s="49">
        <f t="shared" si="11"/>
        <v>0.02</v>
      </c>
      <c r="E62" s="49">
        <f>MAX(C62:D62)</f>
        <v>0.53700000000000003</v>
      </c>
      <c r="G62" s="1" t="str">
        <f>G56</f>
        <v>per 100 referrals</v>
      </c>
      <c r="L62" s="58">
        <f>IF(($E56&gt;0),L56,L55)</f>
        <v>1000</v>
      </c>
      <c r="M62" s="58"/>
    </row>
    <row r="63" spans="2:18" ht="15" hidden="1" customHeight="1" x14ac:dyDescent="0.25">
      <c r="B63" s="49" t="str">
        <f>IF(($E57&gt;0),B57,B55)</f>
        <v>per 1000 youth</v>
      </c>
      <c r="C63" s="49">
        <f>IF(($E57&gt;0),C57,C56)</f>
        <v>0.53700000000000003</v>
      </c>
      <c r="D63" s="49">
        <f>IF(($E57&gt;0),D57,D56)</f>
        <v>0.02</v>
      </c>
      <c r="E63" s="49">
        <f>MAX(C63:D63)</f>
        <v>0.53700000000000003</v>
      </c>
      <c r="G63" s="1" t="str">
        <f>G57</f>
        <v>per 100 youth petitioned</v>
      </c>
      <c r="L63" s="58">
        <f>IF(($E57&gt;0),L57,L56)</f>
        <v>1000</v>
      </c>
      <c r="M63" s="58"/>
    </row>
    <row r="64" spans="2:18" ht="15" hidden="1" customHeight="1" x14ac:dyDescent="0.25">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0.53700000000000003</v>
      </c>
      <c r="D66" s="56">
        <f>D60</f>
        <v>0.02</v>
      </c>
      <c r="E66" s="56">
        <f>MAX(C66:D66)</f>
        <v>0.53700000000000003</v>
      </c>
      <c r="G66" s="1" t="str">
        <f>G60</f>
        <v>per 1000 youth</v>
      </c>
      <c r="L66" s="58">
        <f>L60</f>
        <v>1000</v>
      </c>
      <c r="M66" s="58">
        <f>IF((B66=G66),1,2)</f>
        <v>1</v>
      </c>
    </row>
    <row r="67" spans="2:13" ht="15" hidden="1" customHeight="1" x14ac:dyDescent="0.25">
      <c r="B67" s="49" t="str">
        <f t="shared" ref="B67:D68" si="12">IF(($E61&gt;0),B61,B60)</f>
        <v>per 1000 youth</v>
      </c>
      <c r="C67" s="49">
        <f t="shared" si="12"/>
        <v>0.53700000000000003</v>
      </c>
      <c r="D67" s="49">
        <f t="shared" si="12"/>
        <v>0.02</v>
      </c>
      <c r="E67" s="49">
        <f>MAX(C67:D67)</f>
        <v>0.53700000000000003</v>
      </c>
      <c r="G67" s="1" t="str">
        <f>G61</f>
        <v>per 100 arrests</v>
      </c>
      <c r="L67" s="58">
        <f>IF(($E61&gt;0),L61,L60)</f>
        <v>1000</v>
      </c>
      <c r="M67" s="58">
        <f>IF((B67=G67),1,2)</f>
        <v>2</v>
      </c>
    </row>
    <row r="68" spans="2:13" ht="15" hidden="1" customHeight="1" x14ac:dyDescent="0.25">
      <c r="B68" s="49" t="str">
        <f t="shared" si="12"/>
        <v>per 1000 youth</v>
      </c>
      <c r="C68" s="49">
        <f t="shared" si="12"/>
        <v>0.53700000000000003</v>
      </c>
      <c r="D68" s="49">
        <f t="shared" si="12"/>
        <v>0.02</v>
      </c>
      <c r="E68" s="49">
        <f>MAX(C68:D68)</f>
        <v>0.53700000000000003</v>
      </c>
      <c r="G68" s="1" t="str">
        <f>G62</f>
        <v>per 100 referrals</v>
      </c>
      <c r="L68" s="58">
        <f>IF(($E62&gt;0),L62,L61)</f>
        <v>1000</v>
      </c>
      <c r="M68" s="58">
        <f>IF((B68=G68),1,2)</f>
        <v>2</v>
      </c>
    </row>
    <row r="69" spans="2:13" ht="15" hidden="1" customHeight="1" x14ac:dyDescent="0.25">
      <c r="B69" s="49" t="str">
        <f>IF(($E63&gt;0),B63,B61)</f>
        <v>per 1000 youth</v>
      </c>
      <c r="C69" s="49">
        <f>IF(($E63&gt;0),C63,C62)</f>
        <v>0.53700000000000003</v>
      </c>
      <c r="D69" s="49">
        <f>IF(($E63&gt;0),D63,D62)</f>
        <v>0.02</v>
      </c>
      <c r="E69" s="49">
        <f>MAX(C69:D69)</f>
        <v>0.53700000000000003</v>
      </c>
      <c r="G69" s="1" t="str">
        <f>G63</f>
        <v>per 100 youth petitioned</v>
      </c>
      <c r="L69" s="58">
        <f>IF(($E63&gt;0),L63,L62)</f>
        <v>1000</v>
      </c>
      <c r="M69" s="58">
        <f>IF((B69=G69),1,2)</f>
        <v>2</v>
      </c>
    </row>
    <row r="70" spans="2:13" ht="15" hidden="1" customHeight="1" x14ac:dyDescent="0.25">
      <c r="B70" s="49" t="str">
        <f>IF(($E64&gt;0),B64,B63)</f>
        <v>per 1000 youth</v>
      </c>
      <c r="C70" s="49">
        <f>IF(($E64&gt;0),C64,C63)</f>
        <v>0.53700000000000003</v>
      </c>
      <c r="D70" s="49">
        <f>IF(($E64&gt;0),D64,D63)</f>
        <v>0.02</v>
      </c>
      <c r="E70" s="56">
        <f>MAX(C70:D70)</f>
        <v>0.53700000000000003</v>
      </c>
      <c r="G70" s="1" t="str">
        <f>G64</f>
        <v>per 100 youth found delinquent</v>
      </c>
      <c r="L70" s="58">
        <f>IF(($E64&gt;0),L64,L63)</f>
        <v>1000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Montmorency</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537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537</v>
      </c>
      <c r="R7" s="42">
        <f t="shared" ref="R7:R15" si="5">SUM(N7:Q7)</f>
        <v>537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537</v>
      </c>
      <c r="R8" s="42">
        <f t="shared" si="5"/>
        <v>537.04999999999995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537</v>
      </c>
      <c r="R9" s="42">
        <f t="shared" si="5"/>
        <v>537</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537</v>
      </c>
      <c r="R10" s="42">
        <f t="shared" si="5"/>
        <v>537</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537</v>
      </c>
      <c r="R11" s="42">
        <f t="shared" si="5"/>
        <v>537</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537</v>
      </c>
      <c r="R12" s="42">
        <f t="shared" si="5"/>
        <v>537</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537</v>
      </c>
      <c r="R13" s="42">
        <f t="shared" si="5"/>
        <v>537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537</v>
      </c>
      <c r="R14" s="42">
        <f t="shared" si="5"/>
        <v>537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537</v>
      </c>
      <c r="R15" s="42">
        <f t="shared" si="5"/>
        <v>537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1000 youth</v>
      </c>
      <c r="G29" s="52"/>
      <c r="H29" s="52"/>
      <c r="I29" s="52"/>
      <c r="J29" s="52"/>
      <c r="K29" s="52"/>
      <c r="L29" s="53"/>
      <c r="R29" s="49"/>
    </row>
    <row r="30" spans="2:21" ht="15" customHeight="1" x14ac:dyDescent="0.25">
      <c r="B30" s="52" t="s">
        <v>73</v>
      </c>
      <c r="C30" s="52"/>
      <c r="D30" s="52"/>
      <c r="E30" s="52"/>
      <c r="F30" s="52" t="str">
        <f>B68</f>
        <v>per 1000 youth</v>
      </c>
      <c r="G30" s="52"/>
      <c r="H30" s="52"/>
      <c r="I30" s="52"/>
      <c r="J30" s="52"/>
      <c r="K30" s="52"/>
      <c r="L30" s="53"/>
      <c r="N30" s="1" t="b">
        <f>ISNUMBER(J14)</f>
        <v>0</v>
      </c>
      <c r="R30" s="49"/>
    </row>
    <row r="31" spans="2:21" ht="15" customHeight="1" x14ac:dyDescent="0.25">
      <c r="B31" s="52" t="s">
        <v>74</v>
      </c>
      <c r="C31" s="52"/>
      <c r="D31" s="52"/>
      <c r="E31" s="52"/>
      <c r="F31" s="52" t="str">
        <f>B68</f>
        <v>per 1000 youth</v>
      </c>
      <c r="G31" s="52"/>
      <c r="H31" s="52"/>
      <c r="I31" s="52"/>
      <c r="J31" s="52"/>
      <c r="K31" s="52"/>
      <c r="L31" s="53"/>
      <c r="R31" s="49"/>
    </row>
    <row r="32" spans="2:21" ht="15" customHeight="1" x14ac:dyDescent="0.25">
      <c r="B32" s="52" t="s">
        <v>75</v>
      </c>
      <c r="C32" s="52"/>
      <c r="D32" s="52"/>
      <c r="E32" s="52"/>
      <c r="F32" s="52" t="str">
        <f>B69</f>
        <v>per 1000 youth</v>
      </c>
      <c r="G32" s="52"/>
      <c r="H32" s="52"/>
      <c r="I32" s="52"/>
      <c r="J32" s="52"/>
      <c r="K32" s="52"/>
      <c r="L32" s="53"/>
      <c r="R32" s="49"/>
    </row>
    <row r="33" spans="2:18" ht="15" customHeight="1" x14ac:dyDescent="0.25">
      <c r="B33" s="52" t="s">
        <v>76</v>
      </c>
      <c r="C33" s="52"/>
      <c r="D33" s="52"/>
      <c r="E33" s="52"/>
      <c r="F33" s="52" t="str">
        <f>B70</f>
        <v>per 1000 youth</v>
      </c>
      <c r="G33" s="52"/>
      <c r="H33" s="52"/>
      <c r="I33" s="52"/>
      <c r="J33" s="52"/>
      <c r="K33" s="52"/>
      <c r="L33" s="53"/>
      <c r="R33" s="49"/>
    </row>
    <row r="34" spans="2:18" ht="15" customHeight="1" x14ac:dyDescent="0.25">
      <c r="B34" s="52" t="s">
        <v>77</v>
      </c>
      <c r="C34" s="52"/>
      <c r="D34" s="52"/>
      <c r="E34" s="52"/>
      <c r="F34" s="52" t="str">
        <f>B70</f>
        <v>per 1000 youth</v>
      </c>
      <c r="G34" s="52"/>
      <c r="H34" s="52"/>
      <c r="I34" s="52"/>
      <c r="J34" s="52"/>
      <c r="K34" s="52"/>
      <c r="L34" s="53"/>
      <c r="R34" s="49"/>
    </row>
    <row r="35" spans="2:18" ht="15" customHeight="1" x14ac:dyDescent="0.25">
      <c r="B35" s="52" t="s">
        <v>78</v>
      </c>
      <c r="C35" s="52"/>
      <c r="D35" s="52"/>
      <c r="E35" s="52"/>
      <c r="F35" s="52" t="str">
        <f>B69</f>
        <v>per 1000 youth</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0.53700000000000003</v>
      </c>
      <c r="D42" s="56">
        <f>E6/1000</f>
        <v>0</v>
      </c>
      <c r="E42" s="56">
        <f>MAX(C42:D42)</f>
        <v>0.53700000000000003</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0.53700000000000003</v>
      </c>
      <c r="D48" s="56">
        <f>D42</f>
        <v>0</v>
      </c>
      <c r="E48" s="56">
        <f>MAX(C48:D48)</f>
        <v>0.53700000000000003</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0.53700000000000003</v>
      </c>
      <c r="D49" s="49">
        <f t="shared" si="9"/>
        <v>0</v>
      </c>
      <c r="E49" s="49">
        <f>MAX(C49:D49)</f>
        <v>0.53700000000000003</v>
      </c>
      <c r="G49" s="1" t="str">
        <f>G43</f>
        <v>per 100 arrests</v>
      </c>
      <c r="L49" s="58">
        <f>IF(($E43&gt;0),L43,L42)</f>
        <v>1000</v>
      </c>
      <c r="M49" s="58"/>
      <c r="N49" s="21"/>
      <c r="O49" s="21"/>
      <c r="P49" s="21"/>
      <c r="Q49" s="21"/>
      <c r="R49" s="21"/>
    </row>
    <row r="50" spans="2:18" ht="15" hidden="1" customHeight="1" x14ac:dyDescent="0.25">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0.53700000000000003</v>
      </c>
      <c r="D54" s="56">
        <f>D48</f>
        <v>0</v>
      </c>
      <c r="E54" s="56">
        <f>MAX(C54:D54)</f>
        <v>0.53700000000000003</v>
      </c>
      <c r="G54" s="1" t="str">
        <f>G48</f>
        <v>per 1000 youth</v>
      </c>
      <c r="L54" s="58">
        <f>L48</f>
        <v>1000</v>
      </c>
      <c r="M54" s="58"/>
    </row>
    <row r="55" spans="2:18" ht="15" hidden="1" customHeight="1" x14ac:dyDescent="0.25">
      <c r="B55" s="49" t="str">
        <f t="shared" ref="B55:D56" si="10">IF(($E49&gt;0),B49,B48)</f>
        <v>per 1000 youth</v>
      </c>
      <c r="C55" s="49">
        <f t="shared" si="10"/>
        <v>0.53700000000000003</v>
      </c>
      <c r="D55" s="49">
        <f t="shared" si="10"/>
        <v>0</v>
      </c>
      <c r="E55" s="49">
        <f>MAX(C55:D55)</f>
        <v>0.53700000000000003</v>
      </c>
      <c r="G55" s="1" t="str">
        <f>G49</f>
        <v>per 100 arrests</v>
      </c>
      <c r="L55" s="58">
        <f>IF(($E49&gt;0),L49,L48)</f>
        <v>1000</v>
      </c>
      <c r="M55" s="58"/>
    </row>
    <row r="56" spans="2:18" ht="15" hidden="1" customHeight="1" x14ac:dyDescent="0.25">
      <c r="B56" s="49" t="str">
        <f t="shared" si="10"/>
        <v>per 1000 youth</v>
      </c>
      <c r="C56" s="49">
        <f t="shared" si="10"/>
        <v>0.53700000000000003</v>
      </c>
      <c r="D56" s="49">
        <f t="shared" si="10"/>
        <v>0</v>
      </c>
      <c r="E56" s="49">
        <f>MAX(C56:D56)</f>
        <v>0.53700000000000003</v>
      </c>
      <c r="G56" s="1" t="str">
        <f>G50</f>
        <v>per 100 referrals</v>
      </c>
      <c r="L56" s="58">
        <f>IF(($E50&gt;0),L50,L49)</f>
        <v>1000</v>
      </c>
      <c r="M56" s="58"/>
    </row>
    <row r="57" spans="2:18" ht="15" hidden="1" customHeight="1" x14ac:dyDescent="0.25">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0.53700000000000003</v>
      </c>
      <c r="D60" s="56">
        <f>D54</f>
        <v>0</v>
      </c>
      <c r="E60" s="56">
        <f>MAX(C60:D60)</f>
        <v>0.53700000000000003</v>
      </c>
      <c r="G60" s="1" t="str">
        <f>G54</f>
        <v>per 1000 youth</v>
      </c>
      <c r="L60" s="58">
        <f>L54</f>
        <v>1000</v>
      </c>
      <c r="M60" s="58"/>
    </row>
    <row r="61" spans="2:18" ht="15" hidden="1" customHeight="1" x14ac:dyDescent="0.25">
      <c r="B61" s="49" t="str">
        <f t="shared" ref="B61:D62" si="11">IF(($E55&gt;0),B55,B54)</f>
        <v>per 1000 youth</v>
      </c>
      <c r="C61" s="49">
        <f t="shared" si="11"/>
        <v>0.53700000000000003</v>
      </c>
      <c r="D61" s="49">
        <f t="shared" si="11"/>
        <v>0</v>
      </c>
      <c r="E61" s="49">
        <f>MAX(C61:D61)</f>
        <v>0.53700000000000003</v>
      </c>
      <c r="G61" s="1" t="str">
        <f>G55</f>
        <v>per 100 arrests</v>
      </c>
      <c r="L61" s="58">
        <f>IF(($E55&gt;0),L55,L54)</f>
        <v>1000</v>
      </c>
      <c r="M61" s="58"/>
    </row>
    <row r="62" spans="2:18" ht="15" hidden="1" customHeight="1" x14ac:dyDescent="0.25">
      <c r="B62" s="49" t="str">
        <f t="shared" si="11"/>
        <v>per 1000 youth</v>
      </c>
      <c r="C62" s="49">
        <f t="shared" si="11"/>
        <v>0.53700000000000003</v>
      </c>
      <c r="D62" s="49">
        <f t="shared" si="11"/>
        <v>0</v>
      </c>
      <c r="E62" s="49">
        <f>MAX(C62:D62)</f>
        <v>0.53700000000000003</v>
      </c>
      <c r="G62" s="1" t="str">
        <f>G56</f>
        <v>per 100 referrals</v>
      </c>
      <c r="L62" s="58">
        <f>IF(($E56&gt;0),L56,L55)</f>
        <v>1000</v>
      </c>
      <c r="M62" s="58"/>
    </row>
    <row r="63" spans="2:18" ht="15" hidden="1" customHeight="1" x14ac:dyDescent="0.25">
      <c r="B63" s="49" t="str">
        <f>IF(($E57&gt;0),B57,B55)</f>
        <v>per 1000 youth</v>
      </c>
      <c r="C63" s="49">
        <f>IF(($E57&gt;0),C57,C56)</f>
        <v>0.53700000000000003</v>
      </c>
      <c r="D63" s="49">
        <f>IF(($E57&gt;0),D57,D56)</f>
        <v>0</v>
      </c>
      <c r="E63" s="49">
        <f>MAX(C63:D63)</f>
        <v>0.53700000000000003</v>
      </c>
      <c r="G63" s="1" t="str">
        <f>G57</f>
        <v>per 100 youth petitioned</v>
      </c>
      <c r="L63" s="58">
        <f>IF(($E57&gt;0),L57,L56)</f>
        <v>1000</v>
      </c>
      <c r="M63" s="58"/>
    </row>
    <row r="64" spans="2:18" ht="15" hidden="1" customHeight="1" x14ac:dyDescent="0.25">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0.53700000000000003</v>
      </c>
      <c r="D66" s="56">
        <f>D60</f>
        <v>0</v>
      </c>
      <c r="E66" s="56">
        <f>MAX(C66:D66)</f>
        <v>0.53700000000000003</v>
      </c>
      <c r="G66" s="1" t="str">
        <f>G60</f>
        <v>per 1000 youth</v>
      </c>
      <c r="L66" s="58">
        <f>L60</f>
        <v>1000</v>
      </c>
      <c r="M66" s="58">
        <f>IF((B66=G66),1,2)</f>
        <v>1</v>
      </c>
    </row>
    <row r="67" spans="2:13" ht="15" hidden="1" customHeight="1" x14ac:dyDescent="0.25">
      <c r="B67" s="49" t="str">
        <f t="shared" ref="B67:D68" si="12">IF(($E61&gt;0),B61,B60)</f>
        <v>per 1000 youth</v>
      </c>
      <c r="C67" s="49">
        <f t="shared" si="12"/>
        <v>0.53700000000000003</v>
      </c>
      <c r="D67" s="49">
        <f t="shared" si="12"/>
        <v>0</v>
      </c>
      <c r="E67" s="49">
        <f>MAX(C67:D67)</f>
        <v>0.53700000000000003</v>
      </c>
      <c r="G67" s="1" t="str">
        <f>G61</f>
        <v>per 100 arrests</v>
      </c>
      <c r="L67" s="58">
        <f>IF(($E61&gt;0),L61,L60)</f>
        <v>1000</v>
      </c>
      <c r="M67" s="58">
        <f>IF((B67=G67),1,2)</f>
        <v>2</v>
      </c>
    </row>
    <row r="68" spans="2:13" ht="15" hidden="1" customHeight="1" x14ac:dyDescent="0.25">
      <c r="B68" s="49" t="str">
        <f t="shared" si="12"/>
        <v>per 1000 youth</v>
      </c>
      <c r="C68" s="49">
        <f t="shared" si="12"/>
        <v>0.53700000000000003</v>
      </c>
      <c r="D68" s="49">
        <f t="shared" si="12"/>
        <v>0</v>
      </c>
      <c r="E68" s="49">
        <f>MAX(C68:D68)</f>
        <v>0.53700000000000003</v>
      </c>
      <c r="G68" s="1" t="str">
        <f>G62</f>
        <v>per 100 referrals</v>
      </c>
      <c r="L68" s="58">
        <f>IF(($E62&gt;0),L62,L61)</f>
        <v>1000</v>
      </c>
      <c r="M68" s="58">
        <f>IF((B68=G68),1,2)</f>
        <v>2</v>
      </c>
    </row>
    <row r="69" spans="2:13" ht="15" hidden="1" customHeight="1" x14ac:dyDescent="0.25">
      <c r="B69" s="49" t="str">
        <f>IF(($E63&gt;0),B63,B61)</f>
        <v>per 1000 youth</v>
      </c>
      <c r="C69" s="49">
        <f>IF(($E63&gt;0),C63,C62)</f>
        <v>0.53700000000000003</v>
      </c>
      <c r="D69" s="49">
        <f>IF(($E63&gt;0),D63,D62)</f>
        <v>0</v>
      </c>
      <c r="E69" s="49">
        <f>MAX(C69:D69)</f>
        <v>0.53700000000000003</v>
      </c>
      <c r="G69" s="1" t="str">
        <f>G63</f>
        <v>per 100 youth petitioned</v>
      </c>
      <c r="L69" s="58">
        <f>IF(($E63&gt;0),L63,L62)</f>
        <v>1000</v>
      </c>
      <c r="M69" s="58">
        <f>IF((B69=G69),1,2)</f>
        <v>2</v>
      </c>
    </row>
    <row r="70" spans="2:13" ht="15" hidden="1" customHeight="1" x14ac:dyDescent="0.25">
      <c r="B70" s="49" t="str">
        <f>IF(($E64&gt;0),B64,B63)</f>
        <v>per 1000 youth</v>
      </c>
      <c r="C70" s="49">
        <f>IF(($E64&gt;0),C64,C63)</f>
        <v>0.53700000000000003</v>
      </c>
      <c r="D70" s="49">
        <f>IF(($E64&gt;0),D64,D63)</f>
        <v>0</v>
      </c>
      <c r="E70" s="56">
        <f>MAX(C70:D70)</f>
        <v>0.53700000000000003</v>
      </c>
      <c r="G70" s="1" t="str">
        <f>G64</f>
        <v>per 100 youth found delinquent</v>
      </c>
      <c r="L70" s="58">
        <f>IF(($E64&gt;0),L64,L63)</f>
        <v>1000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Montmorency</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537</v>
      </c>
      <c r="D6" s="34"/>
      <c r="E6" s="33">
        <f>'Data Entry'!H6</f>
        <v>7</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Entry'!H7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7</v>
      </c>
      <c r="P7" s="42">
        <f t="shared" ref="P7:P15" si="4">C7</f>
        <v>0</v>
      </c>
      <c r="Q7" s="42">
        <f>C6-C7</f>
        <v>537</v>
      </c>
      <c r="R7" s="42">
        <f t="shared" ref="R7:R15" si="5">SUM(N7:Q7)</f>
        <v>544</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7.05</v>
      </c>
      <c r="P8" s="42">
        <f t="shared" si="4"/>
        <v>0</v>
      </c>
      <c r="Q8" s="42">
        <f>(C$67*L67)-C8</f>
        <v>537</v>
      </c>
      <c r="R8" s="42">
        <f t="shared" si="5"/>
        <v>544.04999999999995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7</v>
      </c>
      <c r="P9" s="42">
        <f t="shared" si="4"/>
        <v>0</v>
      </c>
      <c r="Q9" s="42">
        <f>(C$68*L68)-C9</f>
        <v>537</v>
      </c>
      <c r="R9" s="42">
        <f t="shared" si="5"/>
        <v>544</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7</v>
      </c>
      <c r="P10" s="42">
        <f t="shared" si="4"/>
        <v>0</v>
      </c>
      <c r="Q10" s="42">
        <f>(C$68*L68)-C10</f>
        <v>537</v>
      </c>
      <c r="R10" s="42">
        <f t="shared" si="5"/>
        <v>544</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7</v>
      </c>
      <c r="P11" s="42">
        <f t="shared" si="4"/>
        <v>0</v>
      </c>
      <c r="Q11" s="42">
        <f>(C$68*L68)-C11</f>
        <v>537</v>
      </c>
      <c r="R11" s="42">
        <f t="shared" si="5"/>
        <v>544</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7</v>
      </c>
      <c r="P12" s="42">
        <f t="shared" si="4"/>
        <v>0</v>
      </c>
      <c r="Q12" s="42">
        <f>(C69*L69)-C12</f>
        <v>537</v>
      </c>
      <c r="R12" s="42">
        <f t="shared" si="5"/>
        <v>544</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7</v>
      </c>
      <c r="P13" s="42">
        <f t="shared" si="4"/>
        <v>0</v>
      </c>
      <c r="Q13" s="42">
        <f>(C70*L70)-C13</f>
        <v>537</v>
      </c>
      <c r="R13" s="42">
        <f t="shared" si="5"/>
        <v>544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7</v>
      </c>
      <c r="P14" s="42">
        <f t="shared" si="4"/>
        <v>0</v>
      </c>
      <c r="Q14" s="42">
        <f>(C70*L70)-C14</f>
        <v>537</v>
      </c>
      <c r="R14" s="42">
        <f t="shared" si="5"/>
        <v>544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7</v>
      </c>
      <c r="P15" s="42">
        <f t="shared" si="4"/>
        <v>0</v>
      </c>
      <c r="Q15" s="42">
        <f>(C69*L69)-C15</f>
        <v>537</v>
      </c>
      <c r="R15" s="42">
        <f t="shared" si="5"/>
        <v>544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1000 youth</v>
      </c>
      <c r="G29" s="52"/>
      <c r="H29" s="52"/>
      <c r="I29" s="52"/>
      <c r="J29" s="52"/>
      <c r="K29" s="52"/>
      <c r="L29" s="53"/>
      <c r="R29" s="49"/>
    </row>
    <row r="30" spans="2:21" ht="15" customHeight="1" x14ac:dyDescent="0.25">
      <c r="B30" s="52" t="s">
        <v>73</v>
      </c>
      <c r="C30" s="52"/>
      <c r="D30" s="52"/>
      <c r="E30" s="52"/>
      <c r="F30" s="52" t="str">
        <f>B68</f>
        <v>per 1000 youth</v>
      </c>
      <c r="G30" s="52"/>
      <c r="H30" s="52"/>
      <c r="I30" s="52"/>
      <c r="J30" s="52"/>
      <c r="K30" s="52"/>
      <c r="L30" s="53"/>
      <c r="N30" s="1" t="b">
        <f>ISNUMBER(J14)</f>
        <v>0</v>
      </c>
      <c r="R30" s="49"/>
    </row>
    <row r="31" spans="2:21" ht="15" customHeight="1" x14ac:dyDescent="0.25">
      <c r="B31" s="52" t="s">
        <v>74</v>
      </c>
      <c r="C31" s="52"/>
      <c r="D31" s="52"/>
      <c r="E31" s="52"/>
      <c r="F31" s="52" t="str">
        <f>B68</f>
        <v>per 1000 youth</v>
      </c>
      <c r="G31" s="52"/>
      <c r="H31" s="52"/>
      <c r="I31" s="52"/>
      <c r="J31" s="52"/>
      <c r="K31" s="52"/>
      <c r="L31" s="53"/>
      <c r="R31" s="49"/>
    </row>
    <row r="32" spans="2:21" ht="15" customHeight="1" x14ac:dyDescent="0.25">
      <c r="B32" s="52" t="s">
        <v>75</v>
      </c>
      <c r="C32" s="52"/>
      <c r="D32" s="52"/>
      <c r="E32" s="52"/>
      <c r="F32" s="52" t="str">
        <f>B69</f>
        <v>per 1000 youth</v>
      </c>
      <c r="G32" s="52"/>
      <c r="H32" s="52"/>
      <c r="I32" s="52"/>
      <c r="J32" s="52"/>
      <c r="K32" s="52"/>
      <c r="L32" s="53"/>
      <c r="R32" s="49"/>
    </row>
    <row r="33" spans="2:18" ht="15" customHeight="1" x14ac:dyDescent="0.25">
      <c r="B33" s="52" t="s">
        <v>76</v>
      </c>
      <c r="C33" s="52"/>
      <c r="D33" s="52"/>
      <c r="E33" s="52"/>
      <c r="F33" s="52" t="str">
        <f>B70</f>
        <v>per 1000 youth</v>
      </c>
      <c r="G33" s="52"/>
      <c r="H33" s="52"/>
      <c r="I33" s="52"/>
      <c r="J33" s="52"/>
      <c r="K33" s="52"/>
      <c r="L33" s="53"/>
      <c r="R33" s="49"/>
    </row>
    <row r="34" spans="2:18" ht="15" customHeight="1" x14ac:dyDescent="0.25">
      <c r="B34" s="52" t="s">
        <v>77</v>
      </c>
      <c r="C34" s="52"/>
      <c r="D34" s="52"/>
      <c r="E34" s="52"/>
      <c r="F34" s="52" t="str">
        <f>B70</f>
        <v>per 1000 youth</v>
      </c>
      <c r="G34" s="52"/>
      <c r="H34" s="52"/>
      <c r="I34" s="52"/>
      <c r="J34" s="52"/>
      <c r="K34" s="52"/>
      <c r="L34" s="53"/>
      <c r="R34" s="49"/>
    </row>
    <row r="35" spans="2:18" ht="15" customHeight="1" x14ac:dyDescent="0.25">
      <c r="B35" s="52" t="s">
        <v>78</v>
      </c>
      <c r="C35" s="52"/>
      <c r="D35" s="52"/>
      <c r="E35" s="52"/>
      <c r="F35" s="52" t="str">
        <f>B69</f>
        <v>per 1000 youth</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0.53700000000000003</v>
      </c>
      <c r="D42" s="56">
        <f>E6/1000</f>
        <v>7.0000000000000001E-3</v>
      </c>
      <c r="E42" s="56">
        <f>MAX(C42:D42)</f>
        <v>0.53700000000000003</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0.53700000000000003</v>
      </c>
      <c r="D48" s="56">
        <f>D42</f>
        <v>7.0000000000000001E-3</v>
      </c>
      <c r="E48" s="56">
        <f>MAX(C48:D48)</f>
        <v>0.53700000000000003</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0.53700000000000003</v>
      </c>
      <c r="D49" s="49">
        <f t="shared" si="9"/>
        <v>7.0000000000000001E-3</v>
      </c>
      <c r="E49" s="49">
        <f>MAX(C49:D49)</f>
        <v>0.53700000000000003</v>
      </c>
      <c r="G49" s="1" t="str">
        <f>G43</f>
        <v>per 100 arrests</v>
      </c>
      <c r="L49" s="58">
        <f>IF(($E43&gt;0),L43,L42)</f>
        <v>1000</v>
      </c>
      <c r="M49" s="58"/>
      <c r="N49" s="21"/>
      <c r="O49" s="21"/>
      <c r="P49" s="21"/>
      <c r="Q49" s="21"/>
      <c r="R49" s="21"/>
    </row>
    <row r="50" spans="2:18" ht="15" hidden="1" customHeight="1" x14ac:dyDescent="0.25">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0.53700000000000003</v>
      </c>
      <c r="D54" s="56">
        <f>D48</f>
        <v>7.0000000000000001E-3</v>
      </c>
      <c r="E54" s="56">
        <f>MAX(C54:D54)</f>
        <v>0.53700000000000003</v>
      </c>
      <c r="G54" s="1" t="str">
        <f>G48</f>
        <v>per 1000 youth</v>
      </c>
      <c r="L54" s="58">
        <f>L48</f>
        <v>1000</v>
      </c>
      <c r="M54" s="58"/>
    </row>
    <row r="55" spans="2:18" ht="15" hidden="1" customHeight="1" x14ac:dyDescent="0.25">
      <c r="B55" s="49" t="str">
        <f t="shared" ref="B55:D56" si="10">IF(($E49&gt;0),B49,B48)</f>
        <v>per 1000 youth</v>
      </c>
      <c r="C55" s="49">
        <f t="shared" si="10"/>
        <v>0.53700000000000003</v>
      </c>
      <c r="D55" s="49">
        <f t="shared" si="10"/>
        <v>7.0000000000000001E-3</v>
      </c>
      <c r="E55" s="49">
        <f>MAX(C55:D55)</f>
        <v>0.53700000000000003</v>
      </c>
      <c r="G55" s="1" t="str">
        <f>G49</f>
        <v>per 100 arrests</v>
      </c>
      <c r="L55" s="58">
        <f>IF(($E49&gt;0),L49,L48)</f>
        <v>1000</v>
      </c>
      <c r="M55" s="58"/>
    </row>
    <row r="56" spans="2:18" ht="15" hidden="1" customHeight="1" x14ac:dyDescent="0.25">
      <c r="B56" s="49" t="str">
        <f t="shared" si="10"/>
        <v>per 1000 youth</v>
      </c>
      <c r="C56" s="49">
        <f t="shared" si="10"/>
        <v>0.53700000000000003</v>
      </c>
      <c r="D56" s="49">
        <f t="shared" si="10"/>
        <v>7.0000000000000001E-3</v>
      </c>
      <c r="E56" s="49">
        <f>MAX(C56:D56)</f>
        <v>0.53700000000000003</v>
      </c>
      <c r="G56" s="1" t="str">
        <f>G50</f>
        <v>per 100 referrals</v>
      </c>
      <c r="L56" s="58">
        <f>IF(($E50&gt;0),L50,L49)</f>
        <v>1000</v>
      </c>
      <c r="M56" s="58"/>
    </row>
    <row r="57" spans="2:18" ht="15" hidden="1" customHeight="1" x14ac:dyDescent="0.25">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0.53700000000000003</v>
      </c>
      <c r="D60" s="56">
        <f>D54</f>
        <v>7.0000000000000001E-3</v>
      </c>
      <c r="E60" s="56">
        <f>MAX(C60:D60)</f>
        <v>0.53700000000000003</v>
      </c>
      <c r="G60" s="1" t="str">
        <f>G54</f>
        <v>per 1000 youth</v>
      </c>
      <c r="L60" s="58">
        <f>L54</f>
        <v>1000</v>
      </c>
      <c r="M60" s="58"/>
    </row>
    <row r="61" spans="2:18" ht="15" hidden="1" customHeight="1" x14ac:dyDescent="0.25">
      <c r="B61" s="49" t="str">
        <f t="shared" ref="B61:D62" si="11">IF(($E55&gt;0),B55,B54)</f>
        <v>per 1000 youth</v>
      </c>
      <c r="C61" s="49">
        <f t="shared" si="11"/>
        <v>0.53700000000000003</v>
      </c>
      <c r="D61" s="49">
        <f t="shared" si="11"/>
        <v>7.0000000000000001E-3</v>
      </c>
      <c r="E61" s="49">
        <f>MAX(C61:D61)</f>
        <v>0.53700000000000003</v>
      </c>
      <c r="G61" s="1" t="str">
        <f>G55</f>
        <v>per 100 arrests</v>
      </c>
      <c r="L61" s="58">
        <f>IF(($E55&gt;0),L55,L54)</f>
        <v>1000</v>
      </c>
      <c r="M61" s="58"/>
    </row>
    <row r="62" spans="2:18" ht="15" hidden="1" customHeight="1" x14ac:dyDescent="0.25">
      <c r="B62" s="49" t="str">
        <f t="shared" si="11"/>
        <v>per 1000 youth</v>
      </c>
      <c r="C62" s="49">
        <f t="shared" si="11"/>
        <v>0.53700000000000003</v>
      </c>
      <c r="D62" s="49">
        <f t="shared" si="11"/>
        <v>7.0000000000000001E-3</v>
      </c>
      <c r="E62" s="49">
        <f>MAX(C62:D62)</f>
        <v>0.53700000000000003</v>
      </c>
      <c r="G62" s="1" t="str">
        <f>G56</f>
        <v>per 100 referrals</v>
      </c>
      <c r="L62" s="58">
        <f>IF(($E56&gt;0),L56,L55)</f>
        <v>1000</v>
      </c>
      <c r="M62" s="58"/>
    </row>
    <row r="63" spans="2:18" ht="15" hidden="1" customHeight="1" x14ac:dyDescent="0.25">
      <c r="B63" s="49" t="str">
        <f>IF(($E57&gt;0),B57,B55)</f>
        <v>per 1000 youth</v>
      </c>
      <c r="C63" s="49">
        <f>IF(($E57&gt;0),C57,C56)</f>
        <v>0.53700000000000003</v>
      </c>
      <c r="D63" s="49">
        <f>IF(($E57&gt;0),D57,D56)</f>
        <v>7.0000000000000001E-3</v>
      </c>
      <c r="E63" s="49">
        <f>MAX(C63:D63)</f>
        <v>0.53700000000000003</v>
      </c>
      <c r="G63" s="1" t="str">
        <f>G57</f>
        <v>per 100 youth petitioned</v>
      </c>
      <c r="L63" s="58">
        <f>IF(($E57&gt;0),L57,L56)</f>
        <v>1000</v>
      </c>
      <c r="M63" s="58"/>
    </row>
    <row r="64" spans="2:18" ht="15" hidden="1" customHeight="1" x14ac:dyDescent="0.25">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0.53700000000000003</v>
      </c>
      <c r="D66" s="56">
        <f>D60</f>
        <v>7.0000000000000001E-3</v>
      </c>
      <c r="E66" s="56">
        <f>MAX(C66:D66)</f>
        <v>0.53700000000000003</v>
      </c>
      <c r="G66" s="1" t="str">
        <f>G60</f>
        <v>per 1000 youth</v>
      </c>
      <c r="L66" s="58">
        <f>L60</f>
        <v>1000</v>
      </c>
      <c r="M66" s="58">
        <f>IF((B66=G66),1,2)</f>
        <v>1</v>
      </c>
    </row>
    <row r="67" spans="2:13" ht="15" hidden="1" customHeight="1" x14ac:dyDescent="0.25">
      <c r="B67" s="49" t="str">
        <f t="shared" ref="B67:D68" si="12">IF(($E61&gt;0),B61,B60)</f>
        <v>per 1000 youth</v>
      </c>
      <c r="C67" s="49">
        <f t="shared" si="12"/>
        <v>0.53700000000000003</v>
      </c>
      <c r="D67" s="49">
        <f t="shared" si="12"/>
        <v>7.0000000000000001E-3</v>
      </c>
      <c r="E67" s="49">
        <f>MAX(C67:D67)</f>
        <v>0.53700000000000003</v>
      </c>
      <c r="G67" s="1" t="str">
        <f>G61</f>
        <v>per 100 arrests</v>
      </c>
      <c r="L67" s="58">
        <f>IF(($E61&gt;0),L61,L60)</f>
        <v>1000</v>
      </c>
      <c r="M67" s="58">
        <f>IF((B67=G67),1,2)</f>
        <v>2</v>
      </c>
    </row>
    <row r="68" spans="2:13" ht="15" hidden="1" customHeight="1" x14ac:dyDescent="0.25">
      <c r="B68" s="49" t="str">
        <f t="shared" si="12"/>
        <v>per 1000 youth</v>
      </c>
      <c r="C68" s="49">
        <f t="shared" si="12"/>
        <v>0.53700000000000003</v>
      </c>
      <c r="D68" s="49">
        <f t="shared" si="12"/>
        <v>7.0000000000000001E-3</v>
      </c>
      <c r="E68" s="49">
        <f>MAX(C68:D68)</f>
        <v>0.53700000000000003</v>
      </c>
      <c r="G68" s="1" t="str">
        <f>G62</f>
        <v>per 100 referrals</v>
      </c>
      <c r="L68" s="58">
        <f>IF(($E62&gt;0),L62,L61)</f>
        <v>1000</v>
      </c>
      <c r="M68" s="58">
        <f>IF((B68=G68),1,2)</f>
        <v>2</v>
      </c>
    </row>
    <row r="69" spans="2:13" ht="15" hidden="1" customHeight="1" x14ac:dyDescent="0.25">
      <c r="B69" s="49" t="str">
        <f>IF(($E63&gt;0),B63,B61)</f>
        <v>per 1000 youth</v>
      </c>
      <c r="C69" s="49">
        <f>IF(($E63&gt;0),C63,C62)</f>
        <v>0.53700000000000003</v>
      </c>
      <c r="D69" s="49">
        <f>IF(($E63&gt;0),D63,D62)</f>
        <v>7.0000000000000001E-3</v>
      </c>
      <c r="E69" s="49">
        <f>MAX(C69:D69)</f>
        <v>0.53700000000000003</v>
      </c>
      <c r="G69" s="1" t="str">
        <f>G63</f>
        <v>per 100 youth petitioned</v>
      </c>
      <c r="L69" s="58">
        <f>IF(($E63&gt;0),L63,L62)</f>
        <v>1000</v>
      </c>
      <c r="M69" s="58">
        <f>IF((B69=G69),1,2)</f>
        <v>2</v>
      </c>
    </row>
    <row r="70" spans="2:13" ht="15" hidden="1" customHeight="1" x14ac:dyDescent="0.25">
      <c r="B70" s="49" t="str">
        <f>IF(($E64&gt;0),B64,B63)</f>
        <v>per 1000 youth</v>
      </c>
      <c r="C70" s="49">
        <f>IF(($E64&gt;0),C64,C63)</f>
        <v>0.53700000000000003</v>
      </c>
      <c r="D70" s="49">
        <f>IF(($E64&gt;0),D64,D63)</f>
        <v>7.0000000000000001E-3</v>
      </c>
      <c r="E70" s="56">
        <f>MAX(C70:D70)</f>
        <v>0.53700000000000003</v>
      </c>
      <c r="G70" s="1" t="str">
        <f>G64</f>
        <v>per 100 youth found delinquent</v>
      </c>
      <c r="L70" s="58">
        <f>IF(($E64&gt;0),L64,L63)</f>
        <v>1000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U47JMPN4QEAR-1806752177-30205</_dlc_DocId>
    <_dlc_DocIdUrl xmlns="ac3811b5-0f3e-49e2-ba69-f2ffa0c782af">
      <Url>https://michiganphi.sharepoint.com/sites/CMDMC/_layouts/15/DocIdRedir.aspx?ID=U47JMPN4QEAR-1806752177-30205</Url>
      <Description>U47JMPN4QEAR-1806752177-30205</Description>
    </_dlc_DocIdUrl>
  </documentManagement>
</p:properties>
</file>

<file path=customXml/itemProps1.xml><?xml version="1.0" encoding="utf-8"?>
<ds:datastoreItem xmlns:ds="http://schemas.openxmlformats.org/officeDocument/2006/customXml" ds:itemID="{45293E65-13D6-4E93-B695-FA9EC948A19B}"/>
</file>

<file path=customXml/itemProps2.xml><?xml version="1.0" encoding="utf-8"?>
<ds:datastoreItem xmlns:ds="http://schemas.openxmlformats.org/officeDocument/2006/customXml" ds:itemID="{7CDBA99C-2309-43B2-BFA5-87DDADD54CA2}"/>
</file>

<file path=customXml/itemProps3.xml><?xml version="1.0" encoding="utf-8"?>
<ds:datastoreItem xmlns:ds="http://schemas.openxmlformats.org/officeDocument/2006/customXml" ds:itemID="{BE6CBD12-0B97-4866-8F46-26C66CB5062C}"/>
</file>

<file path=customXml/itemProps4.xml><?xml version="1.0" encoding="utf-8"?>
<ds:datastoreItem xmlns:ds="http://schemas.openxmlformats.org/officeDocument/2006/customXml" ds:itemID="{94288608-CE72-4026-9D93-795503C0B4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e33b5b77-6e34-490f-b7de-5b29e3fccbb7</vt:lpwstr>
  </property>
</Properties>
</file>