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96C37804-CF3E-4822-855E-2F20DF1F3B0B}"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c r="G63" i="3" s="1"/>
  <c r="G69" i="3" s="1"/>
  <c r="G52" i="3"/>
  <c r="G58" i="3" s="1"/>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G52" i="4" s="1"/>
  <c r="G58" i="4" s="1"/>
  <c r="G64" i="4" s="1"/>
  <c r="G70" i="4" s="1"/>
  <c r="L48" i="4"/>
  <c r="L54" i="4" s="1"/>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L54" i="8" s="1"/>
  <c r="L60" i="8" s="1"/>
  <c r="L66" i="8" s="1"/>
  <c r="G50" i="8"/>
  <c r="G56" i="8" s="1"/>
  <c r="G62" i="8" s="1"/>
  <c r="G68"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3"/>
  <c r="M66" i="3"/>
  <c r="M66" i="6"/>
  <c r="F27" i="6"/>
  <c r="F27" i="2"/>
  <c r="M66" i="2"/>
  <c r="F27" i="8"/>
  <c r="M66" i="8"/>
  <c r="F27" i="4"/>
  <c r="M66" i="4"/>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3" i="7"/>
  <c r="E46" i="3"/>
  <c r="B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U7" i="5" s="1"/>
  <c r="J7" i="5" s="1"/>
  <c r="M7" i="5" s="1"/>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D64" i="5"/>
  <c r="L64" i="3"/>
  <c r="B56" i="8"/>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C64" i="8"/>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Q8" i="13"/>
  <c r="I7" i="9"/>
  <c r="E57" i="8"/>
  <c r="B63" i="8" s="1"/>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B63" i="5"/>
  <c r="B70" i="5" s="1"/>
  <c r="F33" i="5" s="1"/>
  <c r="L63" i="5"/>
  <c r="L70" i="5" s="1"/>
  <c r="F8" i="5"/>
  <c r="C70" i="5" l="1"/>
  <c r="L69" i="7"/>
  <c r="D63" i="8"/>
  <c r="E63" i="3"/>
  <c r="C69" i="3" s="1"/>
  <c r="D70" i="6"/>
  <c r="F14" i="6" s="1"/>
  <c r="C69" i="7"/>
  <c r="D12" i="7" s="1"/>
  <c r="C63" i="8"/>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69" i="3"/>
  <c r="M69" i="3" s="1"/>
  <c r="C70" i="8"/>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F14" i="3" l="1"/>
  <c r="L69" i="3"/>
  <c r="Q12" i="3" s="1"/>
  <c r="D69" i="3"/>
  <c r="E69" i="3" s="1"/>
  <c r="O14" i="6"/>
  <c r="B69" i="6"/>
  <c r="M69" i="6" s="1"/>
  <c r="F13" i="6"/>
  <c r="E63" i="8"/>
  <c r="D69" i="8" s="1"/>
  <c r="F15" i="8" s="1"/>
  <c r="E70" i="6"/>
  <c r="E69" i="7"/>
  <c r="Q15" i="7"/>
  <c r="D15" i="7"/>
  <c r="D13" i="3"/>
  <c r="D13" i="6"/>
  <c r="Q13" i="8"/>
  <c r="O13" i="3"/>
  <c r="O13" i="6"/>
  <c r="Q12" i="7"/>
  <c r="E70" i="3"/>
  <c r="C69" i="6"/>
  <c r="D12" i="6" s="1"/>
  <c r="Q14" i="3"/>
  <c r="F12" i="7"/>
  <c r="O12" i="7"/>
  <c r="D14" i="6"/>
  <c r="O15" i="7"/>
  <c r="Q13" i="3"/>
  <c r="Q13" i="6"/>
  <c r="Q14" i="6"/>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5" i="3" l="1"/>
  <c r="F12" i="3"/>
  <c r="Q15" i="3"/>
  <c r="O12" i="3"/>
  <c r="R12" i="3" s="1"/>
  <c r="S12" i="3" s="1"/>
  <c r="U12" i="3" s="1"/>
  <c r="J12" i="3" s="1"/>
  <c r="F15" i="3"/>
  <c r="K14" i="6"/>
  <c r="F32" i="6"/>
  <c r="R14" i="3"/>
  <c r="S14" i="3" s="1"/>
  <c r="U14" i="3" s="1"/>
  <c r="J14" i="3" s="1"/>
  <c r="M14" i="3" s="1"/>
  <c r="G14" i="3" s="1"/>
  <c r="I15" i="16" s="1"/>
  <c r="F35" i="6"/>
  <c r="R15" i="7"/>
  <c r="S15" i="7" s="1"/>
  <c r="U15" i="7" s="1"/>
  <c r="J15" i="7" s="1"/>
  <c r="M15" i="7" s="1"/>
  <c r="C69" i="8"/>
  <c r="D12" i="8" s="1"/>
  <c r="L69" i="8"/>
  <c r="O15" i="8" s="1"/>
  <c r="F12" i="8"/>
  <c r="B69" i="8"/>
  <c r="M69" i="8" s="1"/>
  <c r="T13" i="6"/>
  <c r="T15" i="7"/>
  <c r="R13" i="8"/>
  <c r="S13" i="8" s="1"/>
  <c r="R14" i="6"/>
  <c r="S14" i="6" s="1"/>
  <c r="U14" i="6" s="1"/>
  <c r="J14" i="6" s="1"/>
  <c r="M14" i="6" s="1"/>
  <c r="G14" i="6" s="1"/>
  <c r="M15" i="13" s="1"/>
  <c r="T14" i="6"/>
  <c r="D15" i="6"/>
  <c r="K13" i="3"/>
  <c r="K12" i="7"/>
  <c r="K13" i="6"/>
  <c r="R12" i="7"/>
  <c r="S12" i="7" s="1"/>
  <c r="U12" i="7" s="1"/>
  <c r="J12" i="7" s="1"/>
  <c r="M12" i="7" s="1"/>
  <c r="T12" i="7"/>
  <c r="R14" i="8"/>
  <c r="S14" i="8" s="1"/>
  <c r="O12" i="6"/>
  <c r="R13" i="6"/>
  <c r="S13" i="6" s="1"/>
  <c r="U13" i="6" s="1"/>
  <c r="J13" i="6" s="1"/>
  <c r="M13" i="6" s="1"/>
  <c r="G13" i="6" s="1"/>
  <c r="M14" i="13" s="1"/>
  <c r="T13" i="8"/>
  <c r="E69" i="6"/>
  <c r="T13" i="3"/>
  <c r="K14" i="3"/>
  <c r="T14" i="3"/>
  <c r="K15" i="7"/>
  <c r="R13" i="3"/>
  <c r="S13" i="3" s="1"/>
  <c r="U13" i="3" s="1"/>
  <c r="J13" i="3" s="1"/>
  <c r="M13" i="3" s="1"/>
  <c r="G13" i="3" s="1"/>
  <c r="O15" i="6"/>
  <c r="Q12" i="6"/>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5" i="7" l="1"/>
  <c r="S16" i="16" s="1"/>
  <c r="L14" i="3"/>
  <c r="P15" i="16" s="1"/>
  <c r="E14" i="9"/>
  <c r="K12" i="3"/>
  <c r="D15" i="8"/>
  <c r="E69" i="8"/>
  <c r="N30" i="3"/>
  <c r="I15" i="13"/>
  <c r="Q15" i="8"/>
  <c r="R15" i="8" s="1"/>
  <c r="S15" i="8" s="1"/>
  <c r="U15" i="8" s="1"/>
  <c r="J15" i="8" s="1"/>
  <c r="Q12" i="8"/>
  <c r="O12" i="8"/>
  <c r="F35" i="8"/>
  <c r="F32" i="8"/>
  <c r="U13" i="8"/>
  <c r="J13" i="8" s="1"/>
  <c r="M13" i="8" s="1"/>
  <c r="G13" i="8" s="1"/>
  <c r="Q14" i="13" s="1"/>
  <c r="L13" i="6"/>
  <c r="R14" i="16" s="1"/>
  <c r="G13" i="9"/>
  <c r="R12" i="6"/>
  <c r="S12" i="6" s="1"/>
  <c r="U12" i="6" s="1"/>
  <c r="J12" i="6" s="1"/>
  <c r="M12" i="6" s="1"/>
  <c r="G12" i="6" s="1"/>
  <c r="L13" i="3"/>
  <c r="P14" i="16" s="1"/>
  <c r="L12" i="7"/>
  <c r="S13" i="16" s="1"/>
  <c r="K15" i="6"/>
  <c r="U14" i="8"/>
  <c r="J14" i="8" s="1"/>
  <c r="N30" i="8" s="1"/>
  <c r="T12" i="6"/>
  <c r="K12" i="6"/>
  <c r="R15" i="6"/>
  <c r="S15" i="6" s="1"/>
  <c r="U15" i="6" s="1"/>
  <c r="J15" i="6" s="1"/>
  <c r="T15" i="6"/>
  <c r="M13" i="9"/>
  <c r="U14" i="13"/>
  <c r="U12" i="13"/>
  <c r="M11" i="9"/>
  <c r="T13" i="2"/>
  <c r="U8" i="6"/>
  <c r="J8" i="6" s="1"/>
  <c r="M8" i="6" s="1"/>
  <c r="G8" i="6" s="1"/>
  <c r="M9" i="13" s="1"/>
  <c r="R13" i="2"/>
  <c r="S13" i="2" s="1"/>
  <c r="U13" i="2" s="1"/>
  <c r="J13" i="2" s="1"/>
  <c r="M13" i="2" s="1"/>
  <c r="G13" i="2" s="1"/>
  <c r="E14" i="16" s="1"/>
  <c r="T15" i="8"/>
  <c r="V11" i="13"/>
  <c r="G14" i="9"/>
  <c r="R10" i="7"/>
  <c r="S10" i="7" s="1"/>
  <c r="U10" i="7" s="1"/>
  <c r="J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N14" i="9"/>
  <c r="L13" i="7"/>
  <c r="S14" i="16" s="1"/>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R12" i="8" l="1"/>
  <c r="S12" i="8" s="1"/>
  <c r="K15" i="8"/>
  <c r="X14" i="13"/>
  <c r="K12" i="8"/>
  <c r="T12" i="8"/>
  <c r="Q12" i="9"/>
  <c r="L15" i="6"/>
  <c r="R16" i="16" s="1"/>
  <c r="L12" i="6"/>
  <c r="R13" i="16" s="1"/>
  <c r="P13" i="9"/>
  <c r="Y13" i="13"/>
  <c r="I13" i="9"/>
  <c r="K14" i="16"/>
  <c r="L13" i="8"/>
  <c r="T14" i="16" s="1"/>
  <c r="N13" i="9"/>
  <c r="V14" i="13"/>
  <c r="U12" i="8"/>
  <c r="J12" i="8" s="1"/>
  <c r="M12" i="8" s="1"/>
  <c r="G12" i="8" s="1"/>
  <c r="K13" i="16" s="1"/>
  <c r="L14" i="8"/>
  <c r="T15" i="16" s="1"/>
  <c r="M14" i="8"/>
  <c r="G14" i="8" s="1"/>
  <c r="K15" i="16" s="1"/>
  <c r="M15" i="6"/>
  <c r="G15" i="6" s="1"/>
  <c r="M16" i="13"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3" i="13" l="1"/>
  <c r="X16" i="13"/>
  <c r="P12" i="9"/>
  <c r="P15" i="9"/>
  <c r="G15" i="9"/>
  <c r="Z14" i="13"/>
  <c r="R13" i="9"/>
  <c r="L12" i="8"/>
  <c r="T13" i="16" s="1"/>
  <c r="R14" i="9"/>
  <c r="I14" i="9"/>
  <c r="Z15" i="13"/>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R12" i="9" l="1"/>
  <c r="Z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<sst xmlns="http://schemas.openxmlformats.org/spreadsheetml/2006/main" count="654" uniqueCount="141">
  <si>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</si>
  <si>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</si>
  <si>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</si>
  <si>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</si>
  <si>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</si>
  <si>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</si>
  <si>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</si>
  <si>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</si>
  <si>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</si>
  <si>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</si>
  <si>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</si>
  <si>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</si>
  <si>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</si>
  <si>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</si>
  <si>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</si>
  <si>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</si>
  <si>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</si>
  <si>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</si>
  <si>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</si>
  <si>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</si>
  <si>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</si>
  <si>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</si>
  <si>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</si>
  <si>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</si>
  <si>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</si>
  <si>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</si>
  <si>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</si>
  <si>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</si>
  <si>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</si>
  <si>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</si>
  <si>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</si>
  <si>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</si>
  <si>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</si>
  <si>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</si>
  <si>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</si>
  <si>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</si>
  <si>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</si>
  <si>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</si>
  <si>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</si>
  <si>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</si>
  <si>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</si>
  <si>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</si>
  <si>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</si>
  <si>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</si>
  <si>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</si>
  <si>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</si>
  <si>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</si>
  <si>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</si>
  <si>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</si>
  <si>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</si>
  <si>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</si>
  <si>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</si>
  <si>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</si>
  <si>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</si>
  <si>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</si>
  <si>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</si>
  <si>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</si>
  <si>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</si>
  <si>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</si>
  <si>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</si>
  <si>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</si>
  <si>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</si>
  <si>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</si>
  <si>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</si>
  <si>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</si>
  <si>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</si>
  <si>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</si>
  <si>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</si>
  <si>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</si>
  <si>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</si>
  <si>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</si>
  <si>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</si>
  <si>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</si>
  <si>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</si>
  <si>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</si>
  <si>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</si>
  <si>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</si>
  <si>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</si>
  <si>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</si>
  <si>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</si>
  <si>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</si>
  <si>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</si>
  <si>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</si>
  <si>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</si>
  <si>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</si>
  <si>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</si>
  <si>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</si>
  <si>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</si>
  <si>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</si>
  <si>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</si>
  <si>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</si>
  <si>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</si>
  <si>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</si>
  <si>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</si>
  <si>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</si>
  <si>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</si>
  <si>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</si>
  <si>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</si>
  <si>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</si>
  <si>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</si>
  <si>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</si>
  <si>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</si>
  <si>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</si>
  <si>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</si>
  <si>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</si>
  <si>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</si>
  <si>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</si>
  <si>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</si>
  <si>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</si>
  <si>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</si>
  <si>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</si>
  <si>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</si>
  <si>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</si>
  <si>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</si>
  <si>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</si>
  <si>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</si>
  <si>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</si>
  <si>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</si>
  <si>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</si>
  <si>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</si>
  <si>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</si>
  <si>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</si>
  <si>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</si>
  <si>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</si>
  <si>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</si>
  <si>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</si>
  <si>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</si>
  <si>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</si>
  <si>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</si>
  <si>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</si>
  <si>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</si>
  <si>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</si>
  <si>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</si>
  <si>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</si>
  <si>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</si>
  <si>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</si>
  <si>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</si>
  <si>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Montcalm</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</si>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</sst>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Montcalm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N=20</c:v>
                </c:pt>
                <c:pt idx="2">
                  <c:v>Delinquent Findings, total N=32</c:v>
                </c:pt>
                <c:pt idx="3">
                  <c:v>Petitions, total N=100</c:v>
                </c:pt>
                <c:pt idx="4">
                  <c:v>Detentions, total N=16</c:v>
                </c:pt>
                <c:pt idx="5">
                  <c:v>Referrals, total N=135</c:v>
                </c:pt>
                <c:pt idx="6">
                  <c:v>Arrests, total N=32</c:v>
                </c:pt>
                <c:pt idx="7">
                  <c:v>Population, total N=5666</c:v>
                </c:pt>
              </c:strCache>
            </c:strRef>
          </c:cat>
          <c:val>
            <c:numRef>
              <c:f>'Stacked 100%'!$B$7:$B$14</c:f>
              <c:numCache>
                <c:formatCode>0%</c:formatCode>
                <c:ptCount val="8"/>
                <c:pt idx="0">
                  <c:v>0</c:v>
                </c:pt>
                <c:pt idx="1">
                  <c:v>0</c:v>
                </c:pt>
                <c:pt idx="2">
                  <c:v>0</c:v>
                </c:pt>
                <c:pt idx="3">
                  <c:v>0</c:v>
                </c:pt>
                <c:pt idx="4">
                  <c:v>0</c:v>
                </c:pt>
                <c:pt idx="5">
                  <c:v>0</c:v>
                </c:pt>
                <c:pt idx="6">
                  <c:v>6.25E-2</c:v>
                </c:pt>
                <c:pt idx="7">
                  <c:v>1.7472643840451819E-2</c:v>
                </c:pt>
              </c:numCache>
            </c:numRef>
          </c:val>
          <c:extLst>
            <c:ext xmlns:c16="http://schemas.microsoft.com/office/drawing/2014/chart" uri="{C3380CC4-5D6E-409C-BE32-E72D297353CC}">
              <c16:uniqueId val="{00000000-99E6-4374-B80C-4FE9D947795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N=20</c:v>
                </c:pt>
                <c:pt idx="2">
                  <c:v>Delinquent Findings, total N=32</c:v>
                </c:pt>
                <c:pt idx="3">
                  <c:v>Petitions, total N=100</c:v>
                </c:pt>
                <c:pt idx="4">
                  <c:v>Detentions, total N=16</c:v>
                </c:pt>
                <c:pt idx="5">
                  <c:v>Referrals, total N=135</c:v>
                </c:pt>
                <c:pt idx="6">
                  <c:v>Arrests, total N=32</c:v>
                </c:pt>
                <c:pt idx="7">
                  <c:v>Population, total N=5666</c:v>
                </c:pt>
              </c:strCache>
            </c:strRef>
          </c:cat>
          <c:val>
            <c:numRef>
              <c:f>'Stacked 100%'!$C$7:$C$14</c:f>
              <c:numCache>
                <c:formatCode>0%</c:formatCode>
                <c:ptCount val="8"/>
                <c:pt idx="0">
                  <c:v>0</c:v>
                </c:pt>
                <c:pt idx="1">
                  <c:v>0</c:v>
                </c:pt>
                <c:pt idx="2">
                  <c:v>0</c:v>
                </c:pt>
                <c:pt idx="3">
                  <c:v>0</c:v>
                </c:pt>
                <c:pt idx="4">
                  <c:v>0</c:v>
                </c:pt>
                <c:pt idx="5">
                  <c:v>0</c:v>
                </c:pt>
                <c:pt idx="6">
                  <c:v>0</c:v>
                </c:pt>
                <c:pt idx="7">
                  <c:v>6.6537239675255919E-2</c:v>
                </c:pt>
              </c:numCache>
            </c:numRef>
          </c:val>
          <c:extLst>
            <c:ext xmlns:c16="http://schemas.microsoft.com/office/drawing/2014/chart" uri="{C3380CC4-5D6E-409C-BE32-E72D297353CC}">
              <c16:uniqueId val="{00000001-99E6-4374-B80C-4FE9D947795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N=20</c:v>
                </c:pt>
                <c:pt idx="2">
                  <c:v>Delinquent Findings, total N=32</c:v>
                </c:pt>
                <c:pt idx="3">
                  <c:v>Petitions, total N=100</c:v>
                </c:pt>
                <c:pt idx="4">
                  <c:v>Detentions, total N=16</c:v>
                </c:pt>
                <c:pt idx="5">
                  <c:v>Referrals, total N=135</c:v>
                </c:pt>
                <c:pt idx="6">
                  <c:v>Arrests, total N=32</c:v>
                </c:pt>
                <c:pt idx="7">
                  <c:v>Population, total N=5666</c:v>
                </c:pt>
              </c:strCache>
            </c:strRef>
          </c:cat>
          <c:val>
            <c:numRef>
              <c:f>'Stacked 100%'!$H$7:$H$14</c:f>
              <c:numCache>
                <c:formatCode>0%</c:formatCode>
                <c:ptCount val="8"/>
                <c:pt idx="0">
                  <c:v>0</c:v>
                </c:pt>
                <c:pt idx="1">
                  <c:v>0</c:v>
                </c:pt>
                <c:pt idx="2">
                  <c:v>0</c:v>
                </c:pt>
                <c:pt idx="3">
                  <c:v>0</c:v>
                </c:pt>
                <c:pt idx="4">
                  <c:v>0</c:v>
                </c:pt>
                <c:pt idx="5">
                  <c:v>0</c:v>
                </c:pt>
                <c:pt idx="6">
                  <c:v>9.765625E-4</c:v>
                </c:pt>
                <c:pt idx="7">
                  <c:v>1.7755042463208746E-6</c:v>
                </c:pt>
              </c:numCache>
            </c:numRef>
          </c:val>
          <c:extLst>
            <c:ext xmlns:c16="http://schemas.microsoft.com/office/drawing/2014/chart" uri="{C3380CC4-5D6E-409C-BE32-E72D297353CC}">
              <c16:uniqueId val="{00000002-99E6-4374-B80C-4FE9D947795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N=20</c:v>
                </c:pt>
                <c:pt idx="2">
                  <c:v>Delinquent Findings, total N=32</c:v>
                </c:pt>
                <c:pt idx="3">
                  <c:v>Petitions, total N=100</c:v>
                </c:pt>
                <c:pt idx="4">
                  <c:v>Detentions, total N=16</c:v>
                </c:pt>
                <c:pt idx="5">
                  <c:v>Referrals, total N=135</c:v>
                </c:pt>
                <c:pt idx="6">
                  <c:v>Arrests, total N=32</c:v>
                </c:pt>
                <c:pt idx="7">
                  <c:v>Population, total N=5666</c:v>
                </c:pt>
              </c:strCache>
            </c:strRef>
          </c:cat>
          <c:val>
            <c:numRef>
              <c:f>'Stacked 100%'!$I$7:$I$14</c:f>
              <c:numCache>
                <c:formatCode>0%</c:formatCode>
                <c:ptCount val="8"/>
                <c:pt idx="0">
                  <c:v>0</c:v>
                </c:pt>
                <c:pt idx="1">
                  <c:v>0.45</c:v>
                </c:pt>
                <c:pt idx="2">
                  <c:v>0.3125</c:v>
                </c:pt>
                <c:pt idx="3">
                  <c:v>0.23</c:v>
                </c:pt>
                <c:pt idx="4">
                  <c:v>0.75</c:v>
                </c:pt>
                <c:pt idx="5">
                  <c:v>0.22962962962962963</c:v>
                </c:pt>
                <c:pt idx="6">
                  <c:v>0.875</c:v>
                </c:pt>
                <c:pt idx="7">
                  <c:v>0.90593010942463814</c:v>
                </c:pt>
              </c:numCache>
            </c:numRef>
          </c:val>
          <c:extLst>
            <c:ext xmlns:c16="http://schemas.microsoft.com/office/drawing/2014/chart" uri="{C3380CC4-5D6E-409C-BE32-E72D297353CC}">
              <c16:uniqueId val="{00000003-99E6-4374-B80C-4FE9D947795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N=20</c:v>
                </c:pt>
                <c:pt idx="2">
                  <c:v>Delinquent Findings, total N=32</c:v>
                </c:pt>
                <c:pt idx="3">
                  <c:v>Petitions, total N=100</c:v>
                </c:pt>
                <c:pt idx="4">
                  <c:v>Detentions, total N=16</c:v>
                </c:pt>
                <c:pt idx="5">
                  <c:v>Referrals, total N=135</c:v>
                </c:pt>
                <c:pt idx="6">
                  <c:v>Arrests, total N=32</c:v>
                </c:pt>
                <c:pt idx="7">
                  <c:v>Population, total N=5666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9E6-4374-B80C-4FE9D947795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5666</v>
      </c>
      <c r="C6" s="11">
        <v>5133</v>
      </c>
      <c r="D6" s="11">
        <v>99</v>
      </c>
      <c r="E6" s="11">
        <v>377</v>
      </c>
      <c r="F6" s="11">
        <v>25</v>
      </c>
      <c r="G6" s="11"/>
      <c r="H6" s="11">
        <v>32</v>
      </c>
      <c r="I6" s="11"/>
      <c r="J6" s="91">
        <f>SUM(D6:I6)</f>
        <v>533</v>
      </c>
      <c r="K6" s="92"/>
    </row>
    <row r="7" spans="1:11" ht="15.75" customHeight="1" thickBot="1" x14ac:dyDescent="0.25">
      <c r="A7" s="10" t="s">
        <v>8</v>
      </c>
      <c r="B7" s="11">
        <f t="shared" ref="B7:B15" si="0">SUM(C7:I7)+K7</f>
        <v>32</v>
      </c>
      <c r="C7" s="11">
        <v>28</v>
      </c>
      <c r="D7" s="11">
        <v>2</v>
      </c>
      <c r="E7" s="11"/>
      <c r="F7" s="11"/>
      <c r="G7" s="11">
        <v>1</v>
      </c>
      <c r="H7" s="11"/>
      <c r="I7" s="11"/>
      <c r="J7" s="91">
        <f t="shared" ref="J7:J15" si="1">SUM(D7:I7)</f>
        <v>3</v>
      </c>
      <c r="K7" s="92">
        <v>1</v>
      </c>
    </row>
    <row r="8" spans="1:11" ht="15.75" customHeight="1" thickBot="1" x14ac:dyDescent="0.25">
      <c r="A8" s="10" t="s">
        <v>9</v>
      </c>
      <c r="B8" s="11">
        <f t="shared" si="0"/>
        <v>135</v>
      </c>
      <c r="C8" s="11">
        <v>31</v>
      </c>
      <c r="D8" s="11"/>
      <c r="E8" s="11"/>
      <c r="F8" s="11"/>
      <c r="G8" s="11"/>
      <c r="H8" s="11"/>
      <c r="I8" s="11"/>
      <c r="J8" s="91">
        <f t="shared" si="1"/>
        <v>0</v>
      </c>
      <c r="K8" s="92">
        <v>104</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16</v>
      </c>
      <c r="C10" s="11">
        <v>12</v>
      </c>
      <c r="D10" s="11"/>
      <c r="E10" s="11"/>
      <c r="F10" s="11"/>
      <c r="G10" s="11"/>
      <c r="H10" s="11"/>
      <c r="I10" s="11"/>
      <c r="J10" s="91">
        <f t="shared" si="1"/>
        <v>0</v>
      </c>
      <c r="K10" s="92">
        <v>4</v>
      </c>
    </row>
    <row r="11" spans="1:11" ht="15.75" customHeight="1" thickBot="1" x14ac:dyDescent="0.25">
      <c r="A11" s="10" t="s">
        <v>12</v>
      </c>
      <c r="B11" s="11">
        <f t="shared" si="0"/>
        <v>100</v>
      </c>
      <c r="C11" s="11">
        <v>23</v>
      </c>
      <c r="D11" s="11"/>
      <c r="E11" s="11"/>
      <c r="F11" s="11"/>
      <c r="G11" s="11"/>
      <c r="H11" s="11"/>
      <c r="I11" s="11"/>
      <c r="J11" s="91">
        <f t="shared" si="1"/>
        <v>0</v>
      </c>
      <c r="K11" s="92">
        <v>77</v>
      </c>
    </row>
    <row r="12" spans="1:11" ht="15.75" customHeight="1" thickBot="1" x14ac:dyDescent="0.25">
      <c r="A12" s="10" t="s">
        <v>13</v>
      </c>
      <c r="B12" s="11">
        <f t="shared" si="0"/>
        <v>32</v>
      </c>
      <c r="C12" s="11">
        <v>10</v>
      </c>
      <c r="D12" s="11"/>
      <c r="E12" s="11"/>
      <c r="F12" s="11"/>
      <c r="G12" s="11"/>
      <c r="H12" s="11"/>
      <c r="I12" s="11"/>
      <c r="J12" s="91">
        <f t="shared" si="1"/>
        <v>0</v>
      </c>
      <c r="K12" s="92">
        <v>22</v>
      </c>
    </row>
    <row r="13" spans="1:11" ht="15.75" customHeight="1" thickBot="1" x14ac:dyDescent="0.25">
      <c r="A13" s="10" t="s">
        <v>133</v>
      </c>
      <c r="B13" s="11">
        <f t="shared" si="0"/>
        <v>8</v>
      </c>
      <c r="C13" s="11"/>
      <c r="D13" s="11"/>
      <c r="E13" s="11"/>
      <c r="F13" s="11"/>
      <c r="G13" s="11"/>
      <c r="H13" s="11"/>
      <c r="I13" s="11"/>
      <c r="J13" s="91">
        <f t="shared" si="1"/>
        <v>0</v>
      </c>
      <c r="K13" s="92">
        <v>8</v>
      </c>
    </row>
    <row r="14" spans="1:11" ht="26.25" customHeight="1" thickBot="1" x14ac:dyDescent="0.25">
      <c r="A14" s="10" t="s">
        <v>123</v>
      </c>
      <c r="B14" s="11">
        <f t="shared" si="0"/>
        <v>20</v>
      </c>
      <c r="C14" s="11">
        <v>9</v>
      </c>
      <c r="D14" s="11"/>
      <c r="E14" s="11"/>
      <c r="F14" s="11"/>
      <c r="G14" s="11"/>
      <c r="H14" s="11"/>
      <c r="I14" s="11"/>
      <c r="J14" s="91">
        <f t="shared" si="1"/>
        <v>0</v>
      </c>
      <c r="K14" s="92">
        <v>11</v>
      </c>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Montcalm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5133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28</v>
      </c>
      <c r="D7" s="34">
        <f>IF((AND(C66&gt;0,C7&gt;0)),(C7/C66),0)</f>
        <v>5.4548996688096629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28</v>
      </c>
      <c r="Q7" s="42">
        <f>C6-C7</f>
        <v>5105</v>
      </c>
      <c r="R7" s="42">
        <f t="shared" ref="R7:R15" si="5">SUM(N7:Q7)</f>
        <v>5133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31</v>
      </c>
      <c r="D8" s="34">
        <f>IF((AND(C67&gt;0,C8&gt;0)),(C8/C67),0)</f>
        <v>110.71428571428571</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31</v>
      </c>
      <c r="Q8" s="42">
        <f>(C$67*L67)-C8</f>
        <v>-2.9999999999999964</v>
      </c>
      <c r="R8" s="42">
        <f t="shared" si="5"/>
        <v>28.050000000000004</v>
      </c>
      <c r="S8" s="30">
        <f t="shared" si="6"/>
        <v>67.390125000000012</v>
      </c>
      <c r="T8" s="30">
        <f t="shared" si="7"/>
        <v>-128.02999999999989</v>
      </c>
      <c r="U8" s="31">
        <f t="shared" si="8"/>
        <v>-0.52636198547215551</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31</v>
      </c>
      <c r="R9" s="42">
        <f t="shared" si="5"/>
        <v>31</v>
      </c>
      <c r="S9" s="30">
        <f t="shared" si="6"/>
        <v>0</v>
      </c>
      <c r="T9" s="30">
        <f t="shared" si="7"/>
        <v>0</v>
      </c>
      <c r="U9" s="31" t="str">
        <f t="shared" si="8"/>
        <v>- -</v>
      </c>
    </row>
    <row r="10" spans="2:21" ht="18" customHeight="1" x14ac:dyDescent="0.25">
      <c r="B10" s="32" t="str">
        <f>'Data Entry'!A10</f>
        <v>5. Cases Involving Secure Detention</v>
      </c>
      <c r="C10" s="33">
        <f>'Data Entry'!C10</f>
        <v>12</v>
      </c>
      <c r="D10" s="34">
        <f>IF(((AND(C68&gt;0,C10&gt;0))),(C10/(C68)),0)</f>
        <v>38.70967741935484</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12</v>
      </c>
      <c r="Q10" s="42">
        <f>(C$68*L68)-C10</f>
        <v>19</v>
      </c>
      <c r="R10" s="42">
        <f t="shared" si="5"/>
        <v>31</v>
      </c>
      <c r="S10" s="30">
        <f t="shared" si="6"/>
        <v>0</v>
      </c>
      <c r="T10" s="30">
        <f t="shared" si="7"/>
        <v>0</v>
      </c>
      <c r="U10" s="31" t="str">
        <f t="shared" si="8"/>
        <v>- -</v>
      </c>
    </row>
    <row r="11" spans="2:21" ht="18" customHeight="1" x14ac:dyDescent="0.25">
      <c r="B11" s="32" t="str">
        <f>'Data Entry'!A11</f>
        <v>6. Cases Petitioned (Charge Filed)</v>
      </c>
      <c r="C11" s="33">
        <f>'Data Entry'!C11</f>
        <v>23</v>
      </c>
      <c r="D11" s="34">
        <f>IF(((AND(C68&gt;0,C11&gt;0))),(C11/(C68)),0)</f>
        <v>74.193548387096769</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8</v>
      </c>
      <c r="R11" s="42">
        <f t="shared" si="5"/>
        <v>31</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43.478260869565219</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13</v>
      </c>
      <c r="R12" s="42">
        <f t="shared" si="5"/>
        <v>23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9</v>
      </c>
      <c r="D14" s="34">
        <f>IF(((AND(C70&gt;0,C14&gt;0))), ((C14/(C70))),0)</f>
        <v>90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1</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5.133</v>
      </c>
      <c r="D42" s="56">
        <f>E6/1000</f>
        <v>0</v>
      </c>
      <c r="E42" s="56">
        <f>MAX(C42:D42)</f>
        <v>5.133</v>
      </c>
      <c r="G42" s="1" t="str">
        <f>B42</f>
        <v>per 1000 youth</v>
      </c>
      <c r="L42" s="57">
        <v>1000</v>
      </c>
      <c r="M42" s="57"/>
      <c r="R42" s="49"/>
    </row>
    <row r="43" spans="2:18" ht="15" hidden="1" customHeight="1" x14ac:dyDescent="0.25">
      <c r="B43" s="49" t="s">
        <v>87</v>
      </c>
      <c r="C43" s="56">
        <f>C7/100</f>
        <v>0.28000000000000003</v>
      </c>
      <c r="D43" s="56">
        <f>E7/100</f>
        <v>0</v>
      </c>
      <c r="E43" s="56">
        <f>MAX(C43:D43,0)</f>
        <v>0.28000000000000003</v>
      </c>
      <c r="G43" s="1" t="str">
        <f>B43</f>
        <v>per 100 arrests</v>
      </c>
      <c r="L43" s="57">
        <v>100</v>
      </c>
      <c r="M43" s="57"/>
      <c r="R43" s="49"/>
    </row>
    <row r="44" spans="2:18" ht="15" hidden="1" customHeight="1" x14ac:dyDescent="0.25">
      <c r="B44" s="49" t="s">
        <v>88</v>
      </c>
      <c r="C44" s="56">
        <f>C8/100</f>
        <v>0.31</v>
      </c>
      <c r="D44" s="56">
        <f>E8/100</f>
        <v>0</v>
      </c>
      <c r="E44" s="56">
        <f>MAX(C44:D44,0)</f>
        <v>0.31</v>
      </c>
      <c r="G44" s="1" t="str">
        <f>B44</f>
        <v>per 100 referrals</v>
      </c>
      <c r="L44" s="57">
        <v>100</v>
      </c>
      <c r="M44" s="57"/>
      <c r="R44" s="49"/>
    </row>
    <row r="45" spans="2:18" ht="15" hidden="1" customHeight="1" x14ac:dyDescent="0.25">
      <c r="B45" s="49" t="s">
        <v>89</v>
      </c>
      <c r="C45" s="49">
        <f>C11/100</f>
        <v>0.23</v>
      </c>
      <c r="D45" s="49">
        <f>E11/100</f>
        <v>0</v>
      </c>
      <c r="E45" s="56">
        <f>MAX(C45:D45,0)</f>
        <v>0.23</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5.133</v>
      </c>
      <c r="D48" s="56">
        <f>D42</f>
        <v>0</v>
      </c>
      <c r="E48" s="56">
        <f>MAX(C48:D48)</f>
        <v>5.133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0.28000000000000003</v>
      </c>
      <c r="D49" s="49">
        <f t="shared" si="9"/>
        <v>0</v>
      </c>
      <c r="E49" s="49">
        <f>MAX(C49:D49)</f>
        <v>0.28000000000000003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0.31</v>
      </c>
      <c r="D50" s="49">
        <f t="shared" si="9"/>
        <v>0</v>
      </c>
      <c r="E50" s="49">
        <f>MAX(C50:D50)</f>
        <v>0.31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5.133</v>
      </c>
      <c r="D54" s="56">
        <f>D48</f>
        <v>0</v>
      </c>
      <c r="E54" s="56">
        <f>MAX(C54:D54)</f>
        <v>5.133</v>
      </c>
      <c r="G54" s="1" t="str">
        <f>G48</f>
        <v>per 1000 youth</v>
      </c>
      <c r="L54" s="58">
        <f>L48</f>
        <v>1000</v>
      </c>
      <c r="M54" s="58"/>
    </row>
    <row r="55" spans="2:18" ht="15" hidden="1" customHeight="1" x14ac:dyDescent="0.25">
      <c r="B55" s="49" t="str">
        <f t="shared" ref="B55:D56" si="10">IF(($E49&gt;0),B49,B48)</f>
        <v>per 100 arrests</v>
      </c>
      <c r="C55" s="49">
        <f t="shared" si="10"/>
        <v>0.28000000000000003</v>
      </c>
      <c r="D55" s="49">
        <f t="shared" si="10"/>
        <v>0</v>
      </c>
      <c r="E55" s="49">
        <f>MAX(C55:D55)</f>
        <v>0.28000000000000003</v>
      </c>
      <c r="G55" s="1" t="str">
        <f>G49</f>
        <v>per 100 arrests</v>
      </c>
      <c r="L55" s="58">
        <f>IF(($E49&gt;0),L49,L48)</f>
        <v>100</v>
      </c>
      <c r="M55" s="58"/>
    </row>
    <row r="56" spans="2:18" ht="15" hidden="1" customHeight="1" x14ac:dyDescent="0.25">
      <c r="B56" s="49" t="str">
        <f t="shared" si="10"/>
        <v>per 100 referrals</v>
      </c>
      <c r="C56" s="49">
        <f t="shared" si="10"/>
        <v>0.31</v>
      </c>
      <c r="D56" s="49">
        <f t="shared" si="10"/>
        <v>0</v>
      </c>
      <c r="E56" s="49">
        <f>MAX(C56:D56)</f>
        <v>0.31</v>
      </c>
      <c r="G56" s="1" t="str">
        <f>G50</f>
        <v>per 100 referrals</v>
      </c>
      <c r="L56" s="58">
        <f>IF(($E50&gt;0),L50,L49)</f>
        <v>100</v>
      </c>
      <c r="M56" s="58"/>
    </row>
    <row r="57" spans="2:18" ht="15" hidden="1" customHeight="1" x14ac:dyDescent="0.25">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5.133</v>
      </c>
      <c r="D60" s="56">
        <f>D54</f>
        <v>0</v>
      </c>
      <c r="E60" s="56">
        <f>MAX(C60:D60)</f>
        <v>5.133</v>
      </c>
      <c r="G60" s="1" t="str">
        <f>G54</f>
        <v>per 1000 youth</v>
      </c>
      <c r="L60" s="58">
        <f>L54</f>
        <v>1000</v>
      </c>
      <c r="M60" s="58"/>
    </row>
    <row r="61" spans="2:18" ht="15" hidden="1" customHeight="1" x14ac:dyDescent="0.25">
      <c r="B61" s="49" t="str">
        <f t="shared" ref="B61:D62" si="11">IF(($E55&gt;0),B55,B54)</f>
        <v>per 100 arrests</v>
      </c>
      <c r="C61" s="49">
        <f t="shared" si="11"/>
        <v>0.28000000000000003</v>
      </c>
      <c r="D61" s="49">
        <f t="shared" si="11"/>
        <v>0</v>
      </c>
      <c r="E61" s="49">
        <f>MAX(C61:D61)</f>
        <v>0.28000000000000003</v>
      </c>
      <c r="G61" s="1" t="str">
        <f>G55</f>
        <v>per 100 arrests</v>
      </c>
      <c r="L61" s="58">
        <f>IF(($E55&gt;0),L55,L54)</f>
        <v>100</v>
      </c>
      <c r="M61" s="58"/>
    </row>
    <row r="62" spans="2:18" ht="15" hidden="1" customHeight="1" x14ac:dyDescent="0.25">
      <c r="B62" s="49" t="str">
        <f t="shared" si="11"/>
        <v>per 100 referrals</v>
      </c>
      <c r="C62" s="49">
        <f t="shared" si="11"/>
        <v>0.31</v>
      </c>
      <c r="D62" s="49">
        <f t="shared" si="11"/>
        <v>0</v>
      </c>
      <c r="E62" s="49">
        <f>MAX(C62:D62)</f>
        <v>0.31</v>
      </c>
      <c r="G62" s="1" t="str">
        <f>G56</f>
        <v>per 100 referrals</v>
      </c>
      <c r="L62" s="58">
        <f>IF(($E56&gt;0),L56,L55)</f>
        <v>100</v>
      </c>
      <c r="M62" s="58"/>
    </row>
    <row r="63" spans="2:18" ht="15" hidden="1" customHeight="1" x14ac:dyDescent="0.25">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5.133</v>
      </c>
      <c r="D66" s="56">
        <f>D60</f>
        <v>0</v>
      </c>
      <c r="E66" s="56">
        <f>MAX(C66:D66)</f>
        <v>5.133</v>
      </c>
      <c r="G66" s="1" t="str">
        <f>G60</f>
        <v>per 1000 youth</v>
      </c>
      <c r="L66" s="58">
        <f>L60</f>
        <v>1000</v>
      </c>
      <c r="M66" s="58">
        <f>IF((B66=G66),1,2)</f>
        <v>1</v>
      </c>
    </row>
    <row r="67" spans="2:13" ht="15" hidden="1" customHeight="1" x14ac:dyDescent="0.25">
      <c r="B67" s="49" t="str">
        <f t="shared" ref="B67:D68" si="12">IF(($E61&gt;0),B61,B60)</f>
        <v>per 100 arrests</v>
      </c>
      <c r="C67" s="49">
        <f t="shared" si="12"/>
        <v>0.28000000000000003</v>
      </c>
      <c r="D67" s="49">
        <f t="shared" si="12"/>
        <v>0</v>
      </c>
      <c r="E67" s="49">
        <f>MAX(C67:D67)</f>
        <v>0.28000000000000003</v>
      </c>
      <c r="G67" s="1" t="str">
        <f>G61</f>
        <v>per 100 arrests</v>
      </c>
      <c r="L67" s="58">
        <f>IF(($E61&gt;0),L61,L60)</f>
        <v>100</v>
      </c>
      <c r="M67" s="58">
        <f>IF((B67=G67),1,2)</f>
        <v>1</v>
      </c>
    </row>
    <row r="68" spans="2:13" ht="15" hidden="1" customHeight="1" x14ac:dyDescent="0.25">
      <c r="B68" s="49" t="str">
        <f t="shared" si="12"/>
        <v>per 100 referrals</v>
      </c>
      <c r="C68" s="49">
        <f t="shared" si="12"/>
        <v>0.31</v>
      </c>
      <c r="D68" s="49">
        <f t="shared" si="12"/>
        <v>0</v>
      </c>
      <c r="E68" s="49">
        <f>MAX(C68:D68)</f>
        <v>0.31</v>
      </c>
      <c r="G68" s="1" t="str">
        <f>G62</f>
        <v>per 100 referrals</v>
      </c>
      <c r="L68" s="58">
        <f>IF(($E62&gt;0),L62,L61)</f>
        <v>100</v>
      </c>
      <c r="M68" s="58">
        <f>IF((B68=G68),1,2)</f>
        <v>1</v>
      </c>
    </row>
    <row r="69" spans="2:13" ht="15" hidden="1" customHeight="1" x14ac:dyDescent="0.25">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Montcalm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5133</v>
      </c>
      <c r="D6" s="34"/>
      <c r="E6" s="33">
        <f>'Data Entry'!J6</f>
        <v>533</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28</v>
      </c>
      <c r="D7" s="34">
        <f>IF((AND(C66&gt;0,C7&gt;0)),(C7/C66),0)</f>
        <v>5.4548996688096629</v>
      </c>
      <c r="E7" s="33">
        <f>'Data Entry'!J7</f>
        <v>3</v>
      </c>
      <c r="F7" s="34">
        <f>IF((AND($E$7&gt;0,$D$66&gt;0)),($E$7/$D$66),0)</f>
        <v>5.6285178236397746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530</v>
      </c>
      <c r="P7" s="42">
        <f t="shared" ref="P7:P15" si="4">C7</f>
        <v>28</v>
      </c>
      <c r="Q7" s="42">
        <f>C6-C7</f>
        <v>5105</v>
      </c>
      <c r="R7" s="42">
        <f t="shared" ref="R7:R15" si="5">SUM(N7:Q7)</f>
        <v>5666</v>
      </c>
      <c r="S7" s="30">
        <f t="shared" ref="S7:S15" si="6">R7*((((N7*Q7)-(O7*P7))^2))</f>
        <v>1278391250</v>
      </c>
      <c r="T7" s="30">
        <f t="shared" ref="T7:T15" si="7">(N7+O7)*(P7+Q7)*(N7+P7)*(O7+Q7)</f>
        <v>477918769965</v>
      </c>
      <c r="U7" s="31">
        <f t="shared" ref="U7:U15" si="8">IF((S7&gt;0),S7/T7,"- -")</f>
        <v>2.674913249575073E-3</v>
      </c>
    </row>
    <row r="8" spans="2:21" ht="18" customHeight="1" x14ac:dyDescent="0.25">
      <c r="B8" s="32" t="str">
        <f>'Data Entry'!A8</f>
        <v>3. Refer to Juvenile Court</v>
      </c>
      <c r="C8" s="33">
        <f>'Data Entry'!C8</f>
        <v>31</v>
      </c>
      <c r="D8" s="34">
        <f>IF((AND(C67&gt;0,C8&gt;0)),(C8/C67),0)</f>
        <v>110.71428571428571</v>
      </c>
      <c r="E8" s="33">
        <f>'Data Entry'!J8</f>
        <v>0</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0</v>
      </c>
      <c r="O8" s="42">
        <f>((D67*L67)-E8)+0.05</f>
        <v>3.05</v>
      </c>
      <c r="P8" s="42">
        <f t="shared" si="4"/>
        <v>31</v>
      </c>
      <c r="Q8" s="42">
        <f>(C$67*L67)-C8</f>
        <v>-2.9999999999999964</v>
      </c>
      <c r="R8" s="42">
        <f t="shared" si="5"/>
        <v>31.05</v>
      </c>
      <c r="S8" s="30">
        <f t="shared" si="6"/>
        <v>277577.76262499997</v>
      </c>
      <c r="T8" s="30">
        <f t="shared" si="7"/>
        <v>132.37000000000893</v>
      </c>
      <c r="U8" s="31">
        <f t="shared" si="8"/>
        <v>2096.9839285712869</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31</v>
      </c>
      <c r="R9" s="42">
        <f t="shared" si="5"/>
        <v>31</v>
      </c>
      <c r="S9" s="30">
        <f t="shared" si="6"/>
        <v>0</v>
      </c>
      <c r="T9" s="30">
        <f t="shared" si="7"/>
        <v>0</v>
      </c>
      <c r="U9" s="31" t="str">
        <f t="shared" si="8"/>
        <v>- -</v>
      </c>
    </row>
    <row r="10" spans="2:21" ht="18" customHeight="1" x14ac:dyDescent="0.25">
      <c r="B10" s="32" t="str">
        <f>'Data Entry'!A10</f>
        <v>5. Cases Involving Secure Detention</v>
      </c>
      <c r="C10" s="33">
        <f>'Data Entry'!C10</f>
        <v>12</v>
      </c>
      <c r="D10" s="34">
        <f>IF(((AND(C68&gt;0,C10&gt;0))),(C10/(C68)),0)</f>
        <v>38.70967741935484</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12</v>
      </c>
      <c r="Q10" s="42">
        <f>(C$68*L68)-C10</f>
        <v>19</v>
      </c>
      <c r="R10" s="42">
        <f t="shared" si="5"/>
        <v>31</v>
      </c>
      <c r="S10" s="30">
        <f t="shared" si="6"/>
        <v>0</v>
      </c>
      <c r="T10" s="30">
        <f t="shared" si="7"/>
        <v>0</v>
      </c>
      <c r="U10" s="31" t="str">
        <f t="shared" si="8"/>
        <v>- -</v>
      </c>
    </row>
    <row r="11" spans="2:21" ht="18" customHeight="1" x14ac:dyDescent="0.25">
      <c r="B11" s="32" t="str">
        <f>'Data Entry'!A11</f>
        <v>6. Cases Petitioned (Charge Filed)</v>
      </c>
      <c r="C11" s="33">
        <f>'Data Entry'!C11</f>
        <v>23</v>
      </c>
      <c r="D11" s="34">
        <f>IF(((AND(C68&gt;0,C11&gt;0))),(C11/(C68)),0)</f>
        <v>74.193548387096769</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8</v>
      </c>
      <c r="R11" s="42">
        <f t="shared" si="5"/>
        <v>31</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43.478260869565219</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13</v>
      </c>
      <c r="R12" s="42">
        <f t="shared" si="5"/>
        <v>23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9</v>
      </c>
      <c r="D14" s="34">
        <f>IF(((AND(C70&gt;0,C14&gt;0))), ((C14/(C70))),0)</f>
        <v>90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1</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5.133</v>
      </c>
      <c r="D42" s="56">
        <f>E6/1000</f>
        <v>0.53300000000000003</v>
      </c>
      <c r="E42" s="56">
        <f>MAX(C42:D42)</f>
        <v>5.133</v>
      </c>
      <c r="G42" s="1" t="str">
        <f>B42</f>
        <v>per 1000 youth</v>
      </c>
      <c r="L42" s="57">
        <v>1000</v>
      </c>
      <c r="M42" s="57"/>
      <c r="R42" s="49"/>
    </row>
    <row r="43" spans="2:18" ht="15" hidden="1" customHeight="1" x14ac:dyDescent="0.25">
      <c r="B43" s="49" t="s">
        <v>87</v>
      </c>
      <c r="C43" s="56">
        <f>C7/100</f>
        <v>0.28000000000000003</v>
      </c>
      <c r="D43" s="56">
        <f>E7/100</f>
        <v>0.03</v>
      </c>
      <c r="E43" s="56">
        <f>MAX(C43:D43,0)</f>
        <v>0.28000000000000003</v>
      </c>
      <c r="G43" s="1" t="str">
        <f>B43</f>
        <v>per 100 arrests</v>
      </c>
      <c r="L43" s="57">
        <v>100</v>
      </c>
      <c r="M43" s="57"/>
      <c r="R43" s="49"/>
    </row>
    <row r="44" spans="2:18" ht="15" hidden="1" customHeight="1" x14ac:dyDescent="0.25">
      <c r="B44" s="49" t="s">
        <v>88</v>
      </c>
      <c r="C44" s="56">
        <f>C8/100</f>
        <v>0.31</v>
      </c>
      <c r="D44" s="56">
        <f>E8/100</f>
        <v>0</v>
      </c>
      <c r="E44" s="56">
        <f>MAX(C44:D44,0)</f>
        <v>0.31</v>
      </c>
      <c r="G44" s="1" t="str">
        <f>B44</f>
        <v>per 100 referrals</v>
      </c>
      <c r="L44" s="57">
        <v>100</v>
      </c>
      <c r="M44" s="57"/>
      <c r="R44" s="49"/>
    </row>
    <row r="45" spans="2:18" ht="15" hidden="1" customHeight="1" x14ac:dyDescent="0.25">
      <c r="B45" s="49" t="s">
        <v>89</v>
      </c>
      <c r="C45" s="49">
        <f>C11/100</f>
        <v>0.23</v>
      </c>
      <c r="D45" s="49">
        <f>E11/100</f>
        <v>0</v>
      </c>
      <c r="E45" s="56">
        <f>MAX(C45:D45,0)</f>
        <v>0.23</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5.133</v>
      </c>
      <c r="D48" s="56">
        <f>D42</f>
        <v>0.53300000000000003</v>
      </c>
      <c r="E48" s="56">
        <f>MAX(C48:D48)</f>
        <v>5.133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0.28000000000000003</v>
      </c>
      <c r="D49" s="49">
        <f t="shared" si="9"/>
        <v>0.03</v>
      </c>
      <c r="E49" s="49">
        <f>MAX(C49:D49)</f>
        <v>0.28000000000000003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0.31</v>
      </c>
      <c r="D50" s="49">
        <f t="shared" si="9"/>
        <v>0</v>
      </c>
      <c r="E50" s="49">
        <f>MAX(C50:D50)</f>
        <v>0.31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5.133</v>
      </c>
      <c r="D54" s="56">
        <f>D48</f>
        <v>0.53300000000000003</v>
      </c>
      <c r="E54" s="56">
        <f>MAX(C54:D54)</f>
        <v>5.133</v>
      </c>
      <c r="G54" s="1" t="str">
        <f>G48</f>
        <v>per 1000 youth</v>
      </c>
      <c r="L54" s="58">
        <f>L48</f>
        <v>1000</v>
      </c>
      <c r="M54" s="58"/>
    </row>
    <row r="55" spans="2:18" ht="15" hidden="1" customHeight="1" x14ac:dyDescent="0.25">
      <c r="B55" s="49" t="str">
        <f t="shared" ref="B55:D56" si="10">IF(($E49&gt;0),B49,B48)</f>
        <v>per 100 arrests</v>
      </c>
      <c r="C55" s="49">
        <f t="shared" si="10"/>
        <v>0.28000000000000003</v>
      </c>
      <c r="D55" s="49">
        <f t="shared" si="10"/>
        <v>0.03</v>
      </c>
      <c r="E55" s="49">
        <f>MAX(C55:D55)</f>
        <v>0.28000000000000003</v>
      </c>
      <c r="G55" s="1" t="str">
        <f>G49</f>
        <v>per 100 arrests</v>
      </c>
      <c r="L55" s="58">
        <f>IF(($E49&gt;0),L49,L48)</f>
        <v>100</v>
      </c>
      <c r="M55" s="58"/>
    </row>
    <row r="56" spans="2:18" ht="15" hidden="1" customHeight="1" x14ac:dyDescent="0.25">
      <c r="B56" s="49" t="str">
        <f t="shared" si="10"/>
        <v>per 100 referrals</v>
      </c>
      <c r="C56" s="49">
        <f t="shared" si="10"/>
        <v>0.31</v>
      </c>
      <c r="D56" s="49">
        <f t="shared" si="10"/>
        <v>0</v>
      </c>
      <c r="E56" s="49">
        <f>MAX(C56:D56)</f>
        <v>0.31</v>
      </c>
      <c r="G56" s="1" t="str">
        <f>G50</f>
        <v>per 100 referrals</v>
      </c>
      <c r="L56" s="58">
        <f>IF(($E50&gt;0),L50,L49)</f>
        <v>100</v>
      </c>
      <c r="M56" s="58"/>
    </row>
    <row r="57" spans="2:18" ht="15" hidden="1" customHeight="1" x14ac:dyDescent="0.25">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5.133</v>
      </c>
      <c r="D60" s="56">
        <f>D54</f>
        <v>0.53300000000000003</v>
      </c>
      <c r="E60" s="56">
        <f>MAX(C60:D60)</f>
        <v>5.133</v>
      </c>
      <c r="G60" s="1" t="str">
        <f>G54</f>
        <v>per 1000 youth</v>
      </c>
      <c r="L60" s="58">
        <f>L54</f>
        <v>1000</v>
      </c>
      <c r="M60" s="58"/>
    </row>
    <row r="61" spans="2:18" ht="15" hidden="1" customHeight="1" x14ac:dyDescent="0.25">
      <c r="B61" s="49" t="str">
        <f t="shared" ref="B61:D62" si="11">IF(($E55&gt;0),B55,B54)</f>
        <v>per 100 arrests</v>
      </c>
      <c r="C61" s="49">
        <f t="shared" si="11"/>
        <v>0.28000000000000003</v>
      </c>
      <c r="D61" s="49">
        <f t="shared" si="11"/>
        <v>0.03</v>
      </c>
      <c r="E61" s="49">
        <f>MAX(C61:D61)</f>
        <v>0.28000000000000003</v>
      </c>
      <c r="G61" s="1" t="str">
        <f>G55</f>
        <v>per 100 arrests</v>
      </c>
      <c r="L61" s="58">
        <f>IF(($E55&gt;0),L55,L54)</f>
        <v>100</v>
      </c>
      <c r="M61" s="58"/>
    </row>
    <row r="62" spans="2:18" ht="15" hidden="1" customHeight="1" x14ac:dyDescent="0.25">
      <c r="B62" s="49" t="str">
        <f t="shared" si="11"/>
        <v>per 100 referrals</v>
      </c>
      <c r="C62" s="49">
        <f t="shared" si="11"/>
        <v>0.31</v>
      </c>
      <c r="D62" s="49">
        <f t="shared" si="11"/>
        <v>0</v>
      </c>
      <c r="E62" s="49">
        <f>MAX(C62:D62)</f>
        <v>0.31</v>
      </c>
      <c r="G62" s="1" t="str">
        <f>G56</f>
        <v>per 100 referrals</v>
      </c>
      <c r="L62" s="58">
        <f>IF(($E56&gt;0),L56,L55)</f>
        <v>100</v>
      </c>
      <c r="M62" s="58"/>
    </row>
    <row r="63" spans="2:18" ht="15" hidden="1" customHeight="1" x14ac:dyDescent="0.25">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5.133</v>
      </c>
      <c r="D66" s="56">
        <f>D60</f>
        <v>0.53300000000000003</v>
      </c>
      <c r="E66" s="56">
        <f>MAX(C66:D66)</f>
        <v>5.133</v>
      </c>
      <c r="G66" s="1" t="str">
        <f>G60</f>
        <v>per 1000 youth</v>
      </c>
      <c r="L66" s="58">
        <f>L60</f>
        <v>1000</v>
      </c>
      <c r="M66" s="58">
        <f>IF((B66=G66),1,2)</f>
        <v>1</v>
      </c>
    </row>
    <row r="67" spans="2:13" ht="15" hidden="1" customHeight="1" x14ac:dyDescent="0.25">
      <c r="B67" s="49" t="str">
        <f t="shared" ref="B67:D68" si="12">IF(($E61&gt;0),B61,B60)</f>
        <v>per 100 arrests</v>
      </c>
      <c r="C67" s="49">
        <f t="shared" si="12"/>
        <v>0.28000000000000003</v>
      </c>
      <c r="D67" s="49">
        <f t="shared" si="12"/>
        <v>0.03</v>
      </c>
      <c r="E67" s="49">
        <f>MAX(C67:D67)</f>
        <v>0.28000000000000003</v>
      </c>
      <c r="G67" s="1" t="str">
        <f>G61</f>
        <v>per 100 arrests</v>
      </c>
      <c r="L67" s="58">
        <f>IF(($E61&gt;0),L61,L60)</f>
        <v>100</v>
      </c>
      <c r="M67" s="58">
        <f>IF((B67=G67),1,2)</f>
        <v>1</v>
      </c>
    </row>
    <row r="68" spans="2:13" ht="15" hidden="1" customHeight="1" x14ac:dyDescent="0.25">
      <c r="B68" s="49" t="str">
        <f t="shared" si="12"/>
        <v>per 100 referrals</v>
      </c>
      <c r="C68" s="49">
        <f t="shared" si="12"/>
        <v>0.31</v>
      </c>
      <c r="D68" s="49">
        <f t="shared" si="12"/>
        <v>0</v>
      </c>
      <c r="E68" s="49">
        <f>MAX(C68:D68)</f>
        <v>0.31</v>
      </c>
      <c r="G68" s="1" t="str">
        <f>G62</f>
        <v>per 100 referrals</v>
      </c>
      <c r="L68" s="58">
        <f>IF(($E62&gt;0),L62,L61)</f>
        <v>100</v>
      </c>
      <c r="M68" s="58">
        <f>IF((B68=G68),1,2)</f>
        <v>1</v>
      </c>
    </row>
    <row r="69" spans="2:13" ht="15" hidden="1" customHeight="1" x14ac:dyDescent="0.25">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Montcalm</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#DIV/0!</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119</v>
      </c>
      <c r="P8" s="1">
        <f>'Am Indian'!L8</f>
        <v>139</v>
      </c>
      <c r="Q8" s="1">
        <f>'Other - Mixed'!L8</f>
        <v>139</v>
      </c>
      <c r="R8" s="1">
        <f>'All Minorities'!L8</f>
        <v>20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5666</v>
      </c>
      <c r="D3" s="57">
        <f>'Data Entry'!C6</f>
        <v>5133</v>
      </c>
      <c r="E3" s="57">
        <f>'Data Entry'!D6</f>
        <v>99</v>
      </c>
      <c r="F3" s="57">
        <f>'Data Entry'!E6</f>
        <v>377</v>
      </c>
      <c r="G3" s="57">
        <f>'Data Entry'!F6</f>
        <v>25</v>
      </c>
      <c r="H3" s="57">
        <f>'Data Entry'!G6</f>
        <v>0</v>
      </c>
      <c r="I3" s="57">
        <f>'Data Entry'!H6</f>
        <v>32</v>
      </c>
      <c r="J3" s="57">
        <f>'Data Entry'!I6</f>
        <v>0</v>
      </c>
      <c r="K3" s="57">
        <f>'Data Entry'!J6</f>
        <v>533</v>
      </c>
    </row>
    <row r="4" spans="2:11" ht="15" customHeight="1" x14ac:dyDescent="0.25">
      <c r="B4" s="16" t="s">
        <v>8</v>
      </c>
      <c r="C4" s="1">
        <f>IF((C$3&gt;0),(1000*('Data Entry'!B7/'Data Entry'!B$6)), 0)</f>
        <v>5.6477232615601833</v>
      </c>
      <c r="D4" s="1">
        <f>IF((D$3&gt;0),(1000*('Data Entry'!C7/'Data Entry'!C$6)), 0)</f>
        <v>5.4548996688096629</v>
      </c>
      <c r="E4" s="1">
        <f>IF((E$3&gt;0),(1000*('Data Entry'!D7/'Data Entry'!D$6)), 0)</f>
        <v>20.202020202020204</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5.6285178236397746</v>
      </c>
    </row>
    <row r="5" spans="2:11" ht="15" customHeight="1" x14ac:dyDescent="0.25">
      <c r="B5" s="16" t="s">
        <v>9</v>
      </c>
      <c r="C5" s="1">
        <f>IF((C$3&gt;0),(1000*('Data Entry'!B8/'Data Entry'!B$6)), 0)</f>
        <v>23.826332509707026</v>
      </c>
      <c r="D5" s="1">
        <f>IF((D$3&gt;0),(1000*('Data Entry'!C8/'Data Entry'!C$6)), 0)</f>
        <v>6.0393532047535547</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2.8238616307800917</v>
      </c>
      <c r="D7" s="1">
        <f>IF((D$3&gt;0),(1000*('Data Entry'!C10/'Data Entry'!C$6)), 0)</f>
        <v>2.3378141437755695</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17.649135192375574</v>
      </c>
      <c r="D8" s="1">
        <f>IF((D$3&gt;0),(1000*('Data Entry'!C11/'Data Entry'!C$6)), 0)</f>
        <v>4.4808104422365087</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5.6477232615601833</v>
      </c>
      <c r="D9" s="1">
        <f>IF((D$3&gt;0),(1000*('Data Entry'!C12/'Data Entry'!C$6)), 0)</f>
        <v>1.9481784531463082</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1.4119308153900458</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3.5298270384751147</v>
      </c>
      <c r="D11" s="1">
        <f>IF((D$3&gt;0),(1000*('Data Entry'!C14/'Data Entry'!C$6)), 0)</f>
        <v>1.7533606078316775</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Montcalm</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3.7034632034632038</v>
      </c>
      <c r="E19" s="72" t="str">
        <f t="shared" si="1"/>
        <v>--</v>
      </c>
      <c r="F19" s="72" t="str">
        <f t="shared" si="1"/>
        <v>--</v>
      </c>
      <c r="G19" s="72" t="str">
        <f t="shared" si="1"/>
        <v>--</v>
      </c>
      <c r="H19" s="72" t="str">
        <f t="shared" si="1"/>
        <v>--</v>
      </c>
      <c r="I19" s="72" t="str">
        <f t="shared" si="1"/>
        <v>--</v>
      </c>
      <c r="J19" s="73">
        <f t="shared" si="1"/>
        <v>1.0318279281693916</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Montcalm</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5133</v>
      </c>
      <c r="D7" s="105">
        <f>'Data Entry'!D6</f>
        <v>99</v>
      </c>
      <c r="E7" s="106"/>
      <c r="F7" s="107">
        <f>'Data Entry'!E6</f>
        <v>377</v>
      </c>
      <c r="G7" s="106"/>
      <c r="H7" s="107">
        <f>'Data Entry'!F6</f>
        <v>25</v>
      </c>
      <c r="I7" s="106"/>
      <c r="J7" s="107">
        <f>'Data Entry'!G6</f>
        <v>0</v>
      </c>
      <c r="K7" s="106"/>
      <c r="L7" s="107">
        <f>'Data Entry'!H6</f>
        <v>32</v>
      </c>
      <c r="M7" s="106"/>
      <c r="N7" s="107">
        <f>'Data Entry'!I6</f>
        <v>0</v>
      </c>
      <c r="O7" s="106"/>
      <c r="P7" s="107">
        <f>'Data Entry'!J6</f>
        <v>533</v>
      </c>
      <c r="Q7" s="108"/>
    </row>
    <row r="8" spans="2:26" s="1" customFormat="1" ht="15" customHeight="1" x14ac:dyDescent="0.3">
      <c r="B8" s="149" t="s">
        <v>8</v>
      </c>
      <c r="C8" s="104">
        <f>'Data Entry'!C7</f>
        <v>28</v>
      </c>
      <c r="D8" s="105">
        <f>'Data Entry'!D7</f>
        <v>2</v>
      </c>
      <c r="E8" s="106" t="str">
        <f>'Black or African-American'!$G7</f>
        <v>**</v>
      </c>
      <c r="F8" s="107">
        <f>'Data Entry'!E7</f>
        <v>0</v>
      </c>
      <c r="G8" s="106" t="str">
        <f>Hispanic!G7</f>
        <v>**</v>
      </c>
      <c r="H8" s="107">
        <f>'Data Entry'!F7</f>
        <v>0</v>
      </c>
      <c r="I8" s="106" t="str">
        <f>Asian!G7</f>
        <v>*</v>
      </c>
      <c r="J8" s="107">
        <f>'Data Entry'!G7</f>
        <v>1</v>
      </c>
      <c r="K8" s="106" t="str">
        <f>Hawaiian!G7</f>
        <v>*</v>
      </c>
      <c r="L8" s="107">
        <f>'Data Entry'!H7</f>
        <v>0</v>
      </c>
      <c r="M8" s="106" t="str">
        <f>'Am Indian'!G7</f>
        <v>*</v>
      </c>
      <c r="N8" s="107">
        <f>'Data Entry'!I7</f>
        <v>0</v>
      </c>
      <c r="O8" s="106" t="str">
        <f>'Other - Mixed'!G7</f>
        <v>*</v>
      </c>
      <c r="P8" s="107">
        <f>'Data Entry'!J7</f>
        <v>3</v>
      </c>
      <c r="Q8" s="108" t="str">
        <f>'All Minorities'!G7</f>
        <v>**</v>
      </c>
      <c r="R8"/>
      <c r="T8" s="1">
        <f>'Black or African-American'!L7</f>
        <v>40</v>
      </c>
      <c r="U8" s="1">
        <f>Hispanic!L7</f>
        <v>40</v>
      </c>
      <c r="V8" s="1">
        <f>Asian!L7</f>
        <v>139</v>
      </c>
      <c r="W8" s="1" t="e">
        <f>Hawaiian!L7</f>
        <v>#DIV/0!</v>
      </c>
      <c r="X8" s="1">
        <f>'Am Indian'!L7</f>
        <v>139</v>
      </c>
      <c r="Y8" s="1" t="e">
        <f>'Other - Mixed'!L7</f>
        <v>#VALUE!</v>
      </c>
      <c r="Z8" s="1">
        <f>'All Minorities'!L7</f>
        <v>40</v>
      </c>
    </row>
    <row r="9" spans="2:26" s="1" customFormat="1" ht="15" customHeight="1" x14ac:dyDescent="0.3">
      <c r="B9" s="149" t="s">
        <v>134</v>
      </c>
      <c r="C9" s="104">
        <f>'Data Entry'!C8</f>
        <v>31</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f>'Black or African-American'!L8</f>
        <v>20</v>
      </c>
      <c r="U9" s="1">
        <f>Hispanic!L8</f>
        <v>40</v>
      </c>
      <c r="V9" s="1">
        <f>Asian!L8</f>
        <v>139</v>
      </c>
      <c r="W9" s="1">
        <f>Hawaiian!L8</f>
        <v>119</v>
      </c>
      <c r="X9" s="1">
        <f>'Am Indian'!L8</f>
        <v>139</v>
      </c>
      <c r="Y9" s="1">
        <f>'Other - Mixed'!L8</f>
        <v>139</v>
      </c>
      <c r="Z9" s="1">
        <f>'All Minorities'!L8</f>
        <v>20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12</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23</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10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9</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Montcalm</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Montcalm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9.630393996247653</v>
      </c>
    </row>
    <row r="8" spans="1:12" ht="25.5" customHeight="1" x14ac:dyDescent="0.2">
      <c r="A8" s="158" t="str">
        <f>CONCATENATE("Confinement, total N=", 'Data Entry'!B14)</f>
        <v>Confinement, total N=20</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0.45</v>
      </c>
      <c r="K8" s="97" t="str">
        <f>A8</f>
        <v>Confinement, total N=20</v>
      </c>
      <c r="L8">
        <f>I14/(SUM(B14:G14))</f>
        <v>9.630393996247653</v>
      </c>
    </row>
    <row r="9" spans="1:12" x14ac:dyDescent="0.2">
      <c r="A9" s="132" t="str">
        <f>CONCATENATE("Delinquent Findings, total N=", 'Data Entry'!B12)</f>
        <v>Delinquent Findings, total N=32</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0.3125</v>
      </c>
      <c r="K9" s="97" t="str">
        <f t="shared" si="0"/>
        <v>Delinquent Findings, total N=32</v>
      </c>
      <c r="L9">
        <f>I14/(SUM(B14:G14))</f>
        <v>9.630393996247653</v>
      </c>
    </row>
    <row r="10" spans="1:12" x14ac:dyDescent="0.2">
      <c r="A10" s="132" t="str">
        <f>CONCATENATE("Petitions, total N=", 'Data Entry'!B11)</f>
        <v>Petitions, total N=100</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0.23</v>
      </c>
      <c r="K10" s="97" t="str">
        <f t="shared" si="0"/>
        <v>Petitions, total N=100</v>
      </c>
      <c r="L10">
        <f>I14/(SUM(B14:G14))</f>
        <v>9.630393996247653</v>
      </c>
    </row>
    <row r="11" spans="1:12" x14ac:dyDescent="0.2">
      <c r="A11" s="132" t="str">
        <f>CONCATENATE("Detentions, total N=", 'Data Entry'!B10)</f>
        <v>Detentions, total N=16</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0.75</v>
      </c>
      <c r="K11" s="97" t="str">
        <f t="shared" si="0"/>
        <v>Detentions, total N=16</v>
      </c>
      <c r="L11">
        <f>I14/(SUM(B14:G14))</f>
        <v>9.630393996247653</v>
      </c>
    </row>
    <row r="12" spans="1:12" x14ac:dyDescent="0.2">
      <c r="A12" s="132" t="str">
        <f>CONCATENATE("Referrals, total N=", 'Data Entry'!B8)</f>
        <v>Referrals, total N=135</v>
      </c>
      <c r="B12" s="157">
        <f>'Data Entry'!D8/'Data Entry'!B8</f>
        <v>0</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0.22962962962962963</v>
      </c>
      <c r="K12" s="97" t="str">
        <f t="shared" si="0"/>
        <v>Referrals, total N=135</v>
      </c>
      <c r="L12">
        <f>I14/(SUM(B14:G14))</f>
        <v>9.630393996247653</v>
      </c>
    </row>
    <row r="13" spans="1:12" x14ac:dyDescent="0.2">
      <c r="A13" s="132" t="str">
        <f>CONCATENATE("Arrests, total N=", 'Data Entry'!B7)</f>
        <v>Arrests, total N=32</v>
      </c>
      <c r="B13" s="157">
        <f>'Data Entry'!D7/'Data Entry'!B7</f>
        <v>6.25E-2</v>
      </c>
      <c r="C13" s="157">
        <f>'Data Entry'!E7/'Data Entry'!B7</f>
        <v>0</v>
      </c>
      <c r="D13" s="157">
        <f>'Data Entry'!F7/'Data Entry'!B7</f>
        <v>0</v>
      </c>
      <c r="E13" s="157">
        <f>'Data Entry'!G7/'Data Entry'!B7</f>
        <v>3.125E-2</v>
      </c>
      <c r="F13" s="157">
        <f>'Data Entry'!H7/'Data Entry'!B7</f>
        <v>0</v>
      </c>
      <c r="G13" s="157">
        <f>'Data Entry'!I7/'Data Entry'!B7</f>
        <v>0</v>
      </c>
      <c r="H13" s="157">
        <f>SUM(D13:G13)/'Data Entry'!B7</f>
        <v>9.765625E-4</v>
      </c>
      <c r="I13" s="157">
        <f>'Data Entry'!C7/'Data Entry'!B7</f>
        <v>0.875</v>
      </c>
      <c r="K13" s="97" t="str">
        <f t="shared" si="0"/>
        <v>Arrests, total N=32</v>
      </c>
      <c r="L13">
        <f>I14/(SUM(B14:G14))</f>
        <v>9.630393996247653</v>
      </c>
    </row>
    <row r="14" spans="1:12" x14ac:dyDescent="0.2">
      <c r="A14" s="132" t="str">
        <f>CONCATENATE("Population, total N=", 'Data Entry'!B6)</f>
        <v>Population, total N=5666</v>
      </c>
      <c r="B14" s="157">
        <f>'Data Entry'!D6/'Data Entry'!B6</f>
        <v>1.7472643840451819E-2</v>
      </c>
      <c r="C14" s="157">
        <f>'Data Entry'!E6/'Data Entry'!B6</f>
        <v>6.6537239675255919E-2</v>
      </c>
      <c r="D14" s="157">
        <f>'Data Entry'!F6/'Data Entry'!B6</f>
        <v>4.4122837980938934E-3</v>
      </c>
      <c r="E14" s="157">
        <f>'Data Entry'!G6/'Data Entry'!B6</f>
        <v>0</v>
      </c>
      <c r="F14" s="157">
        <f>'Data Entry'!H6/'Data Entry'!B6</f>
        <v>5.6477232615601836E-3</v>
      </c>
      <c r="G14" s="157">
        <f>'Data Entry'!I6/'Data Entry'!B6</f>
        <v>0</v>
      </c>
      <c r="H14" s="157">
        <f>SUM(D14:G14)/'Data Entry'!B6</f>
        <v>1.7755042463208746E-6</v>
      </c>
      <c r="I14" s="157">
        <f>'Data Entry'!C6/'Data Entry'!B6</f>
        <v>0.90593010942463814</v>
      </c>
      <c r="K14" s="97" t="str">
        <f t="shared" si="0"/>
        <v>Population, total N=5666</v>
      </c>
      <c r="L14">
        <f>I14/(SUM(B14:G14))</f>
        <v>9.630393996247653</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Montcalm</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5133</v>
      </c>
      <c r="D7" s="105">
        <f>'Data Entry'!D6</f>
        <v>99</v>
      </c>
      <c r="E7" s="106"/>
      <c r="F7" s="107">
        <f>'Data Entry'!E6</f>
        <v>377</v>
      </c>
      <c r="G7" s="106"/>
      <c r="H7" s="107">
        <f>'Data Entry'!F6</f>
        <v>25</v>
      </c>
      <c r="I7" s="106"/>
      <c r="J7" s="107">
        <f>'Data Entry'!J6</f>
        <v>533</v>
      </c>
      <c r="K7" s="108"/>
    </row>
    <row r="8" spans="2:30" s="1" customFormat="1" ht="15" customHeight="1" x14ac:dyDescent="0.3">
      <c r="B8" s="125" t="s">
        <v>8</v>
      </c>
      <c r="C8" s="104">
        <f>'Data Entry'!C7</f>
        <v>28</v>
      </c>
      <c r="D8" s="105">
        <f>'Data Entry'!D7</f>
        <v>2</v>
      </c>
      <c r="E8" s="106" t="str">
        <f>'Black or African-American'!$G7</f>
        <v>**</v>
      </c>
      <c r="F8" s="107">
        <f>'Data Entry'!E7</f>
        <v>0</v>
      </c>
      <c r="G8" s="106" t="str">
        <f>Hispanic!G7</f>
        <v>**</v>
      </c>
      <c r="H8" s="107">
        <f>'Data Entry'!F7</f>
        <v>0</v>
      </c>
      <c r="I8" s="106" t="str">
        <f>Asian!G7</f>
        <v>*</v>
      </c>
      <c r="J8" s="107">
        <f>'Data Entry'!J7</f>
        <v>3</v>
      </c>
      <c r="K8" s="108" t="str">
        <f>'All Minorities'!G7</f>
        <v>**</v>
      </c>
      <c r="L8"/>
      <c r="N8" s="1">
        <f>'Black or African-American'!L7</f>
        <v>40</v>
      </c>
      <c r="O8" s="1">
        <f>Hispanic!L7</f>
        <v>40</v>
      </c>
      <c r="P8" s="1">
        <f>Asian!L7</f>
        <v>139</v>
      </c>
      <c r="Q8" s="1" t="e">
        <f>Hawaiian!L7</f>
        <v>#DIV/0!</v>
      </c>
      <c r="R8" s="1">
        <f>'Am Indian'!L7</f>
        <v>139</v>
      </c>
      <c r="S8" s="1" t="e">
        <f>'Other - Mixed'!L7</f>
        <v>#VALUE!</v>
      </c>
      <c r="T8" s="1">
        <f>'All Minorities'!L7</f>
        <v>40</v>
      </c>
    </row>
    <row r="9" spans="2:30" s="1" customFormat="1" ht="15" customHeight="1" x14ac:dyDescent="0.3">
      <c r="B9" s="125" t="s">
        <v>134</v>
      </c>
      <c r="C9" s="104">
        <f>'Data Entry'!C8</f>
        <v>31</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f>'Black or African-American'!L8</f>
        <v>20</v>
      </c>
      <c r="O9" s="1">
        <f>Hispanic!L8</f>
        <v>40</v>
      </c>
      <c r="P9" s="1">
        <f>Asian!L8</f>
        <v>139</v>
      </c>
      <c r="Q9" s="1">
        <f>Hawaiian!L8</f>
        <v>119</v>
      </c>
      <c r="R9" s="1">
        <f>'Am Indian'!L8</f>
        <v>139</v>
      </c>
      <c r="S9" s="1">
        <f>'Other - Mixed'!L8</f>
        <v>139</v>
      </c>
      <c r="T9" s="1">
        <f>'All Minorities'!L8</f>
        <v>20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12</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23</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10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9</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Montcalm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5133</v>
      </c>
      <c r="D6" s="34"/>
      <c r="E6" s="33">
        <f>'Data Entry'!D6</f>
        <v>99</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28</v>
      </c>
      <c r="D7" s="34">
        <f>IF((AND(C66&gt;0,C7&gt;0)),(C7/C66),0)</f>
        <v>5.4548996688096629</v>
      </c>
      <c r="E7" s="33">
        <f>'Data Entry'!D7</f>
        <v>2</v>
      </c>
      <c r="F7" s="34">
        <f>IF((AND($E$7&gt;0,$D$66&gt;0)),($E$7/$D$66),0)</f>
        <v>20.202020202020201</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2</v>
      </c>
      <c r="O7" s="42">
        <f>E6-E7</f>
        <v>97</v>
      </c>
      <c r="P7" s="42">
        <f t="shared" ref="P7:P15" si="2">C7</f>
        <v>28</v>
      </c>
      <c r="Q7" s="42">
        <f>C6-C7</f>
        <v>5105</v>
      </c>
      <c r="R7" s="42">
        <f t="shared" ref="R7:R15" si="3">SUM(N7:Q7)</f>
        <v>5232</v>
      </c>
      <c r="S7" s="30">
        <f t="shared" ref="S7:S15" si="4">R7*((((N7*Q7)-(O7*P7))^2))</f>
        <v>293829308352</v>
      </c>
      <c r="T7" s="30">
        <f t="shared" ref="T7:T15" si="5">(N7+O7)*(P7+Q7)*(N7+P7)*(O7+Q7)</f>
        <v>79304542020</v>
      </c>
      <c r="U7" s="31">
        <f t="shared" ref="U7:U15" si="6">IF((S7&gt;0),S7/T7,"- -")</f>
        <v>3.7050754076342627</v>
      </c>
    </row>
    <row r="8" spans="2:21" ht="18" customHeight="1" x14ac:dyDescent="0.25">
      <c r="B8" s="32" t="str">
        <f>'Data Entry'!A8</f>
        <v>3. Refer to Juvenile Court</v>
      </c>
      <c r="C8" s="33">
        <f>'Data Entry'!C8</f>
        <v>31</v>
      </c>
      <c r="D8" s="34">
        <f>IF((AND(C67&gt;0,C8&gt;0)),(C8/C67),0)</f>
        <v>110.71428571428571</v>
      </c>
      <c r="E8" s="33">
        <f>'Data Entry'!D8</f>
        <v>0</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0</v>
      </c>
      <c r="O8" s="42">
        <f>((D67*L67)-E8)+0.05</f>
        <v>2.0499999999999998</v>
      </c>
      <c r="P8" s="42">
        <f t="shared" si="2"/>
        <v>31</v>
      </c>
      <c r="Q8" s="42">
        <f>(C$67*L67)-C8</f>
        <v>-2.9999999999999964</v>
      </c>
      <c r="R8" s="42">
        <f t="shared" si="3"/>
        <v>30.05</v>
      </c>
      <c r="S8" s="30">
        <f t="shared" si="4"/>
        <v>121360.00512499998</v>
      </c>
      <c r="T8" s="30">
        <f t="shared" si="5"/>
        <v>-1690.4299999999942</v>
      </c>
      <c r="U8" s="31">
        <f t="shared" si="6"/>
        <v>-71.792387218045349</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31</v>
      </c>
      <c r="R9" s="42">
        <f t="shared" si="3"/>
        <v>31</v>
      </c>
      <c r="S9" s="30">
        <f t="shared" si="4"/>
        <v>0</v>
      </c>
      <c r="T9" s="30">
        <f t="shared" si="5"/>
        <v>0</v>
      </c>
      <c r="U9" s="31" t="str">
        <f t="shared" si="6"/>
        <v>- -</v>
      </c>
    </row>
    <row r="10" spans="2:21" ht="18" customHeight="1" x14ac:dyDescent="0.25">
      <c r="B10" s="32" t="str">
        <f>'Data Entry'!A10</f>
        <v>5. Cases Involving Secure Detention</v>
      </c>
      <c r="C10" s="33">
        <f>'Data Entry'!C10</f>
        <v>12</v>
      </c>
      <c r="D10" s="34">
        <f>IF(((AND(C68&gt;0,C10&gt;0))),(C10/(C68)),0)</f>
        <v>38.70967741935484</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12</v>
      </c>
      <c r="Q10" s="42">
        <f>(C$68*L68)-C10</f>
        <v>19</v>
      </c>
      <c r="R10" s="42">
        <f t="shared" si="3"/>
        <v>31</v>
      </c>
      <c r="S10" s="30">
        <f t="shared" si="4"/>
        <v>0</v>
      </c>
      <c r="T10" s="30">
        <f t="shared" si="5"/>
        <v>0</v>
      </c>
      <c r="U10" s="31" t="str">
        <f t="shared" si="6"/>
        <v>- -</v>
      </c>
    </row>
    <row r="11" spans="2:21" ht="18" customHeight="1" x14ac:dyDescent="0.25">
      <c r="B11" s="32" t="str">
        <f>'Data Entry'!A11</f>
        <v>6. Cases Petitioned (Charge Filed)</v>
      </c>
      <c r="C11" s="33">
        <f>'Data Entry'!C11</f>
        <v>23</v>
      </c>
      <c r="D11" s="34">
        <f>IF(((AND(C68&gt;0,C11&gt;0))),(C11/(C68)),0)</f>
        <v>74.193548387096769</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23</v>
      </c>
      <c r="Q11" s="42">
        <f>(C$68*L68)-C11</f>
        <v>8</v>
      </c>
      <c r="R11" s="42">
        <f t="shared" si="3"/>
        <v>31</v>
      </c>
      <c r="S11" s="30">
        <f t="shared" si="4"/>
        <v>0</v>
      </c>
      <c r="T11" s="30">
        <f t="shared" si="5"/>
        <v>0</v>
      </c>
      <c r="U11" s="31" t="str">
        <f t="shared" si="6"/>
        <v>- -</v>
      </c>
    </row>
    <row r="12" spans="2:21" ht="18" customHeight="1" x14ac:dyDescent="0.25">
      <c r="B12" s="32" t="str">
        <f>'Data Entry'!A12</f>
        <v>7. Cases Resulting in Delinquent Findings</v>
      </c>
      <c r="C12" s="33">
        <f>'Data Entry'!C12</f>
        <v>10</v>
      </c>
      <c r="D12" s="34">
        <f>IF(((AND(C69&gt;0,C12&gt;0))),(C12/(C69)),0)</f>
        <v>43.478260869565219</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10</v>
      </c>
      <c r="Q12" s="42">
        <f>(C69*L69)-C12</f>
        <v>13</v>
      </c>
      <c r="R12" s="42">
        <f t="shared" si="3"/>
        <v>23</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10</v>
      </c>
      <c r="R13" s="42">
        <f t="shared" si="3"/>
        <v>10</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9</v>
      </c>
      <c r="D14" s="34">
        <f>IF(((AND(C70&gt;0,C14&gt;0))), ((C14/(C70))),0)</f>
        <v>90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9</v>
      </c>
      <c r="Q14" s="42">
        <f>(C70*L70)-C14</f>
        <v>1</v>
      </c>
      <c r="R14" s="42">
        <f t="shared" si="3"/>
        <v>10</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23</v>
      </c>
      <c r="R15" s="42">
        <f t="shared" si="3"/>
        <v>23</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5.133</v>
      </c>
      <c r="D42" s="56">
        <f>E6/1000</f>
        <v>9.9000000000000005E-2</v>
      </c>
      <c r="E42" s="56">
        <f>MAX(C42:D42)</f>
        <v>5.133</v>
      </c>
      <c r="G42" s="1" t="str">
        <f>B42</f>
        <v>per 1000 youth</v>
      </c>
      <c r="L42" s="57">
        <v>1000</v>
      </c>
      <c r="M42" s="57"/>
      <c r="R42" s="49"/>
    </row>
    <row r="43" spans="2:18" ht="15" hidden="1" customHeight="1" x14ac:dyDescent="0.25">
      <c r="B43" s="49" t="s">
        <v>87</v>
      </c>
      <c r="C43" s="56">
        <f>C7/100</f>
        <v>0.28000000000000003</v>
      </c>
      <c r="D43" s="56">
        <f>E7/100</f>
        <v>0.02</v>
      </c>
      <c r="E43" s="56">
        <f>MAX(C43:D43,0)</f>
        <v>0.28000000000000003</v>
      </c>
      <c r="G43" s="1" t="str">
        <f>B43</f>
        <v>per 100 arrests</v>
      </c>
      <c r="L43" s="57">
        <v>100</v>
      </c>
      <c r="M43" s="57"/>
      <c r="R43" s="49"/>
    </row>
    <row r="44" spans="2:18" ht="15" hidden="1" customHeight="1" x14ac:dyDescent="0.25">
      <c r="B44" s="49" t="s">
        <v>88</v>
      </c>
      <c r="C44" s="56">
        <f>C8/100</f>
        <v>0.31</v>
      </c>
      <c r="D44" s="56">
        <f>E8/100</f>
        <v>0</v>
      </c>
      <c r="E44" s="56">
        <f>MAX(C44:D44,0)</f>
        <v>0.31</v>
      </c>
      <c r="G44" s="1" t="str">
        <f>B44</f>
        <v>per 100 referrals</v>
      </c>
      <c r="L44" s="57">
        <v>100</v>
      </c>
      <c r="M44" s="57"/>
      <c r="R44" s="49"/>
    </row>
    <row r="45" spans="2:18" ht="15" hidden="1" customHeight="1" x14ac:dyDescent="0.25">
      <c r="B45" s="49" t="s">
        <v>89</v>
      </c>
      <c r="C45" s="49">
        <f>C11/100</f>
        <v>0.23</v>
      </c>
      <c r="D45" s="49">
        <f>E11/100</f>
        <v>0</v>
      </c>
      <c r="E45" s="56">
        <f>MAX(C45:D45,0)</f>
        <v>0.23</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5.133</v>
      </c>
      <c r="D48" s="56">
        <f>D42</f>
        <v>9.9000000000000005E-2</v>
      </c>
      <c r="E48" s="56">
        <f>MAX(C48:D48)</f>
        <v>5.133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0.28000000000000003</v>
      </c>
      <c r="D49" s="49">
        <f t="shared" si="9"/>
        <v>0.02</v>
      </c>
      <c r="E49" s="49">
        <f>MAX(C49:D49)</f>
        <v>0.28000000000000003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0.31</v>
      </c>
      <c r="D50" s="49">
        <f t="shared" si="9"/>
        <v>0</v>
      </c>
      <c r="E50" s="49">
        <f>MAX(C50:D50)</f>
        <v>0.31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5.133</v>
      </c>
      <c r="D54" s="56">
        <f>D48</f>
        <v>9.9000000000000005E-2</v>
      </c>
      <c r="E54" s="56">
        <f>MAX(C54:D54)</f>
        <v>5.133</v>
      </c>
      <c r="G54" s="1" t="str">
        <f>G48</f>
        <v>per 1000 youth</v>
      </c>
      <c r="L54" s="58">
        <f>L48</f>
        <v>1000</v>
      </c>
      <c r="M54" s="58"/>
    </row>
    <row r="55" spans="2:18" ht="15" hidden="1" customHeight="1" x14ac:dyDescent="0.25">
      <c r="B55" s="49" t="str">
        <f t="shared" ref="B55:D56" si="10">IF(($E49&gt;0),B49,B48)</f>
        <v>per 100 arrests</v>
      </c>
      <c r="C55" s="49">
        <f t="shared" si="10"/>
        <v>0.28000000000000003</v>
      </c>
      <c r="D55" s="49">
        <f t="shared" si="10"/>
        <v>0.02</v>
      </c>
      <c r="E55" s="49">
        <f>MAX(C55:D55)</f>
        <v>0.28000000000000003</v>
      </c>
      <c r="G55" s="1" t="str">
        <f>G49</f>
        <v>per 100 arrests</v>
      </c>
      <c r="L55" s="58">
        <f>IF(($E49&gt;0),L49,L48)</f>
        <v>100</v>
      </c>
      <c r="M55" s="58"/>
    </row>
    <row r="56" spans="2:18" ht="15" hidden="1" customHeight="1" x14ac:dyDescent="0.25">
      <c r="B56" s="49" t="str">
        <f t="shared" si="10"/>
        <v>per 100 referrals</v>
      </c>
      <c r="C56" s="49">
        <f t="shared" si="10"/>
        <v>0.31</v>
      </c>
      <c r="D56" s="49">
        <f t="shared" si="10"/>
        <v>0</v>
      </c>
      <c r="E56" s="49">
        <f>MAX(C56:D56)</f>
        <v>0.31</v>
      </c>
      <c r="G56" s="1" t="str">
        <f>G50</f>
        <v>per 100 referrals</v>
      </c>
      <c r="L56" s="58">
        <f>IF(($E50&gt;0),L50,L49)</f>
        <v>100</v>
      </c>
      <c r="M56" s="58"/>
    </row>
    <row r="57" spans="2:18" ht="15" hidden="1" customHeight="1" x14ac:dyDescent="0.25">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5.133</v>
      </c>
      <c r="D60" s="56">
        <f>D54</f>
        <v>9.9000000000000005E-2</v>
      </c>
      <c r="E60" s="56">
        <f>MAX(C60:D60)</f>
        <v>5.133</v>
      </c>
      <c r="G60" s="1" t="str">
        <f>G54</f>
        <v>per 1000 youth</v>
      </c>
      <c r="L60" s="58">
        <f>L54</f>
        <v>1000</v>
      </c>
      <c r="M60" s="58"/>
    </row>
    <row r="61" spans="2:18" ht="15" hidden="1" customHeight="1" x14ac:dyDescent="0.25">
      <c r="B61" s="49" t="str">
        <f t="shared" ref="B61:D62" si="11">IF(($E55&gt;0),B55,B54)</f>
        <v>per 100 arrests</v>
      </c>
      <c r="C61" s="49">
        <f t="shared" si="11"/>
        <v>0.28000000000000003</v>
      </c>
      <c r="D61" s="49">
        <f t="shared" si="11"/>
        <v>0.02</v>
      </c>
      <c r="E61" s="49">
        <f>MAX(C61:D61)</f>
        <v>0.28000000000000003</v>
      </c>
      <c r="G61" s="1" t="str">
        <f>G55</f>
        <v>per 100 arrests</v>
      </c>
      <c r="L61" s="58">
        <f>IF(($E55&gt;0),L55,L54)</f>
        <v>100</v>
      </c>
      <c r="M61" s="58"/>
    </row>
    <row r="62" spans="2:18" ht="15" hidden="1" customHeight="1" x14ac:dyDescent="0.25">
      <c r="B62" s="49" t="str">
        <f t="shared" si="11"/>
        <v>per 100 referrals</v>
      </c>
      <c r="C62" s="49">
        <f t="shared" si="11"/>
        <v>0.31</v>
      </c>
      <c r="D62" s="49">
        <f t="shared" si="11"/>
        <v>0</v>
      </c>
      <c r="E62" s="49">
        <f>MAX(C62:D62)</f>
        <v>0.31</v>
      </c>
      <c r="G62" s="1" t="str">
        <f>G56</f>
        <v>per 100 referrals</v>
      </c>
      <c r="L62" s="58">
        <f>IF(($E56&gt;0),L56,L55)</f>
        <v>100</v>
      </c>
      <c r="M62" s="58"/>
    </row>
    <row r="63" spans="2:18" ht="15" hidden="1" customHeight="1" x14ac:dyDescent="0.25">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5.133</v>
      </c>
      <c r="D66" s="56">
        <f>D60</f>
        <v>9.9000000000000005E-2</v>
      </c>
      <c r="E66" s="56">
        <f>MAX(C66:D66)</f>
        <v>5.133</v>
      </c>
      <c r="G66" s="1" t="str">
        <f>G60</f>
        <v>per 1000 youth</v>
      </c>
      <c r="L66" s="58">
        <f>L60</f>
        <v>1000</v>
      </c>
      <c r="M66" s="58">
        <f>IF((B66=G66),1,2)</f>
        <v>1</v>
      </c>
    </row>
    <row r="67" spans="2:13" ht="15" hidden="1" customHeight="1" x14ac:dyDescent="0.25">
      <c r="B67" s="49" t="str">
        <f t="shared" ref="B67:D68" si="12">IF(($E61&gt;0),B61,B60)</f>
        <v>per 100 arrests</v>
      </c>
      <c r="C67" s="49">
        <f t="shared" si="12"/>
        <v>0.28000000000000003</v>
      </c>
      <c r="D67" s="49">
        <f t="shared" si="12"/>
        <v>0.02</v>
      </c>
      <c r="E67" s="49">
        <f>MAX(C67:D67)</f>
        <v>0.28000000000000003</v>
      </c>
      <c r="G67" s="1" t="str">
        <f>G61</f>
        <v>per 100 arrests</v>
      </c>
      <c r="L67" s="58">
        <f>IF(($E61&gt;0),L61,L60)</f>
        <v>100</v>
      </c>
      <c r="M67" s="58">
        <f>IF((B67=G67),1,2)</f>
        <v>1</v>
      </c>
    </row>
    <row r="68" spans="2:13" ht="15" hidden="1" customHeight="1" x14ac:dyDescent="0.25">
      <c r="B68" s="49" t="str">
        <f t="shared" si="12"/>
        <v>per 100 referrals</v>
      </c>
      <c r="C68" s="49">
        <f t="shared" si="12"/>
        <v>0.31</v>
      </c>
      <c r="D68" s="49">
        <f t="shared" si="12"/>
        <v>0</v>
      </c>
      <c r="E68" s="49">
        <f>MAX(C68:D68)</f>
        <v>0.31</v>
      </c>
      <c r="G68" s="1" t="str">
        <f>G62</f>
        <v>per 100 referrals</v>
      </c>
      <c r="L68" s="58">
        <f>IF(($E62&gt;0),L62,L61)</f>
        <v>100</v>
      </c>
      <c r="M68" s="58">
        <f>IF((B68=G68),1,2)</f>
        <v>1</v>
      </c>
    </row>
    <row r="69" spans="2:13" ht="15" hidden="1" customHeight="1" x14ac:dyDescent="0.25">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Montcalm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5133</v>
      </c>
      <c r="D6" s="34"/>
      <c r="E6" s="33">
        <f>'Data Entry'!F6</f>
        <v>25</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28</v>
      </c>
      <c r="D7" s="34">
        <f>IF((AND(C66&gt;0,C7&gt;0)),(C7/C66),0)</f>
        <v>5.4548996688096629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25</v>
      </c>
      <c r="P7" s="42">
        <f t="shared" ref="P7:P15" si="4">C7</f>
        <v>28</v>
      </c>
      <c r="Q7" s="42">
        <f>C6-C7</f>
        <v>5105</v>
      </c>
      <c r="R7" s="42">
        <f t="shared" ref="R7:R15" si="5">SUM(N7:Q7)</f>
        <v>5158</v>
      </c>
      <c r="S7" s="30">
        <f t="shared" ref="S7:S15" si="6">R7*((((N7*Q7)-(O7*P7))^2))</f>
        <v>2527420000</v>
      </c>
      <c r="T7" s="30">
        <f t="shared" ref="T7:T15" si="7">(N7+O7)*(P7+Q7)*(N7+P7)*(O7+Q7)</f>
        <v>18432603000</v>
      </c>
      <c r="U7" s="31">
        <f t="shared" ref="U7:U15" si="8">IF((S7&gt;0),S7/T7,"- -")</f>
        <v>0.13711682500838324</v>
      </c>
    </row>
    <row r="8" spans="2:21" ht="18" customHeight="1" x14ac:dyDescent="0.25">
      <c r="B8" s="32" t="str">
        <f>'Data Entry'!A8</f>
        <v>3. Refer to Juvenile Court</v>
      </c>
      <c r="C8" s="33">
        <f>'Data Entry'!C8</f>
        <v>31</v>
      </c>
      <c r="D8" s="34">
        <f>IF((AND(C67&gt;0,C8&gt;0)),(C8/C67),0)</f>
        <v>110.71428571428571</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31</v>
      </c>
      <c r="Q8" s="42">
        <f>(C$67*L67)-C8</f>
        <v>-2.9999999999999964</v>
      </c>
      <c r="R8" s="42">
        <f t="shared" si="5"/>
        <v>28.050000000000004</v>
      </c>
      <c r="S8" s="30">
        <f t="shared" si="6"/>
        <v>67.390125000000012</v>
      </c>
      <c r="T8" s="30">
        <f t="shared" si="7"/>
        <v>-128.02999999999989</v>
      </c>
      <c r="U8" s="31">
        <f t="shared" si="8"/>
        <v>-0.52636198547215551</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31</v>
      </c>
      <c r="R9" s="42">
        <f t="shared" si="5"/>
        <v>31</v>
      </c>
      <c r="S9" s="30">
        <f t="shared" si="6"/>
        <v>0</v>
      </c>
      <c r="T9" s="30">
        <f t="shared" si="7"/>
        <v>0</v>
      </c>
      <c r="U9" s="31" t="str">
        <f t="shared" si="8"/>
        <v>- -</v>
      </c>
    </row>
    <row r="10" spans="2:21" ht="18" customHeight="1" x14ac:dyDescent="0.25">
      <c r="B10" s="32" t="str">
        <f>'Data Entry'!A10</f>
        <v>5. Cases Involving Secure Detention</v>
      </c>
      <c r="C10" s="33">
        <f>'Data Entry'!C10</f>
        <v>12</v>
      </c>
      <c r="D10" s="34">
        <f>IF(((AND(C68&gt;0,C10&gt;0))),(C10/(C68)),0)</f>
        <v>38.70967741935484</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12</v>
      </c>
      <c r="Q10" s="42">
        <f>(C$68*L68)-C10</f>
        <v>19</v>
      </c>
      <c r="R10" s="42">
        <f t="shared" si="5"/>
        <v>31</v>
      </c>
      <c r="S10" s="30">
        <f t="shared" si="6"/>
        <v>0</v>
      </c>
      <c r="T10" s="30">
        <f t="shared" si="7"/>
        <v>0</v>
      </c>
      <c r="U10" s="31" t="str">
        <f t="shared" si="8"/>
        <v>- -</v>
      </c>
    </row>
    <row r="11" spans="2:21" ht="18" customHeight="1" x14ac:dyDescent="0.25">
      <c r="B11" s="32" t="str">
        <f>'Data Entry'!A11</f>
        <v>6. Cases Petitioned (Charge Filed)</v>
      </c>
      <c r="C11" s="33">
        <f>'Data Entry'!C11</f>
        <v>23</v>
      </c>
      <c r="D11" s="34">
        <f>IF(((AND(C68&gt;0,C11&gt;0))),(C11/(C68)),0)</f>
        <v>74.193548387096769</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8</v>
      </c>
      <c r="R11" s="42">
        <f t="shared" si="5"/>
        <v>31</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43.478260869565219</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13</v>
      </c>
      <c r="R12" s="42">
        <f t="shared" si="5"/>
        <v>23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9</v>
      </c>
      <c r="D14" s="34">
        <f>IF(((AND(C70&gt;0,C14&gt;0))), ((C14/(C70))),0)</f>
        <v>90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1</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5.133</v>
      </c>
      <c r="D42" s="56">
        <f>E6/1000</f>
        <v>2.5000000000000001E-2</v>
      </c>
      <c r="E42" s="56">
        <f>MAX(C42:D42)</f>
        <v>5.133</v>
      </c>
      <c r="G42" s="1" t="str">
        <f>B42</f>
        <v>per 1000 youth</v>
      </c>
      <c r="L42" s="57">
        <v>1000</v>
      </c>
      <c r="M42" s="57"/>
      <c r="R42" s="49"/>
    </row>
    <row r="43" spans="2:18" ht="15" hidden="1" customHeight="1" x14ac:dyDescent="0.25">
      <c r="B43" s="49" t="s">
        <v>87</v>
      </c>
      <c r="C43" s="56">
        <f>C7/100</f>
        <v>0.28000000000000003</v>
      </c>
      <c r="D43" s="56">
        <f>E7/100</f>
        <v>0</v>
      </c>
      <c r="E43" s="56">
        <f>MAX(C43:D43,0)</f>
        <v>0.28000000000000003</v>
      </c>
      <c r="G43" s="1" t="str">
        <f>B43</f>
        <v>per 100 arrests</v>
      </c>
      <c r="L43" s="57">
        <v>100</v>
      </c>
      <c r="M43" s="57"/>
      <c r="R43" s="49"/>
    </row>
    <row r="44" spans="2:18" ht="15" hidden="1" customHeight="1" x14ac:dyDescent="0.25">
      <c r="B44" s="49" t="s">
        <v>88</v>
      </c>
      <c r="C44" s="56">
        <f>C8/100</f>
        <v>0.31</v>
      </c>
      <c r="D44" s="56">
        <f>E8/100</f>
        <v>0</v>
      </c>
      <c r="E44" s="56">
        <f>MAX(C44:D44,0)</f>
        <v>0.31</v>
      </c>
      <c r="G44" s="1" t="str">
        <f>B44</f>
        <v>per 100 referrals</v>
      </c>
      <c r="L44" s="57">
        <v>100</v>
      </c>
      <c r="M44" s="57"/>
      <c r="R44" s="49"/>
    </row>
    <row r="45" spans="2:18" ht="15" hidden="1" customHeight="1" x14ac:dyDescent="0.25">
      <c r="B45" s="49" t="s">
        <v>89</v>
      </c>
      <c r="C45" s="49">
        <f>C11/100</f>
        <v>0.23</v>
      </c>
      <c r="D45" s="49">
        <f>E11/100</f>
        <v>0</v>
      </c>
      <c r="E45" s="56">
        <f>MAX(C45:D45,0)</f>
        <v>0.23</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5.133</v>
      </c>
      <c r="D48" s="56">
        <f>D42</f>
        <v>2.5000000000000001E-2</v>
      </c>
      <c r="E48" s="56">
        <f>MAX(C48:D48)</f>
        <v>5.133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0.28000000000000003</v>
      </c>
      <c r="D49" s="49">
        <f t="shared" si="9"/>
        <v>0</v>
      </c>
      <c r="E49" s="49">
        <f>MAX(C49:D49)</f>
        <v>0.28000000000000003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0.31</v>
      </c>
      <c r="D50" s="49">
        <f t="shared" si="9"/>
        <v>0</v>
      </c>
      <c r="E50" s="49">
        <f>MAX(C50:D50)</f>
        <v>0.31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5.133</v>
      </c>
      <c r="D54" s="56">
        <f>D48</f>
        <v>2.5000000000000001E-2</v>
      </c>
      <c r="E54" s="56">
        <f>MAX(C54:D54)</f>
        <v>5.133</v>
      </c>
      <c r="G54" s="1" t="str">
        <f>G48</f>
        <v>per 1000 youth</v>
      </c>
      <c r="L54" s="58">
        <f>L48</f>
        <v>1000</v>
      </c>
      <c r="M54" s="58"/>
    </row>
    <row r="55" spans="2:18" ht="15" hidden="1" customHeight="1" x14ac:dyDescent="0.25">
      <c r="B55" s="49" t="str">
        <f t="shared" ref="B55:D56" si="10">IF(($E49&gt;0),B49,B48)</f>
        <v>per 100 arrests</v>
      </c>
      <c r="C55" s="49">
        <f t="shared" si="10"/>
        <v>0.28000000000000003</v>
      </c>
      <c r="D55" s="49">
        <f t="shared" si="10"/>
        <v>0</v>
      </c>
      <c r="E55" s="49">
        <f>MAX(C55:D55)</f>
        <v>0.28000000000000003</v>
      </c>
      <c r="G55" s="1" t="str">
        <f>G49</f>
        <v>per 100 arrests</v>
      </c>
      <c r="L55" s="58">
        <f>IF(($E49&gt;0),L49,L48)</f>
        <v>100</v>
      </c>
      <c r="M55" s="58"/>
    </row>
    <row r="56" spans="2:18" ht="15" hidden="1" customHeight="1" x14ac:dyDescent="0.25">
      <c r="B56" s="49" t="str">
        <f t="shared" si="10"/>
        <v>per 100 referrals</v>
      </c>
      <c r="C56" s="49">
        <f t="shared" si="10"/>
        <v>0.31</v>
      </c>
      <c r="D56" s="49">
        <f t="shared" si="10"/>
        <v>0</v>
      </c>
      <c r="E56" s="49">
        <f>MAX(C56:D56)</f>
        <v>0.31</v>
      </c>
      <c r="G56" s="1" t="str">
        <f>G50</f>
        <v>per 100 referrals</v>
      </c>
      <c r="L56" s="58">
        <f>IF(($E50&gt;0),L50,L49)</f>
        <v>100</v>
      </c>
      <c r="M56" s="58"/>
    </row>
    <row r="57" spans="2:18" ht="15" hidden="1" customHeight="1" x14ac:dyDescent="0.25">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5.133</v>
      </c>
      <c r="D60" s="56">
        <f>D54</f>
        <v>2.5000000000000001E-2</v>
      </c>
      <c r="E60" s="56">
        <f>MAX(C60:D60)</f>
        <v>5.133</v>
      </c>
      <c r="G60" s="1" t="str">
        <f>G54</f>
        <v>per 1000 youth</v>
      </c>
      <c r="L60" s="58">
        <f>L54</f>
        <v>1000</v>
      </c>
      <c r="M60" s="58"/>
    </row>
    <row r="61" spans="2:18" ht="15" hidden="1" customHeight="1" x14ac:dyDescent="0.25">
      <c r="B61" s="49" t="str">
        <f t="shared" ref="B61:D62" si="11">IF(($E55&gt;0),B55,B54)</f>
        <v>per 100 arrests</v>
      </c>
      <c r="C61" s="49">
        <f t="shared" si="11"/>
        <v>0.28000000000000003</v>
      </c>
      <c r="D61" s="49">
        <f t="shared" si="11"/>
        <v>0</v>
      </c>
      <c r="E61" s="49">
        <f>MAX(C61:D61)</f>
        <v>0.28000000000000003</v>
      </c>
      <c r="G61" s="1" t="str">
        <f>G55</f>
        <v>per 100 arrests</v>
      </c>
      <c r="L61" s="58">
        <f>IF(($E55&gt;0),L55,L54)</f>
        <v>100</v>
      </c>
      <c r="M61" s="58"/>
    </row>
    <row r="62" spans="2:18" ht="15" hidden="1" customHeight="1" x14ac:dyDescent="0.25">
      <c r="B62" s="49" t="str">
        <f t="shared" si="11"/>
        <v>per 100 referrals</v>
      </c>
      <c r="C62" s="49">
        <f t="shared" si="11"/>
        <v>0.31</v>
      </c>
      <c r="D62" s="49">
        <f t="shared" si="11"/>
        <v>0</v>
      </c>
      <c r="E62" s="49">
        <f>MAX(C62:D62)</f>
        <v>0.31</v>
      </c>
      <c r="G62" s="1" t="str">
        <f>G56</f>
        <v>per 100 referrals</v>
      </c>
      <c r="L62" s="58">
        <f>IF(($E56&gt;0),L56,L55)</f>
        <v>100</v>
      </c>
      <c r="M62" s="58"/>
    </row>
    <row r="63" spans="2:18" ht="15" hidden="1" customHeight="1" x14ac:dyDescent="0.25">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5.133</v>
      </c>
      <c r="D66" s="56">
        <f>D60</f>
        <v>2.5000000000000001E-2</v>
      </c>
      <c r="E66" s="56">
        <f>MAX(C66:D66)</f>
        <v>5.133</v>
      </c>
      <c r="G66" s="1" t="str">
        <f>G60</f>
        <v>per 1000 youth</v>
      </c>
      <c r="L66" s="58">
        <f>L60</f>
        <v>1000</v>
      </c>
      <c r="M66" s="58">
        <f>IF((B66=G66),1,2)</f>
        <v>1</v>
      </c>
    </row>
    <row r="67" spans="2:13" ht="15" hidden="1" customHeight="1" x14ac:dyDescent="0.25">
      <c r="B67" s="49" t="str">
        <f t="shared" ref="B67:D68" si="12">IF(($E61&gt;0),B61,B60)</f>
        <v>per 100 arrests</v>
      </c>
      <c r="C67" s="49">
        <f t="shared" si="12"/>
        <v>0.28000000000000003</v>
      </c>
      <c r="D67" s="49">
        <f t="shared" si="12"/>
        <v>0</v>
      </c>
      <c r="E67" s="49">
        <f>MAX(C67:D67)</f>
        <v>0.28000000000000003</v>
      </c>
      <c r="G67" s="1" t="str">
        <f>G61</f>
        <v>per 100 arrests</v>
      </c>
      <c r="L67" s="58">
        <f>IF(($E61&gt;0),L61,L60)</f>
        <v>100</v>
      </c>
      <c r="M67" s="58">
        <f>IF((B67=G67),1,2)</f>
        <v>1</v>
      </c>
    </row>
    <row r="68" spans="2:13" ht="15" hidden="1" customHeight="1" x14ac:dyDescent="0.25">
      <c r="B68" s="49" t="str">
        <f t="shared" si="12"/>
        <v>per 100 referrals</v>
      </c>
      <c r="C68" s="49">
        <f t="shared" si="12"/>
        <v>0.31</v>
      </c>
      <c r="D68" s="49">
        <f t="shared" si="12"/>
        <v>0</v>
      </c>
      <c r="E68" s="49">
        <f>MAX(C68:D68)</f>
        <v>0.31</v>
      </c>
      <c r="G68" s="1" t="str">
        <f>G62</f>
        <v>per 100 referrals</v>
      </c>
      <c r="L68" s="58">
        <f>IF(($E62&gt;0),L62,L61)</f>
        <v>100</v>
      </c>
      <c r="M68" s="58">
        <f>IF((B68=G68),1,2)</f>
        <v>1</v>
      </c>
    </row>
    <row r="69" spans="2:13" ht="15" hidden="1" customHeight="1" x14ac:dyDescent="0.25">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Montcalm</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5133</v>
      </c>
      <c r="D6" s="34"/>
      <c r="E6" s="33">
        <f>'Data Entry'!E6</f>
        <v>377</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28</v>
      </c>
      <c r="D7" s="34">
        <f>IF((AND(C66&gt;0,C7&gt;0)),(C7/C66),0)</f>
        <v>5.4548996688096629</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377</v>
      </c>
      <c r="P7" s="42">
        <f t="shared" ref="P7:P15" si="4">C7</f>
        <v>28</v>
      </c>
      <c r="Q7" s="42">
        <f>C6-C7</f>
        <v>5105</v>
      </c>
      <c r="R7" s="42">
        <f t="shared" ref="R7:R15" si="5">SUM(N7:Q7)</f>
        <v>5510</v>
      </c>
      <c r="S7" s="30">
        <f t="shared" ref="S7:S15" si="6">R7*((((N7*Q7)-(O7*P7))^2))</f>
        <v>613974539360</v>
      </c>
      <c r="T7" s="30">
        <f t="shared" ref="T7:T15" si="7">(N7+O7)*(P7+Q7)*(N7+P7)*(O7+Q7)</f>
        <v>297036402936</v>
      </c>
      <c r="U7" s="31">
        <f t="shared" ref="U7:U15" si="8">IF((S7&gt;0),S7/T7,"- -")</f>
        <v>2.0670009914316396</v>
      </c>
    </row>
    <row r="8" spans="2:21" ht="18" customHeight="1" x14ac:dyDescent="0.25">
      <c r="B8" s="32" t="str">
        <f>'Data Entry'!A8</f>
        <v>3. Refer to Juvenile Court</v>
      </c>
      <c r="C8" s="33">
        <f>'Data Entry'!C8</f>
        <v>31</v>
      </c>
      <c r="D8" s="34">
        <f>IF((AND(C67&gt;0,C8&gt;0)),(C8/C67),0)</f>
        <v>110.71428571428571</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31</v>
      </c>
      <c r="Q8" s="42">
        <f>(C$67*L67)-C8</f>
        <v>-2.9999999999999964</v>
      </c>
      <c r="R8" s="42">
        <f t="shared" si="5"/>
        <v>28.050000000000004</v>
      </c>
      <c r="S8" s="30">
        <f t="shared" si="6"/>
        <v>67.390125000000012</v>
      </c>
      <c r="T8" s="30">
        <f t="shared" si="7"/>
        <v>-128.02999999999989</v>
      </c>
      <c r="U8" s="31">
        <f t="shared" si="8"/>
        <v>-0.52636198547215551</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31</v>
      </c>
      <c r="R9" s="42">
        <f t="shared" si="5"/>
        <v>31</v>
      </c>
      <c r="S9" s="30">
        <f t="shared" si="6"/>
        <v>0</v>
      </c>
      <c r="T9" s="30">
        <f t="shared" si="7"/>
        <v>0</v>
      </c>
      <c r="U9" s="31" t="str">
        <f t="shared" si="8"/>
        <v>- -</v>
      </c>
    </row>
    <row r="10" spans="2:21" ht="18" customHeight="1" x14ac:dyDescent="0.25">
      <c r="B10" s="32" t="str">
        <f>'Data Entry'!A10</f>
        <v>5. Cases Involving Secure Detention</v>
      </c>
      <c r="C10" s="33">
        <f>'Data Entry'!C10</f>
        <v>12</v>
      </c>
      <c r="D10" s="34">
        <f>IF(((AND(C68&gt;0,C10&gt;0))),(C10/(C68)),0)</f>
        <v>38.70967741935484</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12</v>
      </c>
      <c r="Q10" s="42">
        <f>(C$68*L68)-C10</f>
        <v>19</v>
      </c>
      <c r="R10" s="42">
        <f t="shared" si="5"/>
        <v>31</v>
      </c>
      <c r="S10" s="30">
        <f t="shared" si="6"/>
        <v>0</v>
      </c>
      <c r="T10" s="30">
        <f t="shared" si="7"/>
        <v>0</v>
      </c>
      <c r="U10" s="31" t="str">
        <f t="shared" si="8"/>
        <v>- -</v>
      </c>
    </row>
    <row r="11" spans="2:21" ht="18" customHeight="1" x14ac:dyDescent="0.25">
      <c r="B11" s="32" t="str">
        <f>'Data Entry'!A11</f>
        <v>6. Cases Petitioned (Charge Filed)</v>
      </c>
      <c r="C11" s="33">
        <f>'Data Entry'!C11</f>
        <v>23</v>
      </c>
      <c r="D11" s="34">
        <f>IF(((AND(C68&gt;0,C11&gt;0))),(C11/(C68)),0)</f>
        <v>74.193548387096769</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8</v>
      </c>
      <c r="R11" s="42">
        <f t="shared" si="5"/>
        <v>31</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43.478260869565219</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13</v>
      </c>
      <c r="R12" s="42">
        <f t="shared" si="5"/>
        <v>23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9</v>
      </c>
      <c r="D14" s="34">
        <f>IF(((AND(C70&gt;0,C14&gt;0))), ((C14/(C70))),0)</f>
        <v>90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1</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5.133</v>
      </c>
      <c r="D42" s="56">
        <f>E6/1000</f>
        <v>0.377</v>
      </c>
      <c r="E42" s="56">
        <f>MAX(C42:D42)</f>
        <v>5.133</v>
      </c>
      <c r="G42" s="1" t="str">
        <f>B42</f>
        <v>per 1000 youth</v>
      </c>
      <c r="L42" s="57">
        <v>1000</v>
      </c>
      <c r="M42" s="57"/>
      <c r="R42" s="49"/>
    </row>
    <row r="43" spans="2:18" ht="15" hidden="1" customHeight="1" x14ac:dyDescent="0.25">
      <c r="B43" s="49" t="s">
        <v>87</v>
      </c>
      <c r="C43" s="56">
        <f>C7/100</f>
        <v>0.28000000000000003</v>
      </c>
      <c r="D43" s="56">
        <f>E7/100</f>
        <v>0</v>
      </c>
      <c r="E43" s="56">
        <f>MAX(C43:D43,0)</f>
        <v>0.28000000000000003</v>
      </c>
      <c r="G43" s="1" t="str">
        <f>B43</f>
        <v>per 100 arrests</v>
      </c>
      <c r="L43" s="57">
        <v>100</v>
      </c>
      <c r="M43" s="57"/>
      <c r="R43" s="49"/>
    </row>
    <row r="44" spans="2:18" ht="15" hidden="1" customHeight="1" x14ac:dyDescent="0.25">
      <c r="B44" s="49" t="s">
        <v>88</v>
      </c>
      <c r="C44" s="56">
        <f>C8/100</f>
        <v>0.31</v>
      </c>
      <c r="D44" s="56">
        <f>E8/100</f>
        <v>0</v>
      </c>
      <c r="E44" s="56">
        <f>MAX(C44:D44,0)</f>
        <v>0.31</v>
      </c>
      <c r="G44" s="1" t="str">
        <f>B44</f>
        <v>per 100 referrals</v>
      </c>
      <c r="L44" s="57">
        <v>100</v>
      </c>
      <c r="M44" s="57"/>
      <c r="R44" s="49"/>
    </row>
    <row r="45" spans="2:18" ht="15" hidden="1" customHeight="1" x14ac:dyDescent="0.25">
      <c r="B45" s="49" t="s">
        <v>89</v>
      </c>
      <c r="C45" s="49">
        <f>C11/100</f>
        <v>0.23</v>
      </c>
      <c r="D45" s="49">
        <f>E11/100</f>
        <v>0</v>
      </c>
      <c r="E45" s="56">
        <f>MAX(C45:D45,0)</f>
        <v>0.23</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5.133</v>
      </c>
      <c r="D48" s="56">
        <f>D42</f>
        <v>0.377</v>
      </c>
      <c r="E48" s="56">
        <f>MAX(C48:D48)</f>
        <v>5.133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0.28000000000000003</v>
      </c>
      <c r="D49" s="49">
        <f t="shared" si="9"/>
        <v>0</v>
      </c>
      <c r="E49" s="49">
        <f>MAX(C49:D49)</f>
        <v>0.28000000000000003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0.31</v>
      </c>
      <c r="D50" s="49">
        <f t="shared" si="9"/>
        <v>0</v>
      </c>
      <c r="E50" s="49">
        <f>MAX(C50:D50)</f>
        <v>0.31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5.133</v>
      </c>
      <c r="D54" s="56">
        <f>D48</f>
        <v>0.377</v>
      </c>
      <c r="E54" s="56">
        <f>MAX(C54:D54)</f>
        <v>5.133</v>
      </c>
      <c r="G54" s="1" t="str">
        <f>G48</f>
        <v>per 1000 youth</v>
      </c>
      <c r="L54" s="58">
        <f>L48</f>
        <v>1000</v>
      </c>
      <c r="M54" s="58"/>
    </row>
    <row r="55" spans="2:18" ht="15" hidden="1" customHeight="1" x14ac:dyDescent="0.25">
      <c r="B55" s="49" t="str">
        <f t="shared" ref="B55:D56" si="10">IF(($E49&gt;0),B49,B48)</f>
        <v>per 100 arrests</v>
      </c>
      <c r="C55" s="49">
        <f t="shared" si="10"/>
        <v>0.28000000000000003</v>
      </c>
      <c r="D55" s="49">
        <f t="shared" si="10"/>
        <v>0</v>
      </c>
      <c r="E55" s="49">
        <f>MAX(C55:D55)</f>
        <v>0.28000000000000003</v>
      </c>
      <c r="G55" s="1" t="str">
        <f>G49</f>
        <v>per 100 arrests</v>
      </c>
      <c r="L55" s="58">
        <f>IF(($E49&gt;0),L49,L48)</f>
        <v>100</v>
      </c>
      <c r="M55" s="58"/>
    </row>
    <row r="56" spans="2:18" ht="15" hidden="1" customHeight="1" x14ac:dyDescent="0.25">
      <c r="B56" s="49" t="str">
        <f t="shared" si="10"/>
        <v>per 100 referrals</v>
      </c>
      <c r="C56" s="49">
        <f t="shared" si="10"/>
        <v>0.31</v>
      </c>
      <c r="D56" s="49">
        <f t="shared" si="10"/>
        <v>0</v>
      </c>
      <c r="E56" s="49">
        <f>MAX(C56:D56)</f>
        <v>0.31</v>
      </c>
      <c r="G56" s="1" t="str">
        <f>G50</f>
        <v>per 100 referrals</v>
      </c>
      <c r="L56" s="58">
        <f>IF(($E50&gt;0),L50,L49)</f>
        <v>100</v>
      </c>
      <c r="M56" s="58"/>
    </row>
    <row r="57" spans="2:18" ht="15" hidden="1" customHeight="1" x14ac:dyDescent="0.25">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5.133</v>
      </c>
      <c r="D60" s="56">
        <f>D54</f>
        <v>0.377</v>
      </c>
      <c r="E60" s="56">
        <f>MAX(C60:D60)</f>
        <v>5.133</v>
      </c>
      <c r="G60" s="1" t="str">
        <f>G54</f>
        <v>per 1000 youth</v>
      </c>
      <c r="L60" s="58">
        <f>L54</f>
        <v>1000</v>
      </c>
      <c r="M60" s="58"/>
    </row>
    <row r="61" spans="2:18" ht="15" hidden="1" customHeight="1" x14ac:dyDescent="0.25">
      <c r="B61" s="49" t="str">
        <f t="shared" ref="B61:D62" si="11">IF(($E55&gt;0),B55,B54)</f>
        <v>per 100 arrests</v>
      </c>
      <c r="C61" s="49">
        <f t="shared" si="11"/>
        <v>0.28000000000000003</v>
      </c>
      <c r="D61" s="49">
        <f t="shared" si="11"/>
        <v>0</v>
      </c>
      <c r="E61" s="49">
        <f>MAX(C61:D61)</f>
        <v>0.28000000000000003</v>
      </c>
      <c r="G61" s="1" t="str">
        <f>G55</f>
        <v>per 100 arrests</v>
      </c>
      <c r="L61" s="58">
        <f>IF(($E55&gt;0),L55,L54)</f>
        <v>100</v>
      </c>
      <c r="M61" s="58"/>
    </row>
    <row r="62" spans="2:18" ht="15" hidden="1" customHeight="1" x14ac:dyDescent="0.25">
      <c r="B62" s="49" t="str">
        <f t="shared" si="11"/>
        <v>per 100 referrals</v>
      </c>
      <c r="C62" s="49">
        <f t="shared" si="11"/>
        <v>0.31</v>
      </c>
      <c r="D62" s="49">
        <f t="shared" si="11"/>
        <v>0</v>
      </c>
      <c r="E62" s="49">
        <f>MAX(C62:D62)</f>
        <v>0.31</v>
      </c>
      <c r="G62" s="1" t="str">
        <f>G56</f>
        <v>per 100 referrals</v>
      </c>
      <c r="L62" s="58">
        <f>IF(($E56&gt;0),L56,L55)</f>
        <v>100</v>
      </c>
      <c r="M62" s="58"/>
    </row>
    <row r="63" spans="2:18" ht="15" hidden="1" customHeight="1" x14ac:dyDescent="0.25">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5.133</v>
      </c>
      <c r="D66" s="56">
        <f>D60</f>
        <v>0.377</v>
      </c>
      <c r="E66" s="56">
        <f>MAX(C66:D66)</f>
        <v>5.133</v>
      </c>
      <c r="G66" s="1" t="str">
        <f>G60</f>
        <v>per 1000 youth</v>
      </c>
      <c r="L66" s="58">
        <f>L60</f>
        <v>1000</v>
      </c>
      <c r="M66" s="58">
        <f>IF((B66=G66),1,2)</f>
        <v>1</v>
      </c>
    </row>
    <row r="67" spans="2:13" ht="15" hidden="1" customHeight="1" x14ac:dyDescent="0.25">
      <c r="B67" s="49" t="str">
        <f t="shared" ref="B67:D68" si="12">IF(($E61&gt;0),B61,B60)</f>
        <v>per 100 arrests</v>
      </c>
      <c r="C67" s="49">
        <f t="shared" si="12"/>
        <v>0.28000000000000003</v>
      </c>
      <c r="D67" s="49">
        <f t="shared" si="12"/>
        <v>0</v>
      </c>
      <c r="E67" s="49">
        <f>MAX(C67:D67)</f>
        <v>0.28000000000000003</v>
      </c>
      <c r="G67" s="1" t="str">
        <f>G61</f>
        <v>per 100 arrests</v>
      </c>
      <c r="L67" s="58">
        <f>IF(($E61&gt;0),L61,L60)</f>
        <v>100</v>
      </c>
      <c r="M67" s="58">
        <f>IF((B67=G67),1,2)</f>
        <v>1</v>
      </c>
    </row>
    <row r="68" spans="2:13" ht="15" hidden="1" customHeight="1" x14ac:dyDescent="0.25">
      <c r="B68" s="49" t="str">
        <f t="shared" si="12"/>
        <v>per 100 referrals</v>
      </c>
      <c r="C68" s="49">
        <f t="shared" si="12"/>
        <v>0.31</v>
      </c>
      <c r="D68" s="49">
        <f t="shared" si="12"/>
        <v>0</v>
      </c>
      <c r="E68" s="49">
        <f>MAX(C68:D68)</f>
        <v>0.31</v>
      </c>
      <c r="G68" s="1" t="str">
        <f>G62</f>
        <v>per 100 referrals</v>
      </c>
      <c r="L68" s="58">
        <f>IF(($E62&gt;0),L62,L61)</f>
        <v>100</v>
      </c>
      <c r="M68" s="58">
        <f>IF((B68=G68),1,2)</f>
        <v>1</v>
      </c>
    </row>
    <row r="69" spans="2:13" ht="15" hidden="1" customHeight="1" x14ac:dyDescent="0.25">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Montcalm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5133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28</v>
      </c>
      <c r="D7" s="34">
        <f>IF((AND(C66&gt;0,C7&gt;0)),(C7/C66),0)</f>
        <v>5.4548996688096629</v>
      </c>
      <c r="E7" s="33">
        <f>'Data Entry'!G7</f>
        <v>1</v>
      </c>
      <c r="F7" s="34">
        <f>IF((AND($E$7&gt;0,$D$66&gt;0)),($E$7/$D$66),0)</f>
        <v>0</v>
      </c>
      <c r="G7" s="39" t="str">
        <f t="shared" ref="G7:G15" si="0">IF(L$6=100,"*",IF(M7=FALSE,"--",IF(K7=20,"**",($F7/$D7))))</f>
        <v>*</v>
      </c>
      <c r="H7" s="40"/>
      <c r="I7" s="41"/>
      <c r="J7" s="40" t="e">
        <f>IF((ABS($U7)&gt;Defaults!D$7),1,2)</f>
        <v>#DIV/0!</v>
      </c>
      <c r="K7" s="39">
        <f>IF((AND(N7&gt;Defaults!B$12,(N7+O7)&gt;Defaults!B$13, P7 &gt; Defaults!B$12, (P7+Q7) &gt; Defaults!B$13)),1,20)</f>
        <v>20</v>
      </c>
      <c r="L7" s="1" t="e">
        <f t="shared" ref="L7:L15" si="1">(J7*K7+L$6)-1</f>
        <v>#DIV/0!</v>
      </c>
      <c r="M7" s="1" t="b">
        <f t="shared" ref="M7:M15" si="2">(ISNUMBER(J7))</f>
        <v>0</v>
      </c>
      <c r="N7" s="42">
        <f t="shared" ref="N7:N15" si="3">E7</f>
        <v>1</v>
      </c>
      <c r="O7" s="42">
        <f>E6-E7</f>
        <v>-1</v>
      </c>
      <c r="P7" s="42">
        <f t="shared" ref="P7:P15" si="4">C7</f>
        <v>28</v>
      </c>
      <c r="Q7" s="42">
        <f>C6-C7</f>
        <v>5105</v>
      </c>
      <c r="R7" s="42">
        <f t="shared" ref="R7:R15" si="5">SUM(N7:Q7)</f>
        <v>5133</v>
      </c>
      <c r="S7" s="30">
        <f t="shared" ref="S7:S15" si="6">R7*((((N7*Q7)-(O7*P7))^2))</f>
        <v>135242687637</v>
      </c>
      <c r="T7" s="30">
        <f t="shared" ref="T7:T15" si="7">(N7+O7)*(P7+Q7)*(N7+P7)*(O7+Q7)</f>
        <v>0</v>
      </c>
      <c r="U7" s="31" t="e">
        <f t="shared" ref="U7:U15" si="8">IF((S7&gt;0),S7/T7,"- -")</f>
        <v>#DIV/0!</v>
      </c>
    </row>
    <row r="8" spans="2:21" ht="18" customHeight="1" x14ac:dyDescent="0.25">
      <c r="B8" s="32" t="str">
        <f>'Data Entry'!A8</f>
        <v>3. Refer to Juvenile Court</v>
      </c>
      <c r="C8" s="33">
        <f>'Data Entry'!C8</f>
        <v>31</v>
      </c>
      <c r="D8" s="34">
        <f>IF((AND(C67&gt;0,C8&gt;0)),(C8/C67),0)</f>
        <v>110.71428571428571</v>
      </c>
      <c r="E8" s="33">
        <f>'Data Entry'!G8</f>
        <v>0</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0</v>
      </c>
      <c r="O8" s="42">
        <f>((D67*L67)-E8)+0.05</f>
        <v>1.05</v>
      </c>
      <c r="P8" s="42">
        <f t="shared" si="4"/>
        <v>31</v>
      </c>
      <c r="Q8" s="42">
        <f>(C$67*L67)-C8</f>
        <v>-2.9999999999999964</v>
      </c>
      <c r="R8" s="42">
        <f t="shared" si="5"/>
        <v>29.05</v>
      </c>
      <c r="S8" s="30">
        <f t="shared" si="6"/>
        <v>30778.54762500001</v>
      </c>
      <c r="T8" s="30">
        <f t="shared" si="7"/>
        <v>-1777.2299999999971</v>
      </c>
      <c r="U8" s="31">
        <f t="shared" si="8"/>
        <v>-17.318269230769264</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31</v>
      </c>
      <c r="R9" s="42">
        <f t="shared" si="5"/>
        <v>31</v>
      </c>
      <c r="S9" s="30">
        <f t="shared" si="6"/>
        <v>0</v>
      </c>
      <c r="T9" s="30">
        <f t="shared" si="7"/>
        <v>0</v>
      </c>
      <c r="U9" s="31" t="str">
        <f t="shared" si="8"/>
        <v>- -</v>
      </c>
    </row>
    <row r="10" spans="2:21" ht="18" customHeight="1" x14ac:dyDescent="0.25">
      <c r="B10" s="32" t="str">
        <f>'Data Entry'!A10</f>
        <v>5. Cases Involving Secure Detention</v>
      </c>
      <c r="C10" s="33">
        <f>'Data Entry'!C10</f>
        <v>12</v>
      </c>
      <c r="D10" s="34">
        <f>IF(((AND(C68&gt;0,C10&gt;0))),(C10/(C68)),0)</f>
        <v>38.70967741935484</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12</v>
      </c>
      <c r="Q10" s="42">
        <f>(C$68*L68)-C10</f>
        <v>19</v>
      </c>
      <c r="R10" s="42">
        <f t="shared" si="5"/>
        <v>31</v>
      </c>
      <c r="S10" s="30">
        <f t="shared" si="6"/>
        <v>0</v>
      </c>
      <c r="T10" s="30">
        <f t="shared" si="7"/>
        <v>0</v>
      </c>
      <c r="U10" s="31" t="str">
        <f t="shared" si="8"/>
        <v>- -</v>
      </c>
    </row>
    <row r="11" spans="2:21" ht="18" customHeight="1" x14ac:dyDescent="0.25">
      <c r="B11" s="32" t="str">
        <f>'Data Entry'!A11</f>
        <v>6. Cases Petitioned (Charge Filed)</v>
      </c>
      <c r="C11" s="33">
        <f>'Data Entry'!C11</f>
        <v>23</v>
      </c>
      <c r="D11" s="34">
        <f>IF(((AND(C68&gt;0,C11&gt;0))),(C11/(C68)),0)</f>
        <v>74.193548387096769</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8</v>
      </c>
      <c r="R11" s="42">
        <f t="shared" si="5"/>
        <v>31</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43.478260869565219</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13</v>
      </c>
      <c r="R12" s="42">
        <f t="shared" si="5"/>
        <v>23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9</v>
      </c>
      <c r="D14" s="34">
        <f>IF(((AND(C70&gt;0,C14&gt;0))), ((C14/(C70))),0)</f>
        <v>90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1</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5.133</v>
      </c>
      <c r="D42" s="56">
        <f>E6/1000</f>
        <v>0</v>
      </c>
      <c r="E42" s="56">
        <f>MAX(C42:D42)</f>
        <v>5.133</v>
      </c>
      <c r="G42" s="1" t="str">
        <f>B42</f>
        <v>per 1000 youth</v>
      </c>
      <c r="L42" s="57">
        <v>1000</v>
      </c>
      <c r="M42" s="57"/>
      <c r="R42" s="49"/>
    </row>
    <row r="43" spans="2:18" ht="15" hidden="1" customHeight="1" x14ac:dyDescent="0.25">
      <c r="B43" s="49" t="s">
        <v>87</v>
      </c>
      <c r="C43" s="56">
        <f>C7/100</f>
        <v>0.28000000000000003</v>
      </c>
      <c r="D43" s="56">
        <f>E7/100</f>
        <v>0.01</v>
      </c>
      <c r="E43" s="56">
        <f>MAX(C43:D43,0)</f>
        <v>0.28000000000000003</v>
      </c>
      <c r="G43" s="1" t="str">
        <f>B43</f>
        <v>per 100 arrests</v>
      </c>
      <c r="L43" s="57">
        <v>100</v>
      </c>
      <c r="M43" s="57"/>
      <c r="R43" s="49"/>
    </row>
    <row r="44" spans="2:18" ht="15" hidden="1" customHeight="1" x14ac:dyDescent="0.25">
      <c r="B44" s="49" t="s">
        <v>88</v>
      </c>
      <c r="C44" s="56">
        <f>C8/100</f>
        <v>0.31</v>
      </c>
      <c r="D44" s="56">
        <f>E8/100</f>
        <v>0</v>
      </c>
      <c r="E44" s="56">
        <f>MAX(C44:D44,0)</f>
        <v>0.31</v>
      </c>
      <c r="G44" s="1" t="str">
        <f>B44</f>
        <v>per 100 referrals</v>
      </c>
      <c r="L44" s="57">
        <v>100</v>
      </c>
      <c r="M44" s="57"/>
      <c r="R44" s="49"/>
    </row>
    <row r="45" spans="2:18" ht="15" hidden="1" customHeight="1" x14ac:dyDescent="0.25">
      <c r="B45" s="49" t="s">
        <v>89</v>
      </c>
      <c r="C45" s="49">
        <f>C11/100</f>
        <v>0.23</v>
      </c>
      <c r="D45" s="49">
        <f>E11/100</f>
        <v>0</v>
      </c>
      <c r="E45" s="56">
        <f>MAX(C45:D45,0)</f>
        <v>0.23</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5.133</v>
      </c>
      <c r="D48" s="56">
        <f>D42</f>
        <v>0</v>
      </c>
      <c r="E48" s="56">
        <f>MAX(C48:D48)</f>
        <v>5.133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0.28000000000000003</v>
      </c>
      <c r="D49" s="49">
        <f t="shared" si="9"/>
        <v>0.01</v>
      </c>
      <c r="E49" s="49">
        <f>MAX(C49:D49)</f>
        <v>0.28000000000000003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0.31</v>
      </c>
      <c r="D50" s="49">
        <f t="shared" si="9"/>
        <v>0</v>
      </c>
      <c r="E50" s="49">
        <f>MAX(C50:D50)</f>
        <v>0.31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5.133</v>
      </c>
      <c r="D54" s="56">
        <f>D48</f>
        <v>0</v>
      </c>
      <c r="E54" s="56">
        <f>MAX(C54:D54)</f>
        <v>5.133</v>
      </c>
      <c r="G54" s="1" t="str">
        <f>G48</f>
        <v>per 1000 youth</v>
      </c>
      <c r="L54" s="58">
        <f>L48</f>
        <v>1000</v>
      </c>
      <c r="M54" s="58"/>
    </row>
    <row r="55" spans="2:18" ht="15" hidden="1" customHeight="1" x14ac:dyDescent="0.25">
      <c r="B55" s="49" t="str">
        <f t="shared" ref="B55:D56" si="10">IF(($E49&gt;0),B49,B48)</f>
        <v>per 100 arrests</v>
      </c>
      <c r="C55" s="49">
        <f t="shared" si="10"/>
        <v>0.28000000000000003</v>
      </c>
      <c r="D55" s="49">
        <f t="shared" si="10"/>
        <v>0.01</v>
      </c>
      <c r="E55" s="49">
        <f>MAX(C55:D55)</f>
        <v>0.28000000000000003</v>
      </c>
      <c r="G55" s="1" t="str">
        <f>G49</f>
        <v>per 100 arrests</v>
      </c>
      <c r="L55" s="58">
        <f>IF(($E49&gt;0),L49,L48)</f>
        <v>100</v>
      </c>
      <c r="M55" s="58"/>
    </row>
    <row r="56" spans="2:18" ht="15" hidden="1" customHeight="1" x14ac:dyDescent="0.25">
      <c r="B56" s="49" t="str">
        <f t="shared" si="10"/>
        <v>per 100 referrals</v>
      </c>
      <c r="C56" s="49">
        <f t="shared" si="10"/>
        <v>0.31</v>
      </c>
      <c r="D56" s="49">
        <f t="shared" si="10"/>
        <v>0</v>
      </c>
      <c r="E56" s="49">
        <f>MAX(C56:D56)</f>
        <v>0.31</v>
      </c>
      <c r="G56" s="1" t="str">
        <f>G50</f>
        <v>per 100 referrals</v>
      </c>
      <c r="L56" s="58">
        <f>IF(($E50&gt;0),L50,L49)</f>
        <v>100</v>
      </c>
      <c r="M56" s="58"/>
    </row>
    <row r="57" spans="2:18" ht="15" hidden="1" customHeight="1" x14ac:dyDescent="0.25">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5.133</v>
      </c>
      <c r="D60" s="56">
        <f>D54</f>
        <v>0</v>
      </c>
      <c r="E60" s="56">
        <f>MAX(C60:D60)</f>
        <v>5.133</v>
      </c>
      <c r="G60" s="1" t="str">
        <f>G54</f>
        <v>per 1000 youth</v>
      </c>
      <c r="L60" s="58">
        <f>L54</f>
        <v>1000</v>
      </c>
      <c r="M60" s="58"/>
    </row>
    <row r="61" spans="2:18" ht="15" hidden="1" customHeight="1" x14ac:dyDescent="0.25">
      <c r="B61" s="49" t="str">
        <f t="shared" ref="B61:D62" si="11">IF(($E55&gt;0),B55,B54)</f>
        <v>per 100 arrests</v>
      </c>
      <c r="C61" s="49">
        <f t="shared" si="11"/>
        <v>0.28000000000000003</v>
      </c>
      <c r="D61" s="49">
        <f t="shared" si="11"/>
        <v>0.01</v>
      </c>
      <c r="E61" s="49">
        <f>MAX(C61:D61)</f>
        <v>0.28000000000000003</v>
      </c>
      <c r="G61" s="1" t="str">
        <f>G55</f>
        <v>per 100 arrests</v>
      </c>
      <c r="L61" s="58">
        <f>IF(($E55&gt;0),L55,L54)</f>
        <v>100</v>
      </c>
      <c r="M61" s="58"/>
    </row>
    <row r="62" spans="2:18" ht="15" hidden="1" customHeight="1" x14ac:dyDescent="0.25">
      <c r="B62" s="49" t="str">
        <f t="shared" si="11"/>
        <v>per 100 referrals</v>
      </c>
      <c r="C62" s="49">
        <f t="shared" si="11"/>
        <v>0.31</v>
      </c>
      <c r="D62" s="49">
        <f t="shared" si="11"/>
        <v>0</v>
      </c>
      <c r="E62" s="49">
        <f>MAX(C62:D62)</f>
        <v>0.31</v>
      </c>
      <c r="G62" s="1" t="str">
        <f>G56</f>
        <v>per 100 referrals</v>
      </c>
      <c r="L62" s="58">
        <f>IF(($E56&gt;0),L56,L55)</f>
        <v>100</v>
      </c>
      <c r="M62" s="58"/>
    </row>
    <row r="63" spans="2:18" ht="15" hidden="1" customHeight="1" x14ac:dyDescent="0.25">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5.133</v>
      </c>
      <c r="D66" s="56">
        <f>D60</f>
        <v>0</v>
      </c>
      <c r="E66" s="56">
        <f>MAX(C66:D66)</f>
        <v>5.133</v>
      </c>
      <c r="G66" s="1" t="str">
        <f>G60</f>
        <v>per 1000 youth</v>
      </c>
      <c r="L66" s="58">
        <f>L60</f>
        <v>1000</v>
      </c>
      <c r="M66" s="58">
        <f>IF((B66=G66),1,2)</f>
        <v>1</v>
      </c>
    </row>
    <row r="67" spans="2:13" ht="15" hidden="1" customHeight="1" x14ac:dyDescent="0.25">
      <c r="B67" s="49" t="str">
        <f t="shared" ref="B67:D68" si="12">IF(($E61&gt;0),B61,B60)</f>
        <v>per 100 arrests</v>
      </c>
      <c r="C67" s="49">
        <f t="shared" si="12"/>
        <v>0.28000000000000003</v>
      </c>
      <c r="D67" s="49">
        <f t="shared" si="12"/>
        <v>0.01</v>
      </c>
      <c r="E67" s="49">
        <f>MAX(C67:D67)</f>
        <v>0.28000000000000003</v>
      </c>
      <c r="G67" s="1" t="str">
        <f>G61</f>
        <v>per 100 arrests</v>
      </c>
      <c r="L67" s="58">
        <f>IF(($E61&gt;0),L61,L60)</f>
        <v>100</v>
      </c>
      <c r="M67" s="58">
        <f>IF((B67=G67),1,2)</f>
        <v>1</v>
      </c>
    </row>
    <row r="68" spans="2:13" ht="15" hidden="1" customHeight="1" x14ac:dyDescent="0.25">
      <c r="B68" s="49" t="str">
        <f t="shared" si="12"/>
        <v>per 100 referrals</v>
      </c>
      <c r="C68" s="49">
        <f t="shared" si="12"/>
        <v>0.31</v>
      </c>
      <c r="D68" s="49">
        <f t="shared" si="12"/>
        <v>0</v>
      </c>
      <c r="E68" s="49">
        <f>MAX(C68:D68)</f>
        <v>0.31</v>
      </c>
      <c r="G68" s="1" t="str">
        <f>G62</f>
        <v>per 100 referrals</v>
      </c>
      <c r="L68" s="58">
        <f>IF(($E62&gt;0),L62,L61)</f>
        <v>100</v>
      </c>
      <c r="M68" s="58">
        <f>IF((B68=G68),1,2)</f>
        <v>1</v>
      </c>
    </row>
    <row r="69" spans="2:13" ht="15" hidden="1" customHeight="1" x14ac:dyDescent="0.25">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Montcalm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5133</v>
      </c>
      <c r="D6" s="34"/>
      <c r="E6" s="33">
        <f>'Data Entry'!H6</f>
        <v>32</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28</v>
      </c>
      <c r="D7" s="34">
        <f>IF((AND(C66&gt;0,C7&gt;0)),(C7/C66),0)</f>
        <v>5.4548996688096629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32</v>
      </c>
      <c r="P7" s="42">
        <f t="shared" ref="P7:P15" si="4">C7</f>
        <v>28</v>
      </c>
      <c r="Q7" s="42">
        <f>C6-C7</f>
        <v>5105</v>
      </c>
      <c r="R7" s="42">
        <f t="shared" ref="R7:R15" si="5">SUM(N7:Q7)</f>
        <v>5165</v>
      </c>
      <c r="S7" s="30">
        <f t="shared" ref="S7:S15" si="6">R7*((((N7*Q7)-(O7*P7))^2))</f>
        <v>4146544640</v>
      </c>
      <c r="T7" s="30">
        <f t="shared" ref="T7:T15" si="7">(N7+O7)*(P7+Q7)*(N7+P7)*(O7+Q7)</f>
        <v>23625926016</v>
      </c>
      <c r="U7" s="31">
        <f t="shared" ref="U7:U15" si="8">IF((S7&gt;0),S7/T7,"- -")</f>
        <v>0.175508237738147</v>
      </c>
    </row>
    <row r="8" spans="2:21" ht="18" customHeight="1" x14ac:dyDescent="0.25">
      <c r="B8" s="32" t="str">
        <f>'Data Entry'!A8</f>
        <v>3. Refer to Juvenile Court</v>
      </c>
      <c r="C8" s="33">
        <f>'Data Entry'!C8</f>
        <v>31</v>
      </c>
      <c r="D8" s="34">
        <f>IF((AND(C67&gt;0,C8&gt;0)),(C8/C67),0)</f>
        <v>110.71428571428571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31</v>
      </c>
      <c r="Q8" s="42">
        <f>(C$67*L67)-C8</f>
        <v>-2.9999999999999964</v>
      </c>
      <c r="R8" s="42">
        <f t="shared" si="5"/>
        <v>28.050000000000004</v>
      </c>
      <c r="S8" s="30">
        <f t="shared" si="6"/>
        <v>67.390125000000012</v>
      </c>
      <c r="T8" s="30">
        <f t="shared" si="7"/>
        <v>-128.02999999999989</v>
      </c>
      <c r="U8" s="31">
        <f t="shared" si="8"/>
        <v>-0.52636198547215551</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31</v>
      </c>
      <c r="R9" s="42">
        <f t="shared" si="5"/>
        <v>31</v>
      </c>
      <c r="S9" s="30">
        <f t="shared" si="6"/>
        <v>0</v>
      </c>
      <c r="T9" s="30">
        <f t="shared" si="7"/>
        <v>0</v>
      </c>
      <c r="U9" s="31" t="str">
        <f t="shared" si="8"/>
        <v>- -</v>
      </c>
    </row>
    <row r="10" spans="2:21" ht="18" customHeight="1" x14ac:dyDescent="0.25">
      <c r="B10" s="32" t="str">
        <f>'Data Entry'!A10</f>
        <v>5. Cases Involving Secure Detention</v>
      </c>
      <c r="C10" s="33">
        <f>'Data Entry'!C10</f>
        <v>12</v>
      </c>
      <c r="D10" s="34">
        <f>IF(((AND(C68&gt;0,C10&gt;0))),(C10/(C68)),0)</f>
        <v>38.70967741935484</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12</v>
      </c>
      <c r="Q10" s="42">
        <f>(C$68*L68)-C10</f>
        <v>19</v>
      </c>
      <c r="R10" s="42">
        <f t="shared" si="5"/>
        <v>31</v>
      </c>
      <c r="S10" s="30">
        <f t="shared" si="6"/>
        <v>0</v>
      </c>
      <c r="T10" s="30">
        <f t="shared" si="7"/>
        <v>0</v>
      </c>
      <c r="U10" s="31" t="str">
        <f t="shared" si="8"/>
        <v>- -</v>
      </c>
    </row>
    <row r="11" spans="2:21" ht="18" customHeight="1" x14ac:dyDescent="0.25">
      <c r="B11" s="32" t="str">
        <f>'Data Entry'!A11</f>
        <v>6. Cases Petitioned (Charge Filed)</v>
      </c>
      <c r="C11" s="33">
        <f>'Data Entry'!C11</f>
        <v>23</v>
      </c>
      <c r="D11" s="34">
        <f>IF(((AND(C68&gt;0,C11&gt;0))),(C11/(C68)),0)</f>
        <v>74.193548387096769</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8</v>
      </c>
      <c r="R11" s="42">
        <f t="shared" si="5"/>
        <v>31</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43.478260869565219</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13</v>
      </c>
      <c r="R12" s="42">
        <f t="shared" si="5"/>
        <v>23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9</v>
      </c>
      <c r="D14" s="34">
        <f>IF(((AND(C70&gt;0,C14&gt;0))), ((C14/(C70))),0)</f>
        <v>90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1</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5.133</v>
      </c>
      <c r="D42" s="56">
        <f>E6/1000</f>
        <v>3.2000000000000001E-2</v>
      </c>
      <c r="E42" s="56">
        <f>MAX(C42:D42)</f>
        <v>5.133</v>
      </c>
      <c r="G42" s="1" t="str">
        <f>B42</f>
        <v>per 1000 youth</v>
      </c>
      <c r="L42" s="57">
        <v>1000</v>
      </c>
      <c r="M42" s="57"/>
      <c r="R42" s="49"/>
    </row>
    <row r="43" spans="2:18" ht="15" hidden="1" customHeight="1" x14ac:dyDescent="0.25">
      <c r="B43" s="49" t="s">
        <v>87</v>
      </c>
      <c r="C43" s="56">
        <f>C7/100</f>
        <v>0.28000000000000003</v>
      </c>
      <c r="D43" s="56">
        <f>E7/100</f>
        <v>0</v>
      </c>
      <c r="E43" s="56">
        <f>MAX(C43:D43,0)</f>
        <v>0.28000000000000003</v>
      </c>
      <c r="G43" s="1" t="str">
        <f>B43</f>
        <v>per 100 arrests</v>
      </c>
      <c r="L43" s="57">
        <v>100</v>
      </c>
      <c r="M43" s="57"/>
      <c r="R43" s="49"/>
    </row>
    <row r="44" spans="2:18" ht="15" hidden="1" customHeight="1" x14ac:dyDescent="0.25">
      <c r="B44" s="49" t="s">
        <v>88</v>
      </c>
      <c r="C44" s="56">
        <f>C8/100</f>
        <v>0.31</v>
      </c>
      <c r="D44" s="56">
        <f>E8/100</f>
        <v>0</v>
      </c>
      <c r="E44" s="56">
        <f>MAX(C44:D44,0)</f>
        <v>0.31</v>
      </c>
      <c r="G44" s="1" t="str">
        <f>B44</f>
        <v>per 100 referrals</v>
      </c>
      <c r="L44" s="57">
        <v>100</v>
      </c>
      <c r="M44" s="57"/>
      <c r="R44" s="49"/>
    </row>
    <row r="45" spans="2:18" ht="15" hidden="1" customHeight="1" x14ac:dyDescent="0.25">
      <c r="B45" s="49" t="s">
        <v>89</v>
      </c>
      <c r="C45" s="49">
        <f>C11/100</f>
        <v>0.23</v>
      </c>
      <c r="D45" s="49">
        <f>E11/100</f>
        <v>0</v>
      </c>
      <c r="E45" s="56">
        <f>MAX(C45:D45,0)</f>
        <v>0.23</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5.133</v>
      </c>
      <c r="D48" s="56">
        <f>D42</f>
        <v>3.2000000000000001E-2</v>
      </c>
      <c r="E48" s="56">
        <f>MAX(C48:D48)</f>
        <v>5.133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0.28000000000000003</v>
      </c>
      <c r="D49" s="49">
        <f t="shared" si="9"/>
        <v>0</v>
      </c>
      <c r="E49" s="49">
        <f>MAX(C49:D49)</f>
        <v>0.28000000000000003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0.31</v>
      </c>
      <c r="D50" s="49">
        <f t="shared" si="9"/>
        <v>0</v>
      </c>
      <c r="E50" s="49">
        <f>MAX(C50:D50)</f>
        <v>0.31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5.133</v>
      </c>
      <c r="D54" s="56">
        <f>D48</f>
        <v>3.2000000000000001E-2</v>
      </c>
      <c r="E54" s="56">
        <f>MAX(C54:D54)</f>
        <v>5.133</v>
      </c>
      <c r="G54" s="1" t="str">
        <f>G48</f>
        <v>per 1000 youth</v>
      </c>
      <c r="L54" s="58">
        <f>L48</f>
        <v>1000</v>
      </c>
      <c r="M54" s="58"/>
    </row>
    <row r="55" spans="2:18" ht="15" hidden="1" customHeight="1" x14ac:dyDescent="0.25">
      <c r="B55" s="49" t="str">
        <f t="shared" ref="B55:D56" si="10">IF(($E49&gt;0),B49,B48)</f>
        <v>per 100 arrests</v>
      </c>
      <c r="C55" s="49">
        <f t="shared" si="10"/>
        <v>0.28000000000000003</v>
      </c>
      <c r="D55" s="49">
        <f t="shared" si="10"/>
        <v>0</v>
      </c>
      <c r="E55" s="49">
        <f>MAX(C55:D55)</f>
        <v>0.28000000000000003</v>
      </c>
      <c r="G55" s="1" t="str">
        <f>G49</f>
        <v>per 100 arrests</v>
      </c>
      <c r="L55" s="58">
        <f>IF(($E49&gt;0),L49,L48)</f>
        <v>100</v>
      </c>
      <c r="M55" s="58"/>
    </row>
    <row r="56" spans="2:18" ht="15" hidden="1" customHeight="1" x14ac:dyDescent="0.25">
      <c r="B56" s="49" t="str">
        <f t="shared" si="10"/>
        <v>per 100 referrals</v>
      </c>
      <c r="C56" s="49">
        <f t="shared" si="10"/>
        <v>0.31</v>
      </c>
      <c r="D56" s="49">
        <f t="shared" si="10"/>
        <v>0</v>
      </c>
      <c r="E56" s="49">
        <f>MAX(C56:D56)</f>
        <v>0.31</v>
      </c>
      <c r="G56" s="1" t="str">
        <f>G50</f>
        <v>per 100 referrals</v>
      </c>
      <c r="L56" s="58">
        <f>IF(($E50&gt;0),L50,L49)</f>
        <v>100</v>
      </c>
      <c r="M56" s="58"/>
    </row>
    <row r="57" spans="2:18" ht="15" hidden="1" customHeight="1" x14ac:dyDescent="0.25">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5.133</v>
      </c>
      <c r="D60" s="56">
        <f>D54</f>
        <v>3.2000000000000001E-2</v>
      </c>
      <c r="E60" s="56">
        <f>MAX(C60:D60)</f>
        <v>5.133</v>
      </c>
      <c r="G60" s="1" t="str">
        <f>G54</f>
        <v>per 1000 youth</v>
      </c>
      <c r="L60" s="58">
        <f>L54</f>
        <v>1000</v>
      </c>
      <c r="M60" s="58"/>
    </row>
    <row r="61" spans="2:18" ht="15" hidden="1" customHeight="1" x14ac:dyDescent="0.25">
      <c r="B61" s="49" t="str">
        <f t="shared" ref="B61:D62" si="11">IF(($E55&gt;0),B55,B54)</f>
        <v>per 100 arrests</v>
      </c>
      <c r="C61" s="49">
        <f t="shared" si="11"/>
        <v>0.28000000000000003</v>
      </c>
      <c r="D61" s="49">
        <f t="shared" si="11"/>
        <v>0</v>
      </c>
      <c r="E61" s="49">
        <f>MAX(C61:D61)</f>
        <v>0.28000000000000003</v>
      </c>
      <c r="G61" s="1" t="str">
        <f>G55</f>
        <v>per 100 arrests</v>
      </c>
      <c r="L61" s="58">
        <f>IF(($E55&gt;0),L55,L54)</f>
        <v>100</v>
      </c>
      <c r="M61" s="58"/>
    </row>
    <row r="62" spans="2:18" ht="15" hidden="1" customHeight="1" x14ac:dyDescent="0.25">
      <c r="B62" s="49" t="str">
        <f t="shared" si="11"/>
        <v>per 100 referrals</v>
      </c>
      <c r="C62" s="49">
        <f t="shared" si="11"/>
        <v>0.31</v>
      </c>
      <c r="D62" s="49">
        <f t="shared" si="11"/>
        <v>0</v>
      </c>
      <c r="E62" s="49">
        <f>MAX(C62:D62)</f>
        <v>0.31</v>
      </c>
      <c r="G62" s="1" t="str">
        <f>G56</f>
        <v>per 100 referrals</v>
      </c>
      <c r="L62" s="58">
        <f>IF(($E56&gt;0),L56,L55)</f>
        <v>100</v>
      </c>
      <c r="M62" s="58"/>
    </row>
    <row r="63" spans="2:18" ht="15" hidden="1" customHeight="1" x14ac:dyDescent="0.25">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5.133</v>
      </c>
      <c r="D66" s="56">
        <f>D60</f>
        <v>3.2000000000000001E-2</v>
      </c>
      <c r="E66" s="56">
        <f>MAX(C66:D66)</f>
        <v>5.133</v>
      </c>
      <c r="G66" s="1" t="str">
        <f>G60</f>
        <v>per 1000 youth</v>
      </c>
      <c r="L66" s="58">
        <f>L60</f>
        <v>1000</v>
      </c>
      <c r="M66" s="58">
        <f>IF((B66=G66),1,2)</f>
        <v>1</v>
      </c>
    </row>
    <row r="67" spans="2:13" ht="15" hidden="1" customHeight="1" x14ac:dyDescent="0.25">
      <c r="B67" s="49" t="str">
        <f t="shared" ref="B67:D68" si="12">IF(($E61&gt;0),B61,B60)</f>
        <v>per 100 arrests</v>
      </c>
      <c r="C67" s="49">
        <f t="shared" si="12"/>
        <v>0.28000000000000003</v>
      </c>
      <c r="D67" s="49">
        <f t="shared" si="12"/>
        <v>0</v>
      </c>
      <c r="E67" s="49">
        <f>MAX(C67:D67)</f>
        <v>0.28000000000000003</v>
      </c>
      <c r="G67" s="1" t="str">
        <f>G61</f>
        <v>per 100 arrests</v>
      </c>
      <c r="L67" s="58">
        <f>IF(($E61&gt;0),L61,L60)</f>
        <v>100</v>
      </c>
      <c r="M67" s="58">
        <f>IF((B67=G67),1,2)</f>
        <v>1</v>
      </c>
    </row>
    <row r="68" spans="2:13" ht="15" hidden="1" customHeight="1" x14ac:dyDescent="0.25">
      <c r="B68" s="49" t="str">
        <f t="shared" si="12"/>
        <v>per 100 referrals</v>
      </c>
      <c r="C68" s="49">
        <f t="shared" si="12"/>
        <v>0.31</v>
      </c>
      <c r="D68" s="49">
        <f t="shared" si="12"/>
        <v>0</v>
      </c>
      <c r="E68" s="49">
        <f>MAX(C68:D68)</f>
        <v>0.31</v>
      </c>
      <c r="G68" s="1" t="str">
        <f>G62</f>
        <v>per 100 referrals</v>
      </c>
      <c r="L68" s="58">
        <f>IF(($E62&gt;0),L62,L61)</f>
        <v>100</v>
      </c>
      <c r="M68" s="58">
        <f>IF((B68=G68),1,2)</f>
        <v>1</v>
      </c>
    </row>
    <row r="69" spans="2:13" ht="15" hidden="1" customHeight="1" x14ac:dyDescent="0.25">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U47JMPN4QEAR-1806752177-30204</_dlc_DocId>
    <_dlc_DocIdUrl xmlns="ac3811b5-0f3e-49e2-ba69-f2ffa0c782af">
      <Url>https://michiganphi.sharepoint.com/sites/CMDMC/_layouts/15/DocIdRedir.aspx?ID=U47JMPN4QEAR-1806752177-30204</Url>
      <Description>U47JMPN4QEAR-1806752177-30204</Description>
    </_dlc_DocIdUrl>
  </documentManagement>
</p:properties>
</file>

<file path=customXml/itemProps1.xml><?xml version="1.0" encoding="utf-8"?>
<ds:datastoreItem xmlns:ds="http://schemas.openxmlformats.org/officeDocument/2006/customXml" ds:itemID="{CC6AC86D-108D-4BE1-8735-F3D1B1D64C2B}"/>
</file>

<file path=customXml/itemProps2.xml><?xml version="1.0" encoding="utf-8"?>
<ds:datastoreItem xmlns:ds="http://schemas.openxmlformats.org/officeDocument/2006/customXml" ds:itemID="{3BCA436F-A2F1-497A-A3A5-1C2CBEA91975}"/>
</file>

<file path=customXml/itemProps3.xml><?xml version="1.0" encoding="utf-8"?>
<ds:datastoreItem xmlns:ds="http://schemas.openxmlformats.org/officeDocument/2006/customXml" ds:itemID="{70F85A26-A230-4D2A-AF49-0C5C36E85F94}"/>
</file>

<file path=customXml/itemProps4.xml><?xml version="1.0" encoding="utf-8"?>
<ds:datastoreItem xmlns:ds="http://schemas.openxmlformats.org/officeDocument/2006/customXml" ds:itemID="{3A536D6F-DF6E-4043-83D3-A89C170DB2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357e4a13-3ee9-49a0-aa06-15d44273016e</vt:lpwstr>
  </property>
</Properties>
</file>