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28" documentId="8_{7CE27EE1-09CF-4B40-87CB-D74D1193D0F5}" xr6:coauthVersionLast="47" xr6:coauthVersionMax="47" xr10:uidLastSave="{7D1B01D1-9014-44E9-876E-539F4F555721}"/>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48" i="3"/>
  <c r="G54" i="3"/>
  <c r="G60" i="3" s="1"/>
  <c r="G66" i="3" s="1"/>
  <c r="L48" i="3"/>
  <c r="G51" i="3"/>
  <c r="G57" i="3" s="1"/>
  <c r="G63" i="3" s="1"/>
  <c r="G69" i="3" s="1"/>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9" i="8" s="1"/>
  <c r="G55" i="8" s="1"/>
  <c r="G61" i="8" s="1"/>
  <c r="G67" i="8" s="1"/>
  <c r="G44" i="8"/>
  <c r="G50" i="8" s="1"/>
  <c r="G56" i="8" s="1"/>
  <c r="G62" i="8" s="1"/>
  <c r="G68" i="8" s="1"/>
  <c r="G45" i="8"/>
  <c r="G46" i="8"/>
  <c r="G52" i="8" s="1"/>
  <c r="G58" i="8" s="1"/>
  <c r="G64" i="8" s="1"/>
  <c r="G70" i="8" s="1"/>
  <c r="L48" i="8"/>
  <c r="G51" i="8"/>
  <c r="G57" i="8" s="1"/>
  <c r="G63" i="8" s="1"/>
  <c r="G69" i="8" s="1"/>
  <c r="L54" i="8"/>
  <c r="L60" i="8"/>
  <c r="L66"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3" l="1"/>
  <c r="M66" i="3"/>
  <c r="F27" i="5"/>
  <c r="M66" i="5"/>
  <c r="F27" i="2"/>
  <c r="M66" i="2"/>
  <c r="M66" i="7"/>
  <c r="F27" i="7"/>
  <c r="F27" i="4"/>
  <c r="M66" i="4"/>
  <c r="F27" i="6"/>
  <c r="M66" i="6"/>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6" i="7" l="1"/>
  <c r="L52" i="7" s="1"/>
  <c r="E43" i="7"/>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L51" i="2"/>
  <c r="D51" i="2"/>
  <c r="E51" i="2"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E58" i="8"/>
  <c r="D64" i="5"/>
  <c r="E64" i="5" s="1"/>
  <c r="L64" i="3"/>
  <c r="L56" i="8"/>
  <c r="L64" i="5"/>
  <c r="B56" i="8"/>
  <c r="C57" i="8"/>
  <c r="C64" i="8" s="1"/>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E64" i="8" s="1"/>
  <c r="B64" i="8"/>
  <c r="Q8" i="13"/>
  <c r="I7" i="9"/>
  <c r="C63" i="3"/>
  <c r="E57" i="8"/>
  <c r="L63" i="8" s="1"/>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70" i="6" l="1"/>
  <c r="C70" i="3"/>
  <c r="D14" i="3" s="1"/>
  <c r="C70" i="6"/>
  <c r="D13" i="6" s="1"/>
  <c r="L70" i="8"/>
  <c r="B70" i="3"/>
  <c r="M70" i="3" s="1"/>
  <c r="L69" i="7"/>
  <c r="C69" i="7"/>
  <c r="D12" i="7" s="1"/>
  <c r="D70" i="6"/>
  <c r="F13" i="6" s="1"/>
  <c r="E63" i="3"/>
  <c r="C69" i="3" s="1"/>
  <c r="D15" i="3" s="1"/>
  <c r="D63" i="8"/>
  <c r="B63" i="8"/>
  <c r="B70" i="8" s="1"/>
  <c r="M70" i="8" s="1"/>
  <c r="C63" i="8"/>
  <c r="C70" i="8"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E64" i="2"/>
  <c r="L70" i="2" s="1"/>
  <c r="L67" i="6"/>
  <c r="F10" i="3"/>
  <c r="F11" i="3"/>
  <c r="D67" i="6"/>
  <c r="F8" i="6" s="1"/>
  <c r="Q13" i="3"/>
  <c r="M70" i="5"/>
  <c r="E70" i="5"/>
  <c r="Q13" i="5"/>
  <c r="D13" i="5"/>
  <c r="Q14" i="5"/>
  <c r="D14" i="5"/>
  <c r="O13" i="5"/>
  <c r="O14" i="5"/>
  <c r="F35" i="7"/>
  <c r="Q14" i="3"/>
  <c r="F34" i="5"/>
  <c r="B70" i="7"/>
  <c r="F33" i="7" s="1"/>
  <c r="D14" i="6"/>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4" i="6" l="1"/>
  <c r="Q13" i="6"/>
  <c r="Q13" i="8"/>
  <c r="B69" i="6"/>
  <c r="M69" i="6" s="1"/>
  <c r="F14" i="6"/>
  <c r="E70" i="6"/>
  <c r="O14" i="6"/>
  <c r="R14" i="6" s="1"/>
  <c r="S14" i="6" s="1"/>
  <c r="O13" i="6"/>
  <c r="L69" i="3"/>
  <c r="Q12" i="3" s="1"/>
  <c r="D12" i="3"/>
  <c r="D69" i="3"/>
  <c r="E69" i="3" s="1"/>
  <c r="F34" i="3"/>
  <c r="F33" i="3"/>
  <c r="Q12" i="7"/>
  <c r="C69" i="6"/>
  <c r="D12" i="6" s="1"/>
  <c r="E69" i="7"/>
  <c r="D15" i="7"/>
  <c r="Q15" i="7"/>
  <c r="B69" i="3"/>
  <c r="M69" i="3" s="1"/>
  <c r="O13" i="3"/>
  <c r="T13" i="3" s="1"/>
  <c r="F14" i="3"/>
  <c r="E63" i="8"/>
  <c r="D69" i="8" s="1"/>
  <c r="F12" i="8" s="1"/>
  <c r="F12" i="7"/>
  <c r="O12" i="7"/>
  <c r="O15" i="7"/>
  <c r="E70" i="3"/>
  <c r="O14" i="3"/>
  <c r="T14" i="3" s="1"/>
  <c r="D69" i="6"/>
  <c r="F12" i="6" s="1"/>
  <c r="T10" i="3"/>
  <c r="K10" i="4"/>
  <c r="F8" i="7"/>
  <c r="T9" i="4"/>
  <c r="T11" i="4"/>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F32" i="2"/>
  <c r="O13" i="8"/>
  <c r="R10" i="3"/>
  <c r="S10" i="3" s="1"/>
  <c r="F8" i="2"/>
  <c r="O14" i="8"/>
  <c r="F14" i="8"/>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G11" i="3" l="1"/>
  <c r="U10" i="3"/>
  <c r="J10" i="3" s="1"/>
  <c r="M10" i="3" s="1"/>
  <c r="G10" i="3" s="1"/>
  <c r="I11" i="16" s="1"/>
  <c r="T13" i="6"/>
  <c r="U14" i="4"/>
  <c r="J14" i="4" s="1"/>
  <c r="N30" i="4" s="1"/>
  <c r="R13" i="8"/>
  <c r="S13" i="8" s="1"/>
  <c r="U13" i="8" s="1"/>
  <c r="J13" i="8" s="1"/>
  <c r="M13" i="8" s="1"/>
  <c r="G13" i="8" s="1"/>
  <c r="K14" i="16" s="1"/>
  <c r="F32" i="6"/>
  <c r="F35" i="6"/>
  <c r="F12" i="3"/>
  <c r="T14" i="6"/>
  <c r="F35" i="3"/>
  <c r="K14" i="6"/>
  <c r="R13" i="6"/>
  <c r="S13" i="6" s="1"/>
  <c r="U13" i="6" s="1"/>
  <c r="J13" i="6" s="1"/>
  <c r="M13" i="6" s="1"/>
  <c r="G13" i="6" s="1"/>
  <c r="M14" i="13" s="1"/>
  <c r="K13" i="6"/>
  <c r="U9" i="4"/>
  <c r="J9" i="4" s="1"/>
  <c r="M9" i="4" s="1"/>
  <c r="G9" i="4" s="1"/>
  <c r="G10" i="16" s="1"/>
  <c r="F15" i="8"/>
  <c r="K13" i="3"/>
  <c r="C69" i="8"/>
  <c r="E69" i="8" s="1"/>
  <c r="D15" i="6"/>
  <c r="F32" i="3"/>
  <c r="O15" i="3"/>
  <c r="R15" i="3" s="1"/>
  <c r="S15" i="3" s="1"/>
  <c r="U15" i="3" s="1"/>
  <c r="J15" i="3" s="1"/>
  <c r="M15" i="3" s="1"/>
  <c r="G15" i="3" s="1"/>
  <c r="I16" i="16" s="1"/>
  <c r="O12" i="3"/>
  <c r="R12" i="3" s="1"/>
  <c r="S12" i="3" s="1"/>
  <c r="U12" i="3" s="1"/>
  <c r="J12" i="3" s="1"/>
  <c r="F15" i="3"/>
  <c r="T15" i="7"/>
  <c r="R13" i="3"/>
  <c r="S13" i="3" s="1"/>
  <c r="U13" i="3" s="1"/>
  <c r="J13" i="3" s="1"/>
  <c r="M13" i="3" s="1"/>
  <c r="G13" i="3" s="1"/>
  <c r="R12" i="7"/>
  <c r="S12" i="7" s="1"/>
  <c r="R14" i="8"/>
  <c r="S14" i="8" s="1"/>
  <c r="T12" i="7"/>
  <c r="O12" i="6"/>
  <c r="R14" i="3"/>
  <c r="S14" i="3" s="1"/>
  <c r="U14" i="3" s="1"/>
  <c r="J14" i="3" s="1"/>
  <c r="M14" i="3" s="1"/>
  <c r="G14" i="3" s="1"/>
  <c r="I15" i="16" s="1"/>
  <c r="B69" i="8"/>
  <c r="M69" i="8" s="1"/>
  <c r="Q12" i="6"/>
  <c r="L69" i="8"/>
  <c r="O15" i="8" s="1"/>
  <c r="Q15" i="6"/>
  <c r="K15" i="7"/>
  <c r="U10" i="4"/>
  <c r="J10" i="4" s="1"/>
  <c r="M10" i="4" s="1"/>
  <c r="G10" i="4" s="1"/>
  <c r="G11" i="16" s="1"/>
  <c r="K12" i="7"/>
  <c r="T13" i="8"/>
  <c r="R15" i="7"/>
  <c r="S15" i="7" s="1"/>
  <c r="U15" i="7" s="1"/>
  <c r="J15" i="7" s="1"/>
  <c r="E69" i="6"/>
  <c r="K14" i="3"/>
  <c r="O15" i="6"/>
  <c r="F15" i="6"/>
  <c r="L13" i="4"/>
  <c r="O14" i="16" s="1"/>
  <c r="L11" i="4"/>
  <c r="O12" i="16" s="1"/>
  <c r="K8" i="7"/>
  <c r="O13" i="2"/>
  <c r="T8" i="7"/>
  <c r="U8" i="7" s="1"/>
  <c r="J8" i="7" s="1"/>
  <c r="M8" i="7" s="1"/>
  <c r="T13" i="7"/>
  <c r="Q10" i="7"/>
  <c r="F13" i="2"/>
  <c r="Q11" i="7"/>
  <c r="R8" i="6"/>
  <c r="S8" i="6" s="1"/>
  <c r="F14" i="2"/>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R13" i="7"/>
  <c r="S13" i="7" s="1"/>
  <c r="U13" i="7" s="1"/>
  <c r="J13" i="7" s="1"/>
  <c r="M13" i="7" s="1"/>
  <c r="Q13" i="2"/>
  <c r="U9" i="3"/>
  <c r="J9" i="3" s="1"/>
  <c r="L9" i="3" s="1"/>
  <c r="N30" i="5"/>
  <c r="L14" i="5"/>
  <c r="Q15" i="16" s="1"/>
  <c r="L13" i="5"/>
  <c r="Q14" i="16" s="1"/>
  <c r="K13" i="7"/>
  <c r="T8" i="2"/>
  <c r="U8" i="2" s="1"/>
  <c r="J8" i="2" s="1"/>
  <c r="M11" i="4"/>
  <c r="G11" i="4" s="1"/>
  <c r="T14" i="7"/>
  <c r="U14" i="7" s="1"/>
  <c r="J14" i="7" s="1"/>
  <c r="K14" i="7"/>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M14" i="4" l="1"/>
  <c r="G14" i="4" s="1"/>
  <c r="G15" i="16" s="1"/>
  <c r="L14" i="4"/>
  <c r="O15" i="16" s="1"/>
  <c r="E10" i="9"/>
  <c r="Q14" i="13"/>
  <c r="L13" i="8"/>
  <c r="T14" i="16" s="1"/>
  <c r="I13" i="9"/>
  <c r="T15" i="6"/>
  <c r="L15" i="7"/>
  <c r="S16" i="16" s="1"/>
  <c r="U12" i="7"/>
  <c r="J12" i="7" s="1"/>
  <c r="M12" i="7" s="1"/>
  <c r="G13" i="9"/>
  <c r="L13" i="3"/>
  <c r="P14" i="16" s="1"/>
  <c r="L13" i="6"/>
  <c r="R14" i="16" s="1"/>
  <c r="D9" i="9"/>
  <c r="L9" i="4"/>
  <c r="O10" i="16" s="1"/>
  <c r="G10" i="13"/>
  <c r="K12" i="3"/>
  <c r="L12" i="3" s="1"/>
  <c r="P13" i="16" s="1"/>
  <c r="D15" i="8"/>
  <c r="D12" i="8"/>
  <c r="T12" i="3"/>
  <c r="T15" i="3"/>
  <c r="K12" i="6"/>
  <c r="K15" i="3"/>
  <c r="L15" i="3" s="1"/>
  <c r="P16" i="16" s="1"/>
  <c r="Q12" i="8"/>
  <c r="D10" i="9"/>
  <c r="G11" i="13"/>
  <c r="L10" i="4"/>
  <c r="O11" i="16" s="1"/>
  <c r="T12" i="6"/>
  <c r="M15" i="7"/>
  <c r="U14" i="8"/>
  <c r="J14" i="8" s="1"/>
  <c r="N30" i="8" s="1"/>
  <c r="O12" i="8"/>
  <c r="F32" i="8"/>
  <c r="F35" i="8"/>
  <c r="K15" i="6"/>
  <c r="L14" i="3"/>
  <c r="P15" i="16" s="1"/>
  <c r="I15" i="13"/>
  <c r="R12" i="6"/>
  <c r="S12" i="6" s="1"/>
  <c r="U12" i="6" s="1"/>
  <c r="J12" i="6" s="1"/>
  <c r="M12" i="6" s="1"/>
  <c r="G12" i="6" s="1"/>
  <c r="Q15" i="8"/>
  <c r="R15" i="8" s="1"/>
  <c r="S15" i="8" s="1"/>
  <c r="E14" i="9"/>
  <c r="N30" i="3"/>
  <c r="R15" i="6"/>
  <c r="S15" i="6" s="1"/>
  <c r="U15" i="6" s="1"/>
  <c r="J15" i="6" s="1"/>
  <c r="M15" i="6" s="1"/>
  <c r="G15" i="6" s="1"/>
  <c r="M13" i="9"/>
  <c r="U14" i="13"/>
  <c r="U12" i="13"/>
  <c r="M11" i="9"/>
  <c r="T13" i="2"/>
  <c r="U8" i="6"/>
  <c r="J8" i="6" s="1"/>
  <c r="M8" i="6" s="1"/>
  <c r="G8" i="6" s="1"/>
  <c r="M9" i="13" s="1"/>
  <c r="R13" i="2"/>
  <c r="S13" i="2" s="1"/>
  <c r="U13" i="2" s="1"/>
  <c r="J13" i="2" s="1"/>
  <c r="M13" i="2" s="1"/>
  <c r="G13" i="2" s="1"/>
  <c r="E14" i="16"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D13" i="9"/>
  <c r="G14" i="13"/>
  <c r="K9" i="7"/>
  <c r="T14" i="2"/>
  <c r="V12" i="13"/>
  <c r="N11" i="9"/>
  <c r="T15" i="5"/>
  <c r="W14" i="13"/>
  <c r="L13" i="7"/>
  <c r="S14" i="16" s="1"/>
  <c r="M9" i="3"/>
  <c r="G9" i="3" s="1"/>
  <c r="I10" i="13" s="1"/>
  <c r="I14" i="13"/>
  <c r="I14" i="16"/>
  <c r="G12" i="13"/>
  <c r="G12" i="16"/>
  <c r="N9" i="9"/>
  <c r="P10" i="16"/>
  <c r="M14" i="7"/>
  <c r="N30" i="7"/>
  <c r="L14" i="7"/>
  <c r="S15" i="16" s="1"/>
  <c r="L8" i="7"/>
  <c r="S9" i="16" s="1"/>
  <c r="O13" i="9"/>
  <c r="M9"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Y16" i="13" l="1"/>
  <c r="Q15" i="9"/>
  <c r="R13" i="9"/>
  <c r="Z14" i="13"/>
  <c r="X14" i="13"/>
  <c r="N13" i="9"/>
  <c r="P13" i="9"/>
  <c r="L12" i="7"/>
  <c r="S13" i="16" s="1"/>
  <c r="V14" i="13"/>
  <c r="U10" i="13"/>
  <c r="M10" i="9"/>
  <c r="T12" i="8"/>
  <c r="T15" i="8"/>
  <c r="U15" i="8" s="1"/>
  <c r="J15" i="8" s="1"/>
  <c r="M15" i="8" s="1"/>
  <c r="G15" i="8" s="1"/>
  <c r="K16" i="16" s="1"/>
  <c r="L12" i="6"/>
  <c r="R13" i="16" s="1"/>
  <c r="U11" i="13"/>
  <c r="V15" i="13"/>
  <c r="N14" i="9"/>
  <c r="L15" i="6"/>
  <c r="R16" i="16" s="1"/>
  <c r="U14" i="2"/>
  <c r="J14" i="2" s="1"/>
  <c r="M14" i="2" s="1"/>
  <c r="G14" i="2" s="1"/>
  <c r="E15" i="16" s="1"/>
  <c r="K12" i="8"/>
  <c r="R12" i="8"/>
  <c r="S12" i="8" s="1"/>
  <c r="M14" i="8"/>
  <c r="G14" i="8" s="1"/>
  <c r="K15" i="16" s="1"/>
  <c r="L14" i="8"/>
  <c r="T15" i="16" s="1"/>
  <c r="U11" i="7"/>
  <c r="J11" i="7" s="1"/>
  <c r="M11" i="7" s="1"/>
  <c r="K15" i="8"/>
  <c r="U10" i="7"/>
  <c r="J10" i="7" s="1"/>
  <c r="L10" i="7" s="1"/>
  <c r="S11" i="16"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L15" i="8" l="1"/>
  <c r="T16" i="16" s="1"/>
  <c r="Y13" i="13"/>
  <c r="Q12" i="9"/>
  <c r="U12" i="8"/>
  <c r="J12" i="8" s="1"/>
  <c r="M12" i="8" s="1"/>
  <c r="G12" i="8" s="1"/>
  <c r="K13" i="16" s="1"/>
  <c r="M10" i="7"/>
  <c r="P15" i="9"/>
  <c r="X13" i="13"/>
  <c r="X16" i="13"/>
  <c r="P12" i="9"/>
  <c r="L11" i="7"/>
  <c r="S12" i="16" s="1"/>
  <c r="N30" i="2"/>
  <c r="L14" i="2"/>
  <c r="N15" i="16" s="1"/>
  <c r="E15" i="13"/>
  <c r="C14" i="9"/>
  <c r="I14" i="9"/>
  <c r="R14" i="9"/>
  <c r="Q15"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Q13" i="13" l="1"/>
  <c r="L12" i="8"/>
  <c r="T13" i="16" s="1"/>
  <c r="I12" i="9"/>
  <c r="Y12" i="13"/>
  <c r="Q11" i="9"/>
  <c r="T15" i="13"/>
  <c r="L14" i="9"/>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<sst xmlns="http://schemas.openxmlformats.org/spreadsheetml/2006/main" count="654" uniqueCount="141">
  <si>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</si>
  <si>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</si>
  <si>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</si>
  <si>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</si>
  <si>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</si>
  <si>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</si>
  <si>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</si>
  <si>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</si>
  <si>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</si>
  <si>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</si>
  <si>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</si>
  <si>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</si>
  <si>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</si>
  <si>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</si>
  <si>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</si>
  <si>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</si>
  <si>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</si>
  <si>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</si>
  <si>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</si>
  <si>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</si>
  <si>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</si>
  <si>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</si>
  <si>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</si>
  <si>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</si>
  <si>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</si>
  <si>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</si>
  <si>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</si>
  <si>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</si>
  <si>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</si>
  <si>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</si>
  <si>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</si>
  <si>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</si>
  <si>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</si>
  <si>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</si>
  <si>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</si>
  <si>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</si>
  <si>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</si>
  <si>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</si>
  <si>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</si>
  <si>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</si>
  <si>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</si>
  <si>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</si>
  <si>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</si>
  <si>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</si>
  <si>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</si>
  <si>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</si>
  <si>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</si>
  <si>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</si>
  <si>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</si>
  <si>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</si>
  <si>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</si>
  <si>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</si>
  <si>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</si>
  <si>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</si>
  <si>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</si>
  <si>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</si>
  <si>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</si>
  <si>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</si>
  <si>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</si>
  <si>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</si>
  <si>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</si>
  <si>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</si>
  <si>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</si>
  <si>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</si>
  <si>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</si>
  <si>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</si>
  <si>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</si>
  <si>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</si>
  <si>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</si>
  <si>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</si>
  <si>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</si>
  <si>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</si>
  <si>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</si>
  <si>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</si>
  <si>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</si>
  <si>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</si>
  <si>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</si>
  <si>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</si>
  <si>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</si>
  <si>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</si>
  <si>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</si>
  <si>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</si>
  <si>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</si>
  <si>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</si>
  <si>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</si>
  <si>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</si>
  <si>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</si>
  <si>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</si>
  <si>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</si>
  <si>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</si>
  <si>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</si>
  <si>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</si>
  <si>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</si>
  <si>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</si>
  <si>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</si>
  <si>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</si>
  <si>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</si>
  <si>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</si>
  <si>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</si>
  <si>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</si>
  <si>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</si>
  <si>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</si>
  <si>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</si>
  <si>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</si>
  <si>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</si>
  <si>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</si>
  <si>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</si>
  <si>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</si>
  <si>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</si>
  <si>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</si>
  <si>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</si>
  <si>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</si>
  <si>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</si>
  <si>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</si>
  <si>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</si>
  <si>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</si>
  <si>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</si>
  <si>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</si>
  <si>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</si>
  <si>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</si>
  <si>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</si>
  <si>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</si>
  <si>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</si>
  <si>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</si>
  <si>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</si>
  <si>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</si>
  <si>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</si>
  <si>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</si>
  <si>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</si>
  <si>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</si>
  <si>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</si>
  <si>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</si>
  <si>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</si>
  <si>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</si>
  <si>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</si>
  <si>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</si>
  <si>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Monroe</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</si>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</sst>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Monroe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N=14</c:v>
                </c:pt>
                <c:pt idx="2">
                  <c:v>Delinquent Findings, total N=62</c:v>
                </c:pt>
                <c:pt idx="3">
                  <c:v>Petitions, total N=69</c:v>
                </c:pt>
                <c:pt idx="4">
                  <c:v>Detentions, total N=35</c:v>
                </c:pt>
                <c:pt idx="5">
                  <c:v>Referrals, total N=350</c:v>
                </c:pt>
                <c:pt idx="6">
                  <c:v>Arrests, total N=28</c:v>
                </c:pt>
                <c:pt idx="7">
                  <c:v>Population, total N=15123</c:v>
                </c:pt>
              </c:strCache>
            </c:strRef>
          </c:cat>
          <c:val>
            <c:numRef>
              <c:f>'Stacked 100%'!$B$7:$B$14</c:f>
              <c:numCache>
                <c:formatCode>0%</c:formatCode>
                <c:ptCount val="8"/>
                <c:pt idx="0">
                  <c:v>1</c:v>
                </c:pt>
                <c:pt idx="1">
                  <c:v>0</c:v>
                </c:pt>
                <c:pt idx="2">
                  <c:v>0.27419354838709675</c:v>
                </c:pt>
                <c:pt idx="3">
                  <c:v>0.28985507246376813</c:v>
                </c:pt>
                <c:pt idx="4">
                  <c:v>0.2857142857142857</c:v>
                </c:pt>
                <c:pt idx="5">
                  <c:v>0.16285714285714287</c:v>
                </c:pt>
                <c:pt idx="6">
                  <c:v>0.25</c:v>
                </c:pt>
                <c:pt idx="7">
                  <c:v>4.3443761158500301E-2</c:v>
                </c:pt>
              </c:numCache>
            </c:numRef>
          </c:val>
          <c:extLst>
            <c:ext xmlns:c16="http://schemas.microsoft.com/office/drawing/2014/chart" uri="{C3380CC4-5D6E-409C-BE32-E72D297353CC}">
              <c16:uniqueId val="{00000000-CBF2-403A-89C6-0774F0A21B8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N=14</c:v>
                </c:pt>
                <c:pt idx="2">
                  <c:v>Delinquent Findings, total N=62</c:v>
                </c:pt>
                <c:pt idx="3">
                  <c:v>Petitions, total N=69</c:v>
                </c:pt>
                <c:pt idx="4">
                  <c:v>Detentions, total N=35</c:v>
                </c:pt>
                <c:pt idx="5">
                  <c:v>Referrals, total N=350</c:v>
                </c:pt>
                <c:pt idx="6">
                  <c:v>Arrests, total N=28</c:v>
                </c:pt>
                <c:pt idx="7">
                  <c:v>Population, total N=15123</c:v>
                </c:pt>
              </c:strCache>
            </c:strRef>
          </c:cat>
          <c:val>
            <c:numRef>
              <c:f>'Stacked 100%'!$C$7:$C$14</c:f>
              <c:numCache>
                <c:formatCode>0%</c:formatCode>
                <c:ptCount val="8"/>
                <c:pt idx="0">
                  <c:v>0</c:v>
                </c:pt>
                <c:pt idx="1">
                  <c:v>0</c:v>
                </c:pt>
                <c:pt idx="2">
                  <c:v>1.6129032258064516E-2</c:v>
                </c:pt>
                <c:pt idx="3">
                  <c:v>1.4492753623188406E-2</c:v>
                </c:pt>
                <c:pt idx="4">
                  <c:v>0</c:v>
                </c:pt>
                <c:pt idx="5">
                  <c:v>2.8571428571428571E-3</c:v>
                </c:pt>
                <c:pt idx="6">
                  <c:v>0</c:v>
                </c:pt>
                <c:pt idx="7">
                  <c:v>5.9247503802155654E-2</c:v>
                </c:pt>
              </c:numCache>
            </c:numRef>
          </c:val>
          <c:extLst>
            <c:ext xmlns:c16="http://schemas.microsoft.com/office/drawing/2014/chart" uri="{C3380CC4-5D6E-409C-BE32-E72D297353CC}">
              <c16:uniqueId val="{00000001-CBF2-403A-89C6-0774F0A21B8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N=1</c:v>
                </c:pt>
                <c:pt idx="1">
                  <c:v>Confinement, total N=14</c:v>
                </c:pt>
                <c:pt idx="2">
                  <c:v>Delinquent Findings, total N=62</c:v>
                </c:pt>
                <c:pt idx="3">
                  <c:v>Petitions, total N=69</c:v>
                </c:pt>
                <c:pt idx="4">
                  <c:v>Detentions, total N=35</c:v>
                </c:pt>
                <c:pt idx="5">
                  <c:v>Referrals, total N=350</c:v>
                </c:pt>
                <c:pt idx="6">
                  <c:v>Arrests, total N=28</c:v>
                </c:pt>
                <c:pt idx="7">
                  <c:v>Population, total N=15123</c:v>
                </c:pt>
              </c:strCache>
            </c:strRef>
          </c:cat>
          <c:val>
            <c:numRef>
              <c:f>'Stacked 100%'!$H$7:$H$14</c:f>
              <c:numCache>
                <c:formatCode>0%</c:formatCode>
                <c:ptCount val="8"/>
                <c:pt idx="0">
                  <c:v>0</c:v>
                </c:pt>
                <c:pt idx="1">
                  <c:v>2.5510204081632654E-2</c:v>
                </c:pt>
                <c:pt idx="2">
                  <c:v>1.5608740894901144E-3</c:v>
                </c:pt>
                <c:pt idx="3">
                  <c:v>1.260239445494644E-3</c:v>
                </c:pt>
                <c:pt idx="4">
                  <c:v>3.2653061224489793E-3</c:v>
                </c:pt>
                <c:pt idx="5">
                  <c:v>1.3061224489795917E-4</c:v>
                </c:pt>
                <c:pt idx="6">
                  <c:v>0</c:v>
                </c:pt>
                <c:pt idx="7">
                  <c:v>9.3570267066463556E-7</c:v>
                </c:pt>
              </c:numCache>
            </c:numRef>
          </c:val>
          <c:extLst>
            <c:ext xmlns:c16="http://schemas.microsoft.com/office/drawing/2014/chart" uri="{C3380CC4-5D6E-409C-BE32-E72D297353CC}">
              <c16:uniqueId val="{00000002-CBF2-403A-89C6-0774F0A21B8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N=14</c:v>
                </c:pt>
                <c:pt idx="2">
                  <c:v>Delinquent Findings, total N=62</c:v>
                </c:pt>
                <c:pt idx="3">
                  <c:v>Petitions, total N=69</c:v>
                </c:pt>
                <c:pt idx="4">
                  <c:v>Detentions, total N=35</c:v>
                </c:pt>
                <c:pt idx="5">
                  <c:v>Referrals, total N=350</c:v>
                </c:pt>
                <c:pt idx="6">
                  <c:v>Arrests, total N=28</c:v>
                </c:pt>
                <c:pt idx="7">
                  <c:v>Population, total N=15123</c:v>
                </c:pt>
              </c:strCache>
            </c:strRef>
          </c:cat>
          <c:val>
            <c:numRef>
              <c:f>'Stacked 100%'!$I$7:$I$14</c:f>
              <c:numCache>
                <c:formatCode>0%</c:formatCode>
                <c:ptCount val="8"/>
                <c:pt idx="0">
                  <c:v>0</c:v>
                </c:pt>
                <c:pt idx="1">
                  <c:v>0.6428571428571429</c:v>
                </c:pt>
                <c:pt idx="2">
                  <c:v>0.61290322580645162</c:v>
                </c:pt>
                <c:pt idx="3">
                  <c:v>0.60869565217391308</c:v>
                </c:pt>
                <c:pt idx="4">
                  <c:v>0.6</c:v>
                </c:pt>
                <c:pt idx="5">
                  <c:v>0.7857142857142857</c:v>
                </c:pt>
                <c:pt idx="6">
                  <c:v>0.75</c:v>
                </c:pt>
                <c:pt idx="7">
                  <c:v>0.88315810355088276</c:v>
                </c:pt>
              </c:numCache>
            </c:numRef>
          </c:val>
          <c:extLst>
            <c:ext xmlns:c16="http://schemas.microsoft.com/office/drawing/2014/chart" uri="{C3380CC4-5D6E-409C-BE32-E72D297353CC}">
              <c16:uniqueId val="{00000003-CBF2-403A-89C6-0774F0A21B8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N=1</c:v>
                </c:pt>
                <c:pt idx="1">
                  <c:v>Confinement, total N=14</c:v>
                </c:pt>
                <c:pt idx="2">
                  <c:v>Delinquent Findings, total N=62</c:v>
                </c:pt>
                <c:pt idx="3">
                  <c:v>Petitions, total N=69</c:v>
                </c:pt>
                <c:pt idx="4">
                  <c:v>Detentions, total N=35</c:v>
                </c:pt>
                <c:pt idx="5">
                  <c:v>Referrals, total N=350</c:v>
                </c:pt>
                <c:pt idx="6">
                  <c:v>Arrests, total N=28</c:v>
                </c:pt>
                <c:pt idx="7">
                  <c:v>Population, total N=15123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BF2-403A-89C6-0774F0A21B8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5" sqref="E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15123</v>
      </c>
      <c r="C6" s="11">
        <v>13356</v>
      </c>
      <c r="D6" s="11">
        <v>657</v>
      </c>
      <c r="E6" s="11">
        <v>896</v>
      </c>
      <c r="F6" s="11">
        <v>167</v>
      </c>
      <c r="G6" s="11"/>
      <c r="H6" s="11">
        <v>47</v>
      </c>
      <c r="I6" s="11"/>
      <c r="J6" s="91">
        <f>SUM(D6:I6)</f>
        <v>1767</v>
      </c>
      <c r="K6" s="92"/>
    </row>
    <row r="7" spans="1:11" ht="15.75" customHeight="1" thickBot="1">
      <c r="A7" s="10" t="s">
        <v>8</v>
      </c>
      <c r="B7" s="11">
        <f t="shared" ref="B7:B15" si="0">SUM(C7:I7)+K7</f>
        <v>28</v>
      </c>
      <c r="C7" s="11">
        <v>21</v>
      </c>
      <c r="D7" s="11">
        <v>7</v>
      </c>
      <c r="E7" s="11"/>
      <c r="F7" s="11"/>
      <c r="G7" s="11"/>
      <c r="H7" s="11"/>
      <c r="I7" s="11"/>
      <c r="J7" s="91">
        <f t="shared" ref="J7:J15" si="1">SUM(D7:I7)</f>
        <v>7</v>
      </c>
      <c r="K7" s="92"/>
    </row>
    <row r="8" spans="1:11" ht="15.75" customHeight="1" thickBot="1">
      <c r="A8" s="10" t="s">
        <v>9</v>
      </c>
      <c r="B8" s="11">
        <f t="shared" si="0"/>
        <v>350</v>
      </c>
      <c r="C8" s="11">
        <v>275</v>
      </c>
      <c r="D8" s="11">
        <v>57</v>
      </c>
      <c r="E8" s="11">
        <v>1</v>
      </c>
      <c r="F8" s="11">
        <v>1</v>
      </c>
      <c r="G8" s="11"/>
      <c r="H8" s="11"/>
      <c r="I8" s="11">
        <v>15</v>
      </c>
      <c r="J8" s="91">
        <f t="shared" si="1"/>
        <v>74</v>
      </c>
      <c r="K8" s="92">
        <v>1</v>
      </c>
    </row>
    <row r="9" spans="1:11" ht="15.75" customHeight="1" thickBot="1">
      <c r="A9" s="10" t="s">
        <v>10</v>
      </c>
      <c r="B9" s="11">
        <f t="shared" si="0"/>
        <v>256</v>
      </c>
      <c r="C9" s="11">
        <v>218</v>
      </c>
      <c r="D9" s="11">
        <v>29</v>
      </c>
      <c r="E9" s="11"/>
      <c r="F9" s="11">
        <v>1</v>
      </c>
      <c r="G9" s="11"/>
      <c r="H9" s="11"/>
      <c r="I9" s="11">
        <v>7</v>
      </c>
      <c r="J9" s="91">
        <f t="shared" si="1"/>
        <v>37</v>
      </c>
      <c r="K9" s="92">
        <v>1</v>
      </c>
    </row>
    <row r="10" spans="1:11" ht="15.75" customHeight="1" thickBot="1">
      <c r="A10" s="10" t="s">
        <v>11</v>
      </c>
      <c r="B10" s="11">
        <f t="shared" si="0"/>
        <v>35</v>
      </c>
      <c r="C10" s="11">
        <v>21</v>
      </c>
      <c r="D10" s="11">
        <v>10</v>
      </c>
      <c r="E10" s="11"/>
      <c r="F10" s="11"/>
      <c r="G10" s="11"/>
      <c r="H10" s="11"/>
      <c r="I10" s="11">
        <v>4</v>
      </c>
      <c r="J10" s="91">
        <f t="shared" si="1"/>
        <v>14</v>
      </c>
      <c r="K10" s="92"/>
    </row>
    <row r="11" spans="1:11" ht="15.75" customHeight="1" thickBot="1">
      <c r="A11" s="10" t="s">
        <v>12</v>
      </c>
      <c r="B11" s="11">
        <f t="shared" si="0"/>
        <v>69</v>
      </c>
      <c r="C11" s="11">
        <v>42</v>
      </c>
      <c r="D11" s="11">
        <v>20</v>
      </c>
      <c r="E11" s="11">
        <v>1</v>
      </c>
      <c r="F11" s="11"/>
      <c r="G11" s="11"/>
      <c r="H11" s="11"/>
      <c r="I11" s="11">
        <v>6</v>
      </c>
      <c r="J11" s="91">
        <f t="shared" si="1"/>
        <v>27</v>
      </c>
      <c r="K11" s="92"/>
    </row>
    <row r="12" spans="1:11" ht="15.75" customHeight="1" thickBot="1">
      <c r="A12" s="10" t="s">
        <v>13</v>
      </c>
      <c r="B12" s="11">
        <f t="shared" si="0"/>
        <v>62</v>
      </c>
      <c r="C12" s="11">
        <v>38</v>
      </c>
      <c r="D12" s="11">
        <v>17</v>
      </c>
      <c r="E12" s="11">
        <v>1</v>
      </c>
      <c r="F12" s="11"/>
      <c r="G12" s="11"/>
      <c r="H12" s="11"/>
      <c r="I12" s="11">
        <v>6</v>
      </c>
      <c r="J12" s="91">
        <f t="shared" si="1"/>
        <v>24</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14</v>
      </c>
      <c r="C14" s="11">
        <v>9</v>
      </c>
      <c r="D14" s="11"/>
      <c r="E14" s="11"/>
      <c r="F14" s="11"/>
      <c r="G14" s="11"/>
      <c r="H14" s="11"/>
      <c r="I14" s="11">
        <v>5</v>
      </c>
      <c r="J14" s="91">
        <f t="shared" si="1"/>
        <v>5</v>
      </c>
      <c r="K14" s="92"/>
    </row>
    <row r="15" spans="1:11" ht="15.75" customHeight="1" thickBot="1">
      <c r="A15" s="10" t="s">
        <v>16</v>
      </c>
      <c r="B15" s="11">
        <f t="shared" si="0"/>
        <v>1</v>
      </c>
      <c r="C15" s="11"/>
      <c r="D15" s="11">
        <v>1</v>
      </c>
      <c r="E15" s="11"/>
      <c r="F15" s="11"/>
      <c r="G15" s="11"/>
      <c r="H15" s="11"/>
      <c r="I15" s="11"/>
      <c r="J15" s="91">
        <f t="shared" si="1"/>
        <v>1</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Monroe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13356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1.5723270440251573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21</v>
      </c>
      <c r="Q7" s="42">
        <f>C6-C7</f>
        <v>13335</v>
      </c>
      <c r="R7" s="42">
        <f t="shared" ref="R7:R15" si="5">SUM(N7:Q7)</f>
        <v>13356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275</v>
      </c>
      <c r="D8" s="34">
        <f>IF((AND(C67&gt;0,C8&gt;0)),(C8/C67),0)</f>
        <v>1309.5238095238096</v>
      </c>
      <c r="E8" s="33">
        <f>'Data Entry'!I8</f>
        <v>15</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15</v>
      </c>
      <c r="O8" s="42">
        <f>((D67*L67)-E8)+0.05</f>
        <v>-14.95</v>
      </c>
      <c r="P8" s="42">
        <f t="shared" si="4"/>
        <v>275</v>
      </c>
      <c r="Q8" s="42">
        <f>(C$67*L67)-C8</f>
        <v>-254</v>
      </c>
      <c r="R8" s="42">
        <f t="shared" si="5"/>
        <v>21.050000000000011</v>
      </c>
      <c r="S8" s="30">
        <f t="shared" si="6"/>
        <v>1910320.3906250009</v>
      </c>
      <c r="T8" s="30">
        <f t="shared" si="7"/>
        <v>-81895.275000001158</v>
      </c>
      <c r="U8" s="31">
        <f t="shared" si="8"/>
        <v>-23.326381047318957</v>
      </c>
    </row>
    <row r="9" spans="2:21" ht="18" customHeight="1">
      <c r="B9" s="32" t="str">
        <f>'Data Entry'!A9</f>
        <v xml:space="preserve">4. Cases Diverted </v>
      </c>
      <c r="C9" s="33">
        <f>'Data Entry'!C9</f>
        <v>218</v>
      </c>
      <c r="D9" s="34">
        <f>IF((AND(C68&gt;0,C9&gt;0)),((C9/C68)),0)</f>
        <v>79.272727272727266</v>
      </c>
      <c r="E9" s="33">
        <f>'Data Entry'!I9</f>
        <v>7</v>
      </c>
      <c r="F9" s="34">
        <f>IF((AND($E$9&gt;0,$D$68&gt;0)),(($E$9/$D$68)),0)</f>
        <v>46.666666666666671</v>
      </c>
      <c r="G9" s="39" t="str">
        <f t="shared" si="0"/>
        <v>*</v>
      </c>
      <c r="H9" s="40"/>
      <c r="I9" s="41"/>
      <c r="J9" s="40">
        <f>IF((ABS($U9)&gt;Defaults!D$7),1,2)</f>
        <v>1</v>
      </c>
      <c r="K9" s="39">
        <f>IF((AND(N9&gt;Defaults!B$12,(N9+O9)&gt;Defaults!B$13, P9 &gt; Defaults!B$12, (P9+Q9) &gt; Defaults!B$13)),1,20)</f>
        <v>20</v>
      </c>
      <c r="L9" s="1">
        <f t="shared" si="1"/>
        <v>119</v>
      </c>
      <c r="M9" s="1" t="b">
        <f t="shared" si="2"/>
        <v>1</v>
      </c>
      <c r="N9" s="42">
        <f t="shared" si="3"/>
        <v>7</v>
      </c>
      <c r="O9" s="42">
        <f>(D$68*L68)-E9</f>
        <v>8</v>
      </c>
      <c r="P9" s="42">
        <f t="shared" si="4"/>
        <v>218</v>
      </c>
      <c r="Q9" s="42">
        <f>(C$68*L68)-C9</f>
        <v>57</v>
      </c>
      <c r="R9" s="42">
        <f t="shared" si="5"/>
        <v>290</v>
      </c>
      <c r="S9" s="30">
        <f t="shared" si="6"/>
        <v>524617250</v>
      </c>
      <c r="T9" s="30">
        <f t="shared" si="7"/>
        <v>60328125</v>
      </c>
      <c r="U9" s="31">
        <f t="shared" si="8"/>
        <v>8.6960642320642325</v>
      </c>
    </row>
    <row r="10" spans="2:21" ht="18" customHeight="1">
      <c r="B10" s="32" t="str">
        <f>'Data Entry'!A10</f>
        <v>5. Cases Involving Secure Detention</v>
      </c>
      <c r="C10" s="33">
        <f>'Data Entry'!C10</f>
        <v>21</v>
      </c>
      <c r="D10" s="34">
        <f>IF(((AND(C68&gt;0,C10&gt;0))),(C10/(C68)),0)</f>
        <v>7.6363636363636367</v>
      </c>
      <c r="E10" s="33">
        <f>'Data Entry'!I10</f>
        <v>4</v>
      </c>
      <c r="F10" s="34">
        <f>IF(((AND($E$10&gt;0,$D$68&gt;0))),($E$10/($D$68)),0)</f>
        <v>26.666666666666668</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4</v>
      </c>
      <c r="O10" s="42">
        <f>(D$68*L68)-E10</f>
        <v>11</v>
      </c>
      <c r="P10" s="42">
        <f t="shared" si="4"/>
        <v>21</v>
      </c>
      <c r="Q10" s="42">
        <f>(C$68*L68)-C10</f>
        <v>254</v>
      </c>
      <c r="R10" s="42">
        <f t="shared" si="5"/>
        <v>290</v>
      </c>
      <c r="S10" s="30">
        <f t="shared" si="6"/>
        <v>178705250</v>
      </c>
      <c r="T10" s="30">
        <f t="shared" si="7"/>
        <v>27328125</v>
      </c>
      <c r="U10" s="31">
        <f t="shared" si="8"/>
        <v>6.5392429959977134</v>
      </c>
    </row>
    <row r="11" spans="2:21" ht="18" customHeight="1">
      <c r="B11" s="32" t="str">
        <f>'Data Entry'!A11</f>
        <v>6. Cases Petitioned (Charge Filed)</v>
      </c>
      <c r="C11" s="33">
        <f>'Data Entry'!C11</f>
        <v>42</v>
      </c>
      <c r="D11" s="34">
        <f>IF(((AND(C68&gt;0,C11&gt;0))),(C11/(C68)),0)</f>
        <v>15.272727272727273</v>
      </c>
      <c r="E11" s="33">
        <f>'Data Entry'!I11</f>
        <v>6</v>
      </c>
      <c r="F11" s="34">
        <f>IF(((AND($E$11&gt;0,$D$68&gt;0))),($E$11/($D$68)),0)</f>
        <v>40</v>
      </c>
      <c r="G11" s="39" t="str">
        <f t="shared" si="0"/>
        <v>*</v>
      </c>
      <c r="H11" s="40"/>
      <c r="I11" s="41"/>
      <c r="J11" s="40">
        <f>IF((ABS($U11)&gt;Defaults!D$7),1,2)</f>
        <v>1</v>
      </c>
      <c r="K11" s="39">
        <f>IF((AND(N11&gt;Defaults!B$12,(N11+O11)&gt;Defaults!B$13, P11 &gt; Defaults!B$12, (P11+Q11) &gt; Defaults!B$13)),1,20)</f>
        <v>20</v>
      </c>
      <c r="L11" s="1">
        <f t="shared" si="1"/>
        <v>119</v>
      </c>
      <c r="M11" s="1" t="b">
        <f t="shared" si="2"/>
        <v>1</v>
      </c>
      <c r="N11" s="42">
        <f t="shared" si="3"/>
        <v>6</v>
      </c>
      <c r="O11" s="42">
        <f>(D$68*L68)-E11</f>
        <v>9</v>
      </c>
      <c r="P11" s="42">
        <f t="shared" si="4"/>
        <v>42</v>
      </c>
      <c r="Q11" s="42">
        <f>(C$68*L68)-C11</f>
        <v>233</v>
      </c>
      <c r="R11" s="42">
        <f t="shared" si="5"/>
        <v>290</v>
      </c>
      <c r="S11" s="30">
        <f t="shared" si="6"/>
        <v>301716000</v>
      </c>
      <c r="T11" s="30">
        <f t="shared" si="7"/>
        <v>47916000</v>
      </c>
      <c r="U11" s="31">
        <f t="shared" si="8"/>
        <v>6.2967693463561236</v>
      </c>
    </row>
    <row r="12" spans="2:21" ht="18" customHeight="1">
      <c r="B12" s="32" t="str">
        <f>'Data Entry'!A12</f>
        <v>7. Cases Resulting in Delinquent Findings</v>
      </c>
      <c r="C12" s="33">
        <f>'Data Entry'!C12</f>
        <v>38</v>
      </c>
      <c r="D12" s="34">
        <f>IF(((AND(C69&gt;0,C12&gt;0))),(C12/(C69)),0)</f>
        <v>90.476190476190482</v>
      </c>
      <c r="E12" s="33">
        <f>'Data Entry'!I12</f>
        <v>6</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6</v>
      </c>
      <c r="O12" s="42">
        <f>(D69*L69)-E12</f>
        <v>0</v>
      </c>
      <c r="P12" s="42">
        <f t="shared" si="4"/>
        <v>38</v>
      </c>
      <c r="Q12" s="42">
        <f>(C69*L69)-C12</f>
        <v>4</v>
      </c>
      <c r="R12" s="42">
        <f t="shared" si="5"/>
        <v>48</v>
      </c>
      <c r="S12" s="30">
        <f t="shared" si="6"/>
        <v>27648</v>
      </c>
      <c r="T12" s="30">
        <f t="shared" si="7"/>
        <v>44352</v>
      </c>
      <c r="U12" s="31">
        <f t="shared" si="8"/>
        <v>0.62337662337662336</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6</v>
      </c>
      <c r="P13" s="42">
        <f t="shared" si="4"/>
        <v>0</v>
      </c>
      <c r="Q13" s="42">
        <f>(C70*L70)-C13</f>
        <v>38</v>
      </c>
      <c r="R13" s="42">
        <f t="shared" si="5"/>
        <v>44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23.684210526315788</v>
      </c>
      <c r="E14" s="33">
        <f>'Data Entry'!I14</f>
        <v>5</v>
      </c>
      <c r="F14" s="34">
        <f>IF(((AND($D$70&gt;0,$E$14&gt;0))), (($E$14/($D$70))),0)</f>
        <v>83.333333333333343</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5</v>
      </c>
      <c r="O14" s="42">
        <f>(D70*L70)-E14</f>
        <v>1</v>
      </c>
      <c r="P14" s="42">
        <f t="shared" si="4"/>
        <v>9</v>
      </c>
      <c r="Q14" s="42">
        <f>(C70*L70)-C14</f>
        <v>29</v>
      </c>
      <c r="R14" s="42">
        <f t="shared" si="5"/>
        <v>44</v>
      </c>
      <c r="S14" s="30">
        <f t="shared" si="6"/>
        <v>813824</v>
      </c>
      <c r="T14" s="30">
        <f t="shared" si="7"/>
        <v>95760</v>
      </c>
      <c r="U14" s="31">
        <f t="shared" si="8"/>
        <v>8.4985797827903085</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6</v>
      </c>
      <c r="P15" s="42">
        <f t="shared" si="4"/>
        <v>0</v>
      </c>
      <c r="Q15" s="42">
        <f>(C69*L69)-C15</f>
        <v>42</v>
      </c>
      <c r="R15" s="42">
        <f t="shared" si="5"/>
        <v>48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13.356</v>
      </c>
      <c r="D42" s="56">
        <f>E6/1000</f>
        <v>0</v>
      </c>
      <c r="E42" s="56">
        <f>MAX(C42:D42)</f>
        <v>13.356</v>
      </c>
      <c r="G42" s="1" t="str">
        <f>B42</f>
        <v>per 1000 youth</v>
      </c>
      <c r="L42" s="57">
        <v>1000</v>
      </c>
      <c r="M42" s="57"/>
      <c r="R42" s="49"/>
    </row>
    <row r="43" spans="2:18" ht="15" hidden="1" customHeight="1">
      <c r="B43" s="49" t="s">
        <v>87</v>
      </c>
      <c r="C43" s="56">
        <f>C7/100</f>
        <v>0.21</v>
      </c>
      <c r="D43" s="56">
        <f>E7/100</f>
        <v>0</v>
      </c>
      <c r="E43" s="56">
        <f>MAX(C43:D43,0)</f>
        <v>0.21</v>
      </c>
      <c r="G43" s="1" t="str">
        <f>B43</f>
        <v>per 100 arrests</v>
      </c>
      <c r="L43" s="57">
        <v>100</v>
      </c>
      <c r="M43" s="57"/>
      <c r="R43" s="49"/>
    </row>
    <row r="44" spans="2:18" ht="15" hidden="1" customHeight="1">
      <c r="B44" s="49" t="s">
        <v>88</v>
      </c>
      <c r="C44" s="56">
        <f>C8/100</f>
        <v>2.75</v>
      </c>
      <c r="D44" s="56">
        <f>E8/100</f>
        <v>0.15</v>
      </c>
      <c r="E44" s="56">
        <f>MAX(C44:D44,0)</f>
        <v>2.75</v>
      </c>
      <c r="G44" s="1" t="str">
        <f>B44</f>
        <v>per 100 referrals</v>
      </c>
      <c r="L44" s="57">
        <v>100</v>
      </c>
      <c r="M44" s="57"/>
      <c r="R44" s="49"/>
    </row>
    <row r="45" spans="2:18" ht="15" hidden="1" customHeight="1">
      <c r="B45" s="49" t="s">
        <v>89</v>
      </c>
      <c r="C45" s="49">
        <f>C11/100</f>
        <v>0.42</v>
      </c>
      <c r="D45" s="49">
        <f>E11/100</f>
        <v>0.06</v>
      </c>
      <c r="E45" s="56">
        <f>MAX(C45:D45,0)</f>
        <v>0.42</v>
      </c>
      <c r="G45" s="1" t="str">
        <f>B45</f>
        <v>per 100 youth petitioned</v>
      </c>
      <c r="L45" s="57">
        <v>100</v>
      </c>
      <c r="M45" s="57"/>
      <c r="R45" s="49"/>
    </row>
    <row r="46" spans="2:18" ht="15" hidden="1" customHeight="1">
      <c r="B46" s="49" t="s">
        <v>90</v>
      </c>
      <c r="C46" s="49">
        <f>C12/100</f>
        <v>0.38</v>
      </c>
      <c r="D46" s="49">
        <f>E12/100</f>
        <v>0.06</v>
      </c>
      <c r="E46" s="56">
        <f>MAX(C46:D46)</f>
        <v>0.38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13.356</v>
      </c>
      <c r="D48" s="56">
        <f>D42</f>
        <v>0</v>
      </c>
      <c r="E48" s="56">
        <f>MAX(C48:D48)</f>
        <v>13.356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2.75</v>
      </c>
      <c r="D50" s="49">
        <f t="shared" si="9"/>
        <v>0.15</v>
      </c>
      <c r="E50" s="49">
        <f>MAX(C50:D50)</f>
        <v>2.75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0.42</v>
      </c>
      <c r="D51" s="49">
        <f>IF(($E45&gt;0),D45,D44)</f>
        <v>0.06</v>
      </c>
      <c r="E51" s="49">
        <f>MAX(C51:D51)</f>
        <v>0.42</v>
      </c>
      <c r="G51" s="1" t="str">
        <f>G45</f>
        <v>per 100 youth petitioned</v>
      </c>
      <c r="L51" s="58">
        <f>IF(($E45&gt;0),L45,L44)</f>
        <v>100</v>
      </c>
      <c r="M51" s="58"/>
    </row>
    <row r="52" spans="2:18" ht="15" hidden="1" customHeight="1">
      <c r="B52" s="49" t="str">
        <f>IF(($E46&gt;0),B46,B45)</f>
        <v>per 100 youth found delinquent</v>
      </c>
      <c r="C52" s="49">
        <f>IF(($E46&gt;0),C46,C45)</f>
        <v>0.38</v>
      </c>
      <c r="D52" s="49">
        <f>IF(($E46&gt;0),D46,D45)</f>
        <v>0.06</v>
      </c>
      <c r="E52" s="56">
        <f>MAX(C52:D52)</f>
        <v>0.38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13.356</v>
      </c>
      <c r="D54" s="56">
        <f>D48</f>
        <v>0</v>
      </c>
      <c r="E54" s="56">
        <f>MAX(C54:D54)</f>
        <v>13.356</v>
      </c>
      <c r="G54" s="1" t="str">
        <f>G48</f>
        <v>per 1000 youth</v>
      </c>
      <c r="L54" s="58">
        <f>L48</f>
        <v>1000</v>
      </c>
      <c r="M54" s="58"/>
    </row>
    <row r="55" spans="2:18" ht="15" hidden="1" customHeight="1">
      <c r="B55" s="49" t="str">
        <f t="shared" ref="B55:D56" si="10">IF(($E49&gt;0),B49,B48)</f>
        <v>per 100 arrests</v>
      </c>
      <c r="C55" s="49">
        <f t="shared" si="10"/>
        <v>0.21</v>
      </c>
      <c r="D55" s="49">
        <f t="shared" si="10"/>
        <v>0</v>
      </c>
      <c r="E55" s="49">
        <f>MAX(C55:D55)</f>
        <v>0.21</v>
      </c>
      <c r="G55" s="1" t="str">
        <f>G49</f>
        <v>per 100 arrests</v>
      </c>
      <c r="L55" s="58">
        <f>IF(($E49&gt;0),L49,L48)</f>
        <v>100</v>
      </c>
      <c r="M55" s="58"/>
    </row>
    <row r="56" spans="2:18" ht="15" hidden="1" customHeight="1">
      <c r="B56" s="49" t="str">
        <f t="shared" si="10"/>
        <v>per 100 referrals</v>
      </c>
      <c r="C56" s="49">
        <f t="shared" si="10"/>
        <v>2.75</v>
      </c>
      <c r="D56" s="49">
        <f t="shared" si="10"/>
        <v>0.15</v>
      </c>
      <c r="E56" s="49">
        <f>MAX(C56:D56)</f>
        <v>2.75</v>
      </c>
      <c r="G56" s="1" t="str">
        <f>G50</f>
        <v>per 100 referrals</v>
      </c>
      <c r="L56" s="58">
        <f>IF(($E50&gt;0),L50,L49)</f>
        <v>100</v>
      </c>
      <c r="M56" s="58"/>
    </row>
    <row r="57" spans="2:18" ht="15" hidden="1" customHeight="1">
      <c r="B57" s="49" t="str">
        <f>IF(($E51&gt;0),B51,B49)</f>
        <v>per 100 youth petitioned</v>
      </c>
      <c r="C57" s="49">
        <f>IF(($E51&gt;0),C51,C50)</f>
        <v>0.42</v>
      </c>
      <c r="D57" s="49">
        <f>IF(($E51&gt;0),D51,D50)</f>
        <v>0.06</v>
      </c>
      <c r="E57" s="49">
        <f>MAX(C57:D57)</f>
        <v>0.42</v>
      </c>
      <c r="G57" s="1" t="str">
        <f>G51</f>
        <v>per 100 youth petitioned</v>
      </c>
      <c r="L57" s="58">
        <f>IF(($E51&gt;0),L51,L50)</f>
        <v>100</v>
      </c>
      <c r="M57" s="58"/>
    </row>
    <row r="58" spans="2:18" ht="15" hidden="1" customHeight="1">
      <c r="B58" s="49" t="str">
        <f>IF(($E52&gt;0),B52,B51)</f>
        <v>per 100 youth found delinquent</v>
      </c>
      <c r="C58" s="49">
        <f>IF(($E52&gt;0),C52,C51)</f>
        <v>0.38</v>
      </c>
      <c r="D58" s="49">
        <f>IF(($E52&gt;0),D52,D51)</f>
        <v>0.06</v>
      </c>
      <c r="E58" s="56">
        <f>MAX(C58:D58)</f>
        <v>0.38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13.356</v>
      </c>
      <c r="D60" s="56">
        <f>D54</f>
        <v>0</v>
      </c>
      <c r="E60" s="56">
        <f>MAX(C60:D60)</f>
        <v>13.356</v>
      </c>
      <c r="G60" s="1" t="str">
        <f>G54</f>
        <v>per 1000 youth</v>
      </c>
      <c r="L60" s="58">
        <f>L54</f>
        <v>1000</v>
      </c>
      <c r="M60" s="58"/>
    </row>
    <row r="61" spans="2:18" ht="15" hidden="1" customHeight="1">
      <c r="B61" s="49" t="str">
        <f t="shared" ref="B61:D62" si="11">IF(($E55&gt;0),B55,B54)</f>
        <v>per 100 arrests</v>
      </c>
      <c r="C61" s="49">
        <f t="shared" si="11"/>
        <v>0.21</v>
      </c>
      <c r="D61" s="49">
        <f t="shared" si="11"/>
        <v>0</v>
      </c>
      <c r="E61" s="49">
        <f>MAX(C61:D61)</f>
        <v>0.21</v>
      </c>
      <c r="G61" s="1" t="str">
        <f>G55</f>
        <v>per 100 arrests</v>
      </c>
      <c r="L61" s="58">
        <f>IF(($E55&gt;0),L55,L54)</f>
        <v>100</v>
      </c>
      <c r="M61" s="58"/>
    </row>
    <row r="62" spans="2:18" ht="15" hidden="1" customHeight="1">
      <c r="B62" s="49" t="str">
        <f t="shared" si="11"/>
        <v>per 100 referrals</v>
      </c>
      <c r="C62" s="49">
        <f t="shared" si="11"/>
        <v>2.75</v>
      </c>
      <c r="D62" s="49">
        <f t="shared" si="11"/>
        <v>0.15</v>
      </c>
      <c r="E62" s="49">
        <f>MAX(C62:D62)</f>
        <v>2.75</v>
      </c>
      <c r="G62" s="1" t="str">
        <f>G56</f>
        <v>per 100 referrals</v>
      </c>
      <c r="L62" s="58">
        <f>IF(($E56&gt;0),L56,L55)</f>
        <v>100</v>
      </c>
      <c r="M62" s="58"/>
    </row>
    <row r="63" spans="2:18" ht="15" hidden="1" customHeight="1">
      <c r="B63" s="49" t="str">
        <f>IF(($E57&gt;0),B57,B55)</f>
        <v>per 100 youth petitioned</v>
      </c>
      <c r="C63" s="49">
        <f>IF(($E57&gt;0),C57,C56)</f>
        <v>0.42</v>
      </c>
      <c r="D63" s="49">
        <f>IF(($E57&gt;0),D57,D56)</f>
        <v>0.06</v>
      </c>
      <c r="E63" s="49">
        <f>MAX(C63:D63)</f>
        <v>0.42</v>
      </c>
      <c r="G63" s="1" t="str">
        <f>G57</f>
        <v>per 100 youth petitioned</v>
      </c>
      <c r="L63" s="58">
        <f>IF(($E57&gt;0),L57,L56)</f>
        <v>100</v>
      </c>
      <c r="M63" s="58"/>
    </row>
    <row r="64" spans="2:18" ht="15" hidden="1" customHeight="1">
      <c r="B64" s="49" t="str">
        <f>IF(($E58&gt;0),B58,B57)</f>
        <v>per 100 youth found delinquent</v>
      </c>
      <c r="C64" s="49">
        <f>IF(($E58&gt;0),C58,C57)</f>
        <v>0.38</v>
      </c>
      <c r="D64" s="49">
        <f>IF(($E58&gt;0),D58,D57)</f>
        <v>0.06</v>
      </c>
      <c r="E64" s="56">
        <f>MAX(C64:D64)</f>
        <v>0.38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13.356</v>
      </c>
      <c r="D66" s="56">
        <f>D60</f>
        <v>0</v>
      </c>
      <c r="E66" s="56">
        <f>MAX(C66:D66)</f>
        <v>13.356</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v>
      </c>
      <c r="E67" s="49">
        <f>MAX(C67:D67)</f>
        <v>0.21</v>
      </c>
      <c r="G67" s="1" t="str">
        <f>G61</f>
        <v>per 100 arrests</v>
      </c>
      <c r="L67" s="58">
        <f>IF(($E61&gt;0),L61,L60)</f>
        <v>100</v>
      </c>
      <c r="M67" s="58">
        <f>IF((B67=G67),1,2)</f>
        <v>1</v>
      </c>
    </row>
    <row r="68" spans="2:13" ht="15" hidden="1" customHeight="1">
      <c r="B68" s="49" t="str">
        <f t="shared" si="12"/>
        <v>per 100 referrals</v>
      </c>
      <c r="C68" s="49">
        <f t="shared" si="12"/>
        <v>2.75</v>
      </c>
      <c r="D68" s="49">
        <f t="shared" si="12"/>
        <v>0.15</v>
      </c>
      <c r="E68" s="49">
        <f>MAX(C68:D68)</f>
        <v>2.75</v>
      </c>
      <c r="G68" s="1" t="str">
        <f>G62</f>
        <v>per 100 referrals</v>
      </c>
      <c r="L68" s="58">
        <f>IF(($E62&gt;0),L62,L61)</f>
        <v>100</v>
      </c>
      <c r="M68" s="58">
        <f>IF((B68=G68),1,2)</f>
        <v>1</v>
      </c>
    </row>
    <row r="69" spans="2:13" ht="15" hidden="1" customHeight="1">
      <c r="B69" s="49" t="str">
        <f>IF(($E63&gt;0),B63,B61)</f>
        <v>per 100 youth petitioned</v>
      </c>
      <c r="C69" s="49">
        <f>IF(($E63&gt;0),C63,C62)</f>
        <v>0.42</v>
      </c>
      <c r="D69" s="49">
        <f>IF(($E63&gt;0),D63,D62)</f>
        <v>0.06</v>
      </c>
      <c r="E69" s="49">
        <f>MAX(C69:D69)</f>
        <v>0.42</v>
      </c>
      <c r="G69" s="1" t="str">
        <f>G63</f>
        <v>per 100 youth petitioned</v>
      </c>
      <c r="L69" s="58">
        <f>IF(($E63&gt;0),L63,L62)</f>
        <v>100</v>
      </c>
      <c r="M69" s="58">
        <f>IF((B69=G69),1,2)</f>
        <v>1</v>
      </c>
    </row>
    <row r="70" spans="2:13" ht="15" hidden="1" customHeight="1">
      <c r="B70" s="49" t="str">
        <f>IF(($E64&gt;0),B64,B63)</f>
        <v>per 100 youth found delinquent</v>
      </c>
      <c r="C70" s="49">
        <f>IF(($E64&gt;0),C64,C63)</f>
        <v>0.38</v>
      </c>
      <c r="D70" s="49">
        <f>IF(($E64&gt;0),D64,D63)</f>
        <v>0.06</v>
      </c>
      <c r="E70" s="56">
        <f>MAX(C70:D70)</f>
        <v>0.38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Monroe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13356</v>
      </c>
      <c r="D6" s="34"/>
      <c r="E6" s="33">
        <f>'Data Entry'!J6</f>
        <v>1767</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1.5723270440251573</v>
      </c>
      <c r="E7" s="33">
        <f>'Data Entry'!J7</f>
        <v>7</v>
      </c>
      <c r="F7" s="34">
        <f>IF((AND($E$7&gt;0,$D$66&gt;0)),($E$7/$D$66),0)</f>
        <v>3.9615166949632146</v>
      </c>
      <c r="G7" s="39">
        <f t="shared" ref="G7:G15" si="0">IF(L$6=100,"*",IF(M7=FALSE,"--",IF(K7=20,"**",($F7/$D7))))</f>
        <v>2.5195246179966042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7</v>
      </c>
      <c r="O7" s="42">
        <f>E6-E7</f>
        <v>1760</v>
      </c>
      <c r="P7" s="42">
        <f t="shared" ref="P7:P15" si="4">C7</f>
        <v>21</v>
      </c>
      <c r="Q7" s="42">
        <f>C6-C7</f>
        <v>13335</v>
      </c>
      <c r="R7" s="42">
        <f t="shared" ref="R7:R15" si="5">SUM(N7:Q7)</f>
        <v>15123</v>
      </c>
      <c r="S7" s="30">
        <f t="shared" ref="S7:S15" si="6">R7*((((N7*Q7)-(O7*P7))^2))</f>
        <v>48080073366675</v>
      </c>
      <c r="T7" s="30">
        <f t="shared" ref="T7:T15" si="7">(N7+O7)*(P7+Q7)*(N7+P7)*(O7+Q7)</f>
        <v>9974797978320</v>
      </c>
      <c r="U7" s="31">
        <f t="shared" ref="U7:U15" si="8">IF((S7&gt;0),S7/T7,"- -")</f>
        <v>4.8201551020056712</v>
      </c>
    </row>
    <row r="8" spans="2:21" ht="18" customHeight="1">
      <c r="B8" s="32" t="str">
        <f>'Data Entry'!A8</f>
        <v>3. Refer to Juvenile Court</v>
      </c>
      <c r="C8" s="33">
        <f>'Data Entry'!C8</f>
        <v>275</v>
      </c>
      <c r="D8" s="34">
        <f>IF((AND(C67&gt;0,C8&gt;0)),(C8/C67),0)</f>
        <v>1309.5238095238096</v>
      </c>
      <c r="E8" s="33">
        <f>'Data Entry'!J8</f>
        <v>74</v>
      </c>
      <c r="F8" s="34">
        <f>IF((AND($E$8&gt;0,$D$67&gt;0)),($E8/$D67),0)</f>
        <v>1057.1428571428571</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74</v>
      </c>
      <c r="O8" s="42">
        <f>((D67*L67)-E8)+0.05</f>
        <v>-66.95</v>
      </c>
      <c r="P8" s="42">
        <f t="shared" si="4"/>
        <v>275</v>
      </c>
      <c r="Q8" s="42">
        <f>(C$67*L67)-C8</f>
        <v>-254</v>
      </c>
      <c r="R8" s="42">
        <f t="shared" si="5"/>
        <v>28.050000000000011</v>
      </c>
      <c r="S8" s="30">
        <f t="shared" si="6"/>
        <v>4152313.3781250017</v>
      </c>
      <c r="T8" s="30">
        <f t="shared" si="7"/>
        <v>-16583309.977499994</v>
      </c>
      <c r="U8" s="31">
        <f t="shared" si="8"/>
        <v>-0.25039110911867435</v>
      </c>
    </row>
    <row r="9" spans="2:21" ht="18" customHeight="1">
      <c r="B9" s="32" t="str">
        <f>'Data Entry'!A9</f>
        <v xml:space="preserve">4. Cases Diverted </v>
      </c>
      <c r="C9" s="33">
        <f>'Data Entry'!C9</f>
        <v>218</v>
      </c>
      <c r="D9" s="34">
        <f>IF((AND(C68&gt;0,C9&gt;0)),((C9/C68)),0)</f>
        <v>79.272727272727266</v>
      </c>
      <c r="E9" s="33">
        <f>'Data Entry'!J9</f>
        <v>37</v>
      </c>
      <c r="F9" s="34">
        <f>IF((AND($E$9&gt;0,$D$68&gt;0)),(($E$9/$D$68)),0)</f>
        <v>50</v>
      </c>
      <c r="G9" s="39">
        <f t="shared" si="0"/>
        <v>0.63073394495412849</v>
      </c>
      <c r="H9" s="40"/>
      <c r="I9" s="41"/>
      <c r="J9" s="40">
        <f>IF((ABS($U9)&gt;Defaults!D$7),1,2)</f>
        <v>1</v>
      </c>
      <c r="K9" s="39">
        <f>IF((AND(N9&gt;Defaults!B$12,(N9+O9)&gt;Defaults!B$13, P9 &gt; Defaults!B$12, (P9+Q9) &gt; Defaults!B$13)),1,20)</f>
        <v>1</v>
      </c>
      <c r="L9" s="1">
        <f t="shared" si="1"/>
        <v>1</v>
      </c>
      <c r="M9" s="1" t="b">
        <f t="shared" si="2"/>
        <v>1</v>
      </c>
      <c r="N9" s="42">
        <f t="shared" si="3"/>
        <v>37</v>
      </c>
      <c r="O9" s="42">
        <f>(D$68*L68)-E9</f>
        <v>37</v>
      </c>
      <c r="P9" s="42">
        <f t="shared" si="4"/>
        <v>218</v>
      </c>
      <c r="Q9" s="42">
        <f>(C$68*L68)-C9</f>
        <v>57</v>
      </c>
      <c r="R9" s="42">
        <f t="shared" si="5"/>
        <v>349</v>
      </c>
      <c r="S9" s="30">
        <f t="shared" si="6"/>
        <v>12384561301</v>
      </c>
      <c r="T9" s="30">
        <f t="shared" si="7"/>
        <v>487789500</v>
      </c>
      <c r="U9" s="31">
        <f t="shared" si="8"/>
        <v>25.389151060037168</v>
      </c>
    </row>
    <row r="10" spans="2:21" ht="18" customHeight="1">
      <c r="B10" s="32" t="str">
        <f>'Data Entry'!A10</f>
        <v>5. Cases Involving Secure Detention</v>
      </c>
      <c r="C10" s="33">
        <f>'Data Entry'!C10</f>
        <v>21</v>
      </c>
      <c r="D10" s="34">
        <f>IF(((AND(C68&gt;0,C10&gt;0))),(C10/(C68)),0)</f>
        <v>7.6363636363636367</v>
      </c>
      <c r="E10" s="33">
        <f>'Data Entry'!J10</f>
        <v>14</v>
      </c>
      <c r="F10" s="34">
        <f>IF(((AND($E$10&gt;0,$D$68&gt;0))),($E$10/($D$68)),0)</f>
        <v>18.918918918918919</v>
      </c>
      <c r="G10" s="39">
        <f t="shared" si="0"/>
        <v>2.4774774774774775</v>
      </c>
      <c r="H10" s="40"/>
      <c r="I10" s="41"/>
      <c r="J10" s="40">
        <f>IF((ABS($U10)&gt;Defaults!D$7),1,2)</f>
        <v>1</v>
      </c>
      <c r="K10" s="39">
        <f>IF((AND(N10&gt;Defaults!B$12,(N10+O10)&gt;Defaults!B$13, P10 &gt; Defaults!B$12, (P10+Q10) &gt; Defaults!B$13)),1,20)</f>
        <v>1</v>
      </c>
      <c r="L10" s="1">
        <f t="shared" si="1"/>
        <v>1</v>
      </c>
      <c r="M10" s="1" t="b">
        <f t="shared" si="2"/>
        <v>1</v>
      </c>
      <c r="N10" s="42">
        <f t="shared" si="3"/>
        <v>14</v>
      </c>
      <c r="O10" s="42">
        <f>(D$68*L68)-E10</f>
        <v>60</v>
      </c>
      <c r="P10" s="42">
        <f t="shared" si="4"/>
        <v>21</v>
      </c>
      <c r="Q10" s="42">
        <f>(C$68*L68)-C10</f>
        <v>254</v>
      </c>
      <c r="R10" s="42">
        <f t="shared" si="5"/>
        <v>349</v>
      </c>
      <c r="S10" s="30">
        <f t="shared" si="6"/>
        <v>1839793984</v>
      </c>
      <c r="T10" s="30">
        <f t="shared" si="7"/>
        <v>223646500</v>
      </c>
      <c r="U10" s="31">
        <f t="shared" si="8"/>
        <v>8.2263482057622177</v>
      </c>
    </row>
    <row r="11" spans="2:21" ht="18" customHeight="1">
      <c r="B11" s="32" t="str">
        <f>'Data Entry'!A11</f>
        <v>6. Cases Petitioned (Charge Filed)</v>
      </c>
      <c r="C11" s="33">
        <f>'Data Entry'!C11</f>
        <v>42</v>
      </c>
      <c r="D11" s="34">
        <f>IF(((AND(C68&gt;0,C11&gt;0))),(C11/(C68)),0)</f>
        <v>15.272727272727273</v>
      </c>
      <c r="E11" s="33">
        <f>'Data Entry'!J11</f>
        <v>27</v>
      </c>
      <c r="F11" s="34">
        <f>IF(((AND($E$11&gt;0,$D$68&gt;0))),($E$11/($D$68)),0)</f>
        <v>36.486486486486484</v>
      </c>
      <c r="G11" s="39">
        <f t="shared" si="0"/>
        <v>2.3889961389961387</v>
      </c>
      <c r="H11" s="40"/>
      <c r="I11" s="41"/>
      <c r="J11" s="40">
        <f>IF((ABS($U11)&gt;Defaults!D$7),1,2)</f>
        <v>1</v>
      </c>
      <c r="K11" s="39">
        <f>IF((AND(N11&gt;Defaults!B$12,(N11+O11)&gt;Defaults!B$13, P11 &gt; Defaults!B$12, (P11+Q11) &gt; Defaults!B$13)),1,20)</f>
        <v>1</v>
      </c>
      <c r="L11" s="1">
        <f t="shared" si="1"/>
        <v>1</v>
      </c>
      <c r="M11" s="1" t="b">
        <f t="shared" si="2"/>
        <v>1</v>
      </c>
      <c r="N11" s="42">
        <f t="shared" si="3"/>
        <v>27</v>
      </c>
      <c r="O11" s="42">
        <f>(D$68*L68)-E11</f>
        <v>47</v>
      </c>
      <c r="P11" s="42">
        <f t="shared" si="4"/>
        <v>42</v>
      </c>
      <c r="Q11" s="42">
        <f>(C$68*L68)-C11</f>
        <v>233</v>
      </c>
      <c r="R11" s="42">
        <f t="shared" si="5"/>
        <v>349</v>
      </c>
      <c r="S11" s="30">
        <f t="shared" si="6"/>
        <v>6504134661</v>
      </c>
      <c r="T11" s="30">
        <f t="shared" si="7"/>
        <v>393162000</v>
      </c>
      <c r="U11" s="31">
        <f t="shared" si="8"/>
        <v>16.5431416591634</v>
      </c>
    </row>
    <row r="12" spans="2:21" ht="18" customHeight="1">
      <c r="B12" s="32" t="str">
        <f>'Data Entry'!A12</f>
        <v>7. Cases Resulting in Delinquent Findings</v>
      </c>
      <c r="C12" s="33">
        <f>'Data Entry'!C12</f>
        <v>38</v>
      </c>
      <c r="D12" s="34">
        <f>IF(((AND(C69&gt;0,C12&gt;0))),(C12/(C69)),0)</f>
        <v>90.476190476190482</v>
      </c>
      <c r="E12" s="33">
        <f>'Data Entry'!J12</f>
        <v>24</v>
      </c>
      <c r="F12" s="34">
        <f>IF(((AND($D$69&gt;0,$E$12&gt;0))),(E12/(D69)),0)</f>
        <v>88.888888888888886</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24</v>
      </c>
      <c r="O12" s="42">
        <f>(D69*L69)-E12</f>
        <v>3</v>
      </c>
      <c r="P12" s="42">
        <f t="shared" si="4"/>
        <v>38</v>
      </c>
      <c r="Q12" s="42">
        <f>(C69*L69)-C12</f>
        <v>4</v>
      </c>
      <c r="R12" s="42">
        <f t="shared" si="5"/>
        <v>69</v>
      </c>
      <c r="S12" s="30">
        <f t="shared" si="6"/>
        <v>22356</v>
      </c>
      <c r="T12" s="30">
        <f t="shared" si="7"/>
        <v>492156</v>
      </c>
      <c r="U12" s="31">
        <f t="shared" si="8"/>
        <v>4.5424621461487819E-2</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24</v>
      </c>
      <c r="P13" s="42">
        <f t="shared" si="4"/>
        <v>0</v>
      </c>
      <c r="Q13" s="42">
        <f>(C70*L70)-C13</f>
        <v>38</v>
      </c>
      <c r="R13" s="42">
        <f t="shared" si="5"/>
        <v>62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23.684210526315788</v>
      </c>
      <c r="E14" s="33">
        <f>'Data Entry'!J14</f>
        <v>5</v>
      </c>
      <c r="F14" s="34">
        <f>IF(((AND($D$70&gt;0,$E$14&gt;0))), (($E$14/($D$70))),0)</f>
        <v>20.833333333333336</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5</v>
      </c>
      <c r="O14" s="42">
        <f>(D70*L70)-E14</f>
        <v>19</v>
      </c>
      <c r="P14" s="42">
        <f t="shared" si="4"/>
        <v>9</v>
      </c>
      <c r="Q14" s="42">
        <f>(C70*L70)-C14</f>
        <v>29</v>
      </c>
      <c r="R14" s="42">
        <f t="shared" si="5"/>
        <v>62</v>
      </c>
      <c r="S14" s="30">
        <f t="shared" si="6"/>
        <v>41912</v>
      </c>
      <c r="T14" s="30">
        <f t="shared" si="7"/>
        <v>612864</v>
      </c>
      <c r="U14" s="31">
        <f t="shared" si="8"/>
        <v>6.8387113617376774E-2</v>
      </c>
    </row>
    <row r="15" spans="2:21" ht="15.75" customHeight="1">
      <c r="B15" s="32" t="str">
        <f>'Data Entry'!A15</f>
        <v xml:space="preserve">10. Cases Transferred to Adult Court </v>
      </c>
      <c r="C15" s="33">
        <f>'Data Entry'!C15</f>
        <v>0</v>
      </c>
      <c r="D15" s="34">
        <f>IF(((AND(C69&gt;0,C15&gt;0))),((C15/(C69))),0)</f>
        <v>0</v>
      </c>
      <c r="E15" s="33">
        <f>'Data Entry'!J15</f>
        <v>1</v>
      </c>
      <c r="F15" s="34">
        <f>IF(((AND($D$69&gt;0,$E$15&gt;0))),(($E$15/($D$69))),0)</f>
        <v>3.7037037037037033</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1</v>
      </c>
      <c r="O15" s="42">
        <f>(D69*L69)-E15</f>
        <v>26</v>
      </c>
      <c r="P15" s="42">
        <f t="shared" si="4"/>
        <v>0</v>
      </c>
      <c r="Q15" s="42">
        <f>(C69*L69)-C15</f>
        <v>42</v>
      </c>
      <c r="R15" s="42">
        <f t="shared" si="5"/>
        <v>69</v>
      </c>
      <c r="S15" s="30">
        <f t="shared" si="6"/>
        <v>121716</v>
      </c>
      <c r="T15" s="30">
        <f t="shared" si="7"/>
        <v>77112</v>
      </c>
      <c r="U15" s="31">
        <f t="shared" si="8"/>
        <v>1.5784313725490196</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13.356</v>
      </c>
      <c r="D42" s="56">
        <f>E6/1000</f>
        <v>1.7669999999999999</v>
      </c>
      <c r="E42" s="56">
        <f>MAX(C42:D42)</f>
        <v>13.356</v>
      </c>
      <c r="G42" s="1" t="str">
        <f>B42</f>
        <v>per 1000 youth</v>
      </c>
      <c r="L42" s="57">
        <v>1000</v>
      </c>
      <c r="M42" s="57"/>
      <c r="R42" s="49"/>
    </row>
    <row r="43" spans="2:18" ht="15" hidden="1" customHeight="1">
      <c r="B43" s="49" t="s">
        <v>87</v>
      </c>
      <c r="C43" s="56">
        <f>C7/100</f>
        <v>0.21</v>
      </c>
      <c r="D43" s="56">
        <f>E7/100</f>
        <v>7.0000000000000007E-2</v>
      </c>
      <c r="E43" s="56">
        <f>MAX(C43:D43,0)</f>
        <v>0.21</v>
      </c>
      <c r="G43" s="1" t="str">
        <f>B43</f>
        <v>per 100 arrests</v>
      </c>
      <c r="L43" s="57">
        <v>100</v>
      </c>
      <c r="M43" s="57"/>
      <c r="R43" s="49"/>
    </row>
    <row r="44" spans="2:18" ht="15" hidden="1" customHeight="1">
      <c r="B44" s="49" t="s">
        <v>88</v>
      </c>
      <c r="C44" s="56">
        <f>C8/100</f>
        <v>2.75</v>
      </c>
      <c r="D44" s="56">
        <f>E8/100</f>
        <v>0.74</v>
      </c>
      <c r="E44" s="56">
        <f>MAX(C44:D44,0)</f>
        <v>2.75</v>
      </c>
      <c r="G44" s="1" t="str">
        <f>B44</f>
        <v>per 100 referrals</v>
      </c>
      <c r="L44" s="57">
        <v>100</v>
      </c>
      <c r="M44" s="57"/>
      <c r="R44" s="49"/>
    </row>
    <row r="45" spans="2:18" ht="15" hidden="1" customHeight="1">
      <c r="B45" s="49" t="s">
        <v>89</v>
      </c>
      <c r="C45" s="49">
        <f>C11/100</f>
        <v>0.42</v>
      </c>
      <c r="D45" s="49">
        <f>E11/100</f>
        <v>0.27</v>
      </c>
      <c r="E45" s="56">
        <f>MAX(C45:D45,0)</f>
        <v>0.42</v>
      </c>
      <c r="G45" s="1" t="str">
        <f>B45</f>
        <v>per 100 youth petitioned</v>
      </c>
      <c r="L45" s="57">
        <v>100</v>
      </c>
      <c r="M45" s="57"/>
      <c r="R45" s="49"/>
    </row>
    <row r="46" spans="2:18" ht="15" hidden="1" customHeight="1">
      <c r="B46" s="49" t="s">
        <v>90</v>
      </c>
      <c r="C46" s="49">
        <f>C12/100</f>
        <v>0.38</v>
      </c>
      <c r="D46" s="49">
        <f>E12/100</f>
        <v>0.24</v>
      </c>
      <c r="E46" s="56">
        <f>MAX(C46:D46)</f>
        <v>0.38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13.356</v>
      </c>
      <c r="D48" s="56">
        <f>D42</f>
        <v>1.7669999999999999</v>
      </c>
      <c r="E48" s="56">
        <f>MAX(C48:D48)</f>
        <v>13.356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7.0000000000000007E-2</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2.75</v>
      </c>
      <c r="D50" s="49">
        <f t="shared" si="9"/>
        <v>0.74</v>
      </c>
      <c r="E50" s="49">
        <f>MAX(C50:D50)</f>
        <v>2.75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0.42</v>
      </c>
      <c r="D51" s="49">
        <f>IF(($E45&gt;0),D45,D44)</f>
        <v>0.27</v>
      </c>
      <c r="E51" s="49">
        <f>MAX(C51:D51)</f>
        <v>0.42</v>
      </c>
      <c r="G51" s="1" t="str">
        <f>G45</f>
        <v>per 100 youth petitioned</v>
      </c>
      <c r="L51" s="58">
        <f>IF(($E45&gt;0),L45,L44)</f>
        <v>100</v>
      </c>
      <c r="M51" s="58"/>
    </row>
    <row r="52" spans="2:18" ht="15" hidden="1" customHeight="1">
      <c r="B52" s="49" t="str">
        <f>IF(($E46&gt;0),B46,B45)</f>
        <v>per 100 youth found delinquent</v>
      </c>
      <c r="C52" s="49">
        <f>IF(($E46&gt;0),C46,C45)</f>
        <v>0.38</v>
      </c>
      <c r="D52" s="49">
        <f>IF(($E46&gt;0),D46,D45)</f>
        <v>0.24</v>
      </c>
      <c r="E52" s="56">
        <f>MAX(C52:D52)</f>
        <v>0.38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13.356</v>
      </c>
      <c r="D54" s="56">
        <f>D48</f>
        <v>1.7669999999999999</v>
      </c>
      <c r="E54" s="56">
        <f>MAX(C54:D54)</f>
        <v>13.356</v>
      </c>
      <c r="G54" s="1" t="str">
        <f>G48</f>
        <v>per 1000 youth</v>
      </c>
      <c r="L54" s="58">
        <f>L48</f>
        <v>1000</v>
      </c>
      <c r="M54" s="58"/>
    </row>
    <row r="55" spans="2:18" ht="15" hidden="1" customHeight="1">
      <c r="B55" s="49" t="str">
        <f t="shared" ref="B55:D56" si="10">IF(($E49&gt;0),B49,B48)</f>
        <v>per 100 arrests</v>
      </c>
      <c r="C55" s="49">
        <f t="shared" si="10"/>
        <v>0.21</v>
      </c>
      <c r="D55" s="49">
        <f t="shared" si="10"/>
        <v>7.0000000000000007E-2</v>
      </c>
      <c r="E55" s="49">
        <f>MAX(C55:D55)</f>
        <v>0.21</v>
      </c>
      <c r="G55" s="1" t="str">
        <f>G49</f>
        <v>per 100 arrests</v>
      </c>
      <c r="L55" s="58">
        <f>IF(($E49&gt;0),L49,L48)</f>
        <v>100</v>
      </c>
      <c r="M55" s="58"/>
    </row>
    <row r="56" spans="2:18" ht="15" hidden="1" customHeight="1">
      <c r="B56" s="49" t="str">
        <f t="shared" si="10"/>
        <v>per 100 referrals</v>
      </c>
      <c r="C56" s="49">
        <f t="shared" si="10"/>
        <v>2.75</v>
      </c>
      <c r="D56" s="49">
        <f t="shared" si="10"/>
        <v>0.74</v>
      </c>
      <c r="E56" s="49">
        <f>MAX(C56:D56)</f>
        <v>2.75</v>
      </c>
      <c r="G56" s="1" t="str">
        <f>G50</f>
        <v>per 100 referrals</v>
      </c>
      <c r="L56" s="58">
        <f>IF(($E50&gt;0),L50,L49)</f>
        <v>100</v>
      </c>
      <c r="M56" s="58"/>
    </row>
    <row r="57" spans="2:18" ht="15" hidden="1" customHeight="1">
      <c r="B57" s="49" t="str">
        <f>IF(($E51&gt;0),B51,B49)</f>
        <v>per 100 youth petitioned</v>
      </c>
      <c r="C57" s="49">
        <f>IF(($E51&gt;0),C51,C50)</f>
        <v>0.42</v>
      </c>
      <c r="D57" s="49">
        <f>IF(($E51&gt;0),D51,D50)</f>
        <v>0.27</v>
      </c>
      <c r="E57" s="49">
        <f>MAX(C57:D57)</f>
        <v>0.42</v>
      </c>
      <c r="G57" s="1" t="str">
        <f>G51</f>
        <v>per 100 youth petitioned</v>
      </c>
      <c r="L57" s="58">
        <f>IF(($E51&gt;0),L51,L50)</f>
        <v>100</v>
      </c>
      <c r="M57" s="58"/>
    </row>
    <row r="58" spans="2:18" ht="15" hidden="1" customHeight="1">
      <c r="B58" s="49" t="str">
        <f>IF(($E52&gt;0),B52,B51)</f>
        <v>per 100 youth found delinquent</v>
      </c>
      <c r="C58" s="49">
        <f>IF(($E52&gt;0),C52,C51)</f>
        <v>0.38</v>
      </c>
      <c r="D58" s="49">
        <f>IF(($E52&gt;0),D52,D51)</f>
        <v>0.24</v>
      </c>
      <c r="E58" s="56">
        <f>MAX(C58:D58)</f>
        <v>0.38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13.356</v>
      </c>
      <c r="D60" s="56">
        <f>D54</f>
        <v>1.7669999999999999</v>
      </c>
      <c r="E60" s="56">
        <f>MAX(C60:D60)</f>
        <v>13.356</v>
      </c>
      <c r="G60" s="1" t="str">
        <f>G54</f>
        <v>per 1000 youth</v>
      </c>
      <c r="L60" s="58">
        <f>L54</f>
        <v>1000</v>
      </c>
      <c r="M60" s="58"/>
    </row>
    <row r="61" spans="2:18" ht="15" hidden="1" customHeight="1">
      <c r="B61" s="49" t="str">
        <f t="shared" ref="B61:D62" si="11">IF(($E55&gt;0),B55,B54)</f>
        <v>per 100 arrests</v>
      </c>
      <c r="C61" s="49">
        <f t="shared" si="11"/>
        <v>0.21</v>
      </c>
      <c r="D61" s="49">
        <f t="shared" si="11"/>
        <v>7.0000000000000007E-2</v>
      </c>
      <c r="E61" s="49">
        <f>MAX(C61:D61)</f>
        <v>0.21</v>
      </c>
      <c r="G61" s="1" t="str">
        <f>G55</f>
        <v>per 100 arrests</v>
      </c>
      <c r="L61" s="58">
        <f>IF(($E55&gt;0),L55,L54)</f>
        <v>100</v>
      </c>
      <c r="M61" s="58"/>
    </row>
    <row r="62" spans="2:18" ht="15" hidden="1" customHeight="1">
      <c r="B62" s="49" t="str">
        <f t="shared" si="11"/>
        <v>per 100 referrals</v>
      </c>
      <c r="C62" s="49">
        <f t="shared" si="11"/>
        <v>2.75</v>
      </c>
      <c r="D62" s="49">
        <f t="shared" si="11"/>
        <v>0.74</v>
      </c>
      <c r="E62" s="49">
        <f>MAX(C62:D62)</f>
        <v>2.75</v>
      </c>
      <c r="G62" s="1" t="str">
        <f>G56</f>
        <v>per 100 referrals</v>
      </c>
      <c r="L62" s="58">
        <f>IF(($E56&gt;0),L56,L55)</f>
        <v>100</v>
      </c>
      <c r="M62" s="58"/>
    </row>
    <row r="63" spans="2:18" ht="15" hidden="1" customHeight="1">
      <c r="B63" s="49" t="str">
        <f>IF(($E57&gt;0),B57,B55)</f>
        <v>per 100 youth petitioned</v>
      </c>
      <c r="C63" s="49">
        <f>IF(($E57&gt;0),C57,C56)</f>
        <v>0.42</v>
      </c>
      <c r="D63" s="49">
        <f>IF(($E57&gt;0),D57,D56)</f>
        <v>0.27</v>
      </c>
      <c r="E63" s="49">
        <f>MAX(C63:D63)</f>
        <v>0.42</v>
      </c>
      <c r="G63" s="1" t="str">
        <f>G57</f>
        <v>per 100 youth petitioned</v>
      </c>
      <c r="L63" s="58">
        <f>IF(($E57&gt;0),L57,L56)</f>
        <v>100</v>
      </c>
      <c r="M63" s="58"/>
    </row>
    <row r="64" spans="2:18" ht="15" hidden="1" customHeight="1">
      <c r="B64" s="49" t="str">
        <f>IF(($E58&gt;0),B58,B57)</f>
        <v>per 100 youth found delinquent</v>
      </c>
      <c r="C64" s="49">
        <f>IF(($E58&gt;0),C58,C57)</f>
        <v>0.38</v>
      </c>
      <c r="D64" s="49">
        <f>IF(($E58&gt;0),D58,D57)</f>
        <v>0.24</v>
      </c>
      <c r="E64" s="56">
        <f>MAX(C64:D64)</f>
        <v>0.38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13.356</v>
      </c>
      <c r="D66" s="56">
        <f>D60</f>
        <v>1.7669999999999999</v>
      </c>
      <c r="E66" s="56">
        <f>MAX(C66:D66)</f>
        <v>13.356</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7.0000000000000007E-2</v>
      </c>
      <c r="E67" s="49">
        <f>MAX(C67:D67)</f>
        <v>0.21</v>
      </c>
      <c r="G67" s="1" t="str">
        <f>G61</f>
        <v>per 100 arrests</v>
      </c>
      <c r="L67" s="58">
        <f>IF(($E61&gt;0),L61,L60)</f>
        <v>100</v>
      </c>
      <c r="M67" s="58">
        <f>IF((B67=G67),1,2)</f>
        <v>1</v>
      </c>
    </row>
    <row r="68" spans="2:13" ht="15" hidden="1" customHeight="1">
      <c r="B68" s="49" t="str">
        <f t="shared" si="12"/>
        <v>per 100 referrals</v>
      </c>
      <c r="C68" s="49">
        <f t="shared" si="12"/>
        <v>2.75</v>
      </c>
      <c r="D68" s="49">
        <f t="shared" si="12"/>
        <v>0.74</v>
      </c>
      <c r="E68" s="49">
        <f>MAX(C68:D68)</f>
        <v>2.75</v>
      </c>
      <c r="G68" s="1" t="str">
        <f>G62</f>
        <v>per 100 referrals</v>
      </c>
      <c r="L68" s="58">
        <f>IF(($E62&gt;0),L62,L61)</f>
        <v>100</v>
      </c>
      <c r="M68" s="58">
        <f>IF((B68=G68),1,2)</f>
        <v>1</v>
      </c>
    </row>
    <row r="69" spans="2:13" ht="15" hidden="1" customHeight="1">
      <c r="B69" s="49" t="str">
        <f>IF(($E63&gt;0),B63,B61)</f>
        <v>per 100 youth petitioned</v>
      </c>
      <c r="C69" s="49">
        <f>IF(($E63&gt;0),C63,C62)</f>
        <v>0.42</v>
      </c>
      <c r="D69" s="49">
        <f>IF(($E63&gt;0),D63,D62)</f>
        <v>0.27</v>
      </c>
      <c r="E69" s="49">
        <f>MAX(C69:D69)</f>
        <v>0.42</v>
      </c>
      <c r="G69" s="1" t="str">
        <f>G63</f>
        <v>per 100 youth petitioned</v>
      </c>
      <c r="L69" s="58">
        <f>IF(($E63&gt;0),L63,L62)</f>
        <v>100</v>
      </c>
      <c r="M69" s="58">
        <f>IF((B69=G69),1,2)</f>
        <v>1</v>
      </c>
    </row>
    <row r="70" spans="2:13" ht="15" hidden="1" customHeight="1">
      <c r="B70" s="49" t="str">
        <f>IF(($E64&gt;0),B64,B63)</f>
        <v>per 100 youth found delinquent</v>
      </c>
      <c r="C70" s="49">
        <f>IF(($E64&gt;0),C64,C63)</f>
        <v>0.38</v>
      </c>
      <c r="D70" s="49">
        <f>IF(($E64&gt;0),D64,D63)</f>
        <v>0.24</v>
      </c>
      <c r="E70" s="56">
        <f>MAX(C70:D70)</f>
        <v>0.38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Monroe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6.776255707762556</v>
      </c>
      <c r="D7" s="72" t="str">
        <f>Hispanic!G7</f>
        <v>**</v>
      </c>
      <c r="E7" s="72" t="str">
        <f>Asian!G7</f>
        <v>**</v>
      </c>
      <c r="F7" s="72" t="str">
        <f>Hawaiian!G7</f>
        <v>*</v>
      </c>
      <c r="G7" s="72" t="str">
        <f>'Am Indian'!G7</f>
        <v>*</v>
      </c>
      <c r="H7" s="72" t="str">
        <f>'Other - Mixed'!G7</f>
        <v>*</v>
      </c>
      <c r="I7" s="73">
        <f>'All Minorities'!G7</f>
        <v>2.5195246179966042</v>
      </c>
      <c r="L7" s="1">
        <f>'Black or African-American'!L7</f>
        <v>1</v>
      </c>
      <c r="M7" s="1">
        <f>Hispanic!L7</f>
        <v>40</v>
      </c>
      <c r="N7" s="1">
        <f>Asian!L7</f>
        <v>40</v>
      </c>
      <c r="O7" s="1" t="e">
        <f>Hawaiian!L7</f>
        <v>#VALUE!</v>
      </c>
      <c r="P7" s="1">
        <f>'Am Indian'!L7</f>
        <v>139</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139</v>
      </c>
      <c r="Q8" s="1">
        <f>'Other - Mixed'!L8</f>
        <v>119</v>
      </c>
      <c r="R8" s="1">
        <f>'All Minorities'!L8</f>
        <v>40</v>
      </c>
    </row>
    <row r="9" spans="2:18" ht="15" customHeight="1">
      <c r="B9" s="71" t="s">
        <v>10</v>
      </c>
      <c r="C9" s="72">
        <f>'Black or African-American'!$G9</f>
        <v>0.64179945276034134</v>
      </c>
      <c r="D9" s="72" t="str">
        <f>Hispanic!G9</f>
        <v>**</v>
      </c>
      <c r="E9" s="72" t="str">
        <f>Asian!G9</f>
        <v>**</v>
      </c>
      <c r="F9" s="72" t="str">
        <f>Hawaiian!G9</f>
        <v>*</v>
      </c>
      <c r="G9" s="72" t="str">
        <f>'Am Indian'!G9</f>
        <v>*</v>
      </c>
      <c r="H9" s="72" t="str">
        <f>'Other - Mixed'!G9</f>
        <v>*</v>
      </c>
      <c r="I9" s="73">
        <f>'All Minorities'!G9</f>
        <v>0.63073394495412849</v>
      </c>
      <c r="L9" s="1">
        <f>'Black or African-American'!L9</f>
        <v>1</v>
      </c>
      <c r="M9" s="1">
        <f>Hispanic!L9</f>
        <v>40</v>
      </c>
      <c r="N9" s="1">
        <f>Asian!L9</f>
        <v>40</v>
      </c>
      <c r="O9" s="1" t="e">
        <f>Hawaiian!L9</f>
        <v>#VALUE!</v>
      </c>
      <c r="P9" s="1" t="e">
        <f>'Am Indian'!L9</f>
        <v>#VALUE!</v>
      </c>
      <c r="Q9" s="1">
        <f>'Other - Mixed'!L9</f>
        <v>119</v>
      </c>
      <c r="R9" s="1">
        <f>'All Minorities'!L9</f>
        <v>1</v>
      </c>
    </row>
    <row r="10" spans="2:18" ht="15" customHeight="1">
      <c r="B10" s="71" t="s">
        <v>11</v>
      </c>
      <c r="C10" s="72">
        <f>'Black or African-American'!$G10</f>
        <v>2.2974101921470345</v>
      </c>
      <c r="D10" s="72" t="str">
        <f>Hispanic!G10</f>
        <v>**</v>
      </c>
      <c r="E10" s="72" t="str">
        <f>Asian!G10</f>
        <v>**</v>
      </c>
      <c r="F10" s="72" t="str">
        <f>Hawaiian!G10</f>
        <v>*</v>
      </c>
      <c r="G10" s="72" t="str">
        <f>'Am Indian'!G10</f>
        <v>*</v>
      </c>
      <c r="H10" s="72" t="str">
        <f>'Other - Mixed'!G10</f>
        <v>*</v>
      </c>
      <c r="I10" s="73">
        <f>'All Minorities'!G10</f>
        <v>2.4774774774774775</v>
      </c>
      <c r="L10" s="1">
        <f>'Black or African-American'!L10</f>
        <v>1</v>
      </c>
      <c r="M10" s="1">
        <f>Hispanic!L10</f>
        <v>40</v>
      </c>
      <c r="N10" s="1">
        <f>Asian!L10</f>
        <v>40</v>
      </c>
      <c r="O10" s="1" t="e">
        <f>Hawaiian!L10</f>
        <v>#VALUE!</v>
      </c>
      <c r="P10" s="1" t="e">
        <f>'Am Indian'!L10</f>
        <v>#VALUE!</v>
      </c>
      <c r="Q10" s="1">
        <f>'Other - Mixed'!L10</f>
        <v>119</v>
      </c>
      <c r="R10" s="1">
        <f>'All Minorities'!L10</f>
        <v>1</v>
      </c>
    </row>
    <row r="11" spans="2:18" ht="15" customHeight="1">
      <c r="B11" s="71" t="s">
        <v>95</v>
      </c>
      <c r="C11" s="72">
        <f>'Black or African-American'!$G11</f>
        <v>2.2974101921470345</v>
      </c>
      <c r="D11" s="72" t="str">
        <f>Hispanic!G11</f>
        <v>**</v>
      </c>
      <c r="E11" s="72" t="str">
        <f>Asian!G11</f>
        <v>**</v>
      </c>
      <c r="F11" s="72" t="str">
        <f>Hawaiian!G11</f>
        <v>*</v>
      </c>
      <c r="G11" s="72" t="str">
        <f>'Am Indian'!G11</f>
        <v>*</v>
      </c>
      <c r="H11" s="72" t="str">
        <f>'Other - Mixed'!G11</f>
        <v>*</v>
      </c>
      <c r="I11" s="73">
        <f>'All Minorities'!G11</f>
        <v>2.3889961389961387</v>
      </c>
      <c r="L11" s="1">
        <f>'Black or African-American'!L11</f>
        <v>1</v>
      </c>
      <c r="M11" s="1">
        <f>Hispanic!L11</f>
        <v>20</v>
      </c>
      <c r="N11" s="1">
        <f>Asian!L11</f>
        <v>40</v>
      </c>
      <c r="O11" s="1" t="e">
        <f>Hawaiian!L11</f>
        <v>#VALUE!</v>
      </c>
      <c r="P11" s="1" t="e">
        <f>'Am Indian'!L11</f>
        <v>#VALUE!</v>
      </c>
      <c r="Q11" s="1">
        <f>'Other - Mixed'!L11</f>
        <v>119</v>
      </c>
      <c r="R11" s="1">
        <f>'All Minorities'!L11</f>
        <v>1</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f>Hispanic!L14</f>
        <v>40</v>
      </c>
      <c r="N14" s="1" t="e">
        <f>Asian!L14</f>
        <v>#VALUE!</v>
      </c>
      <c r="O14" s="1" t="e">
        <f>Hawaiian!L14</f>
        <v>#VALUE!</v>
      </c>
      <c r="P14" s="1" t="e">
        <f>'Am Indian'!L14</f>
        <v>#VALUE!</v>
      </c>
      <c r="Q14" s="1">
        <f>'Other - Mixed'!L14</f>
        <v>119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40</v>
      </c>
      <c r="M15" s="1" t="e">
        <f>Hispanic!L15</f>
        <v>#VALUE!</v>
      </c>
      <c r="N15" s="1" t="e">
        <f>Asian!L15</f>
        <v>#VALUE!</v>
      </c>
      <c r="O15" s="1" t="e">
        <f>Hawaiian!L15</f>
        <v>#VALUE!</v>
      </c>
      <c r="P15" s="1" t="e">
        <f>'Am Indian'!L15</f>
        <v>#VALUE!</v>
      </c>
      <c r="Q15" s="1" t="e">
        <f>'Other - Mixed'!L15</f>
        <v>#VALUE!</v>
      </c>
      <c r="R15" s="1">
        <f>'All Minorities'!L15</f>
        <v>40</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15123</v>
      </c>
      <c r="D3" s="57">
        <f>'Data Entry'!C6</f>
        <v>13356</v>
      </c>
      <c r="E3" s="57">
        <f>'Data Entry'!D6</f>
        <v>657</v>
      </c>
      <c r="F3" s="57">
        <f>'Data Entry'!E6</f>
        <v>896</v>
      </c>
      <c r="G3" s="57">
        <f>'Data Entry'!F6</f>
        <v>167</v>
      </c>
      <c r="H3" s="57">
        <f>'Data Entry'!G6</f>
        <v>0</v>
      </c>
      <c r="I3" s="57">
        <f>'Data Entry'!H6</f>
        <v>47</v>
      </c>
      <c r="J3" s="57">
        <f>'Data Entry'!I6</f>
        <v>0</v>
      </c>
      <c r="K3" s="57">
        <f>'Data Entry'!J6</f>
        <v>1767</v>
      </c>
    </row>
    <row r="4" spans="2:11" ht="15" customHeight="1">
      <c r="B4" s="16" t="s">
        <v>8</v>
      </c>
      <c r="C4" s="1">
        <f>IF((C$3&gt;0),(1000*('Data Entry'!B7/'Data Entry'!B$6)), 0)</f>
        <v>1.8514844938173642</v>
      </c>
      <c r="D4" s="1">
        <f>IF((D$3&gt;0),(1000*('Data Entry'!C7/'Data Entry'!C$6)), 0)</f>
        <v>1.5723270440251573</v>
      </c>
      <c r="E4" s="1">
        <f>IF((E$3&gt;0),(1000*('Data Entry'!D7/'Data Entry'!D$6)), 0)</f>
        <v>10.6544901065449</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3.9615166949632146</v>
      </c>
    </row>
    <row r="5" spans="2:11" ht="15" customHeight="1">
      <c r="B5" s="16" t="s">
        <v>9</v>
      </c>
      <c r="C5" s="1">
        <f>IF((C$3&gt;0),(1000*('Data Entry'!B8/'Data Entry'!B$6)), 0)</f>
        <v>23.143556172717055</v>
      </c>
      <c r="D5" s="1">
        <f>IF((D$3&gt;0),(1000*('Data Entry'!C8/'Data Entry'!C$6)), 0)</f>
        <v>20.589997005091345</v>
      </c>
      <c r="E5" s="1">
        <f>IF((E$3&gt;0),(1000*('Data Entry'!D8/'Data Entry'!D$6)), 0)</f>
        <v>86.757990867579906</v>
      </c>
      <c r="F5" s="1">
        <f>IF((F$3&gt;0),(1000*('Data Entry'!E8/'Data Entry'!E$6)), 0)</f>
        <v>1.1160714285714286</v>
      </c>
      <c r="G5" s="1">
        <f>IF((G$3&gt;0),(1000*('Data Entry'!F8/'Data Entry'!F$6)), 0)</f>
        <v>5.9880239520958085</v>
      </c>
      <c r="H5" s="1">
        <f>IF((H$3&gt;0),(1000*('Data Entry'!G8/'Data Entry'!G$6)), 0)</f>
        <v>0</v>
      </c>
      <c r="I5" s="1">
        <f>IF((I$3&gt;0),(1000*('Data Entry'!H8/'Data Entry'!H$6)), 0)</f>
        <v>0</v>
      </c>
      <c r="J5" s="1">
        <f>IF((J$3&gt;0),(1000*('Data Entry'!I8/'Data Entry'!I$6)), 0)</f>
        <v>0</v>
      </c>
      <c r="K5" s="1">
        <f>IF((K$3&gt;0),(1000*('Data Entry'!J8/'Data Entry'!J$6)), 0)</f>
        <v>41.878890775325409</v>
      </c>
    </row>
    <row r="6" spans="2:11" ht="15" customHeight="1">
      <c r="B6" s="16" t="s">
        <v>10</v>
      </c>
      <c r="C6" s="1">
        <f>IF((C$3&gt;0),(1000*('Data Entry'!B9/'Data Entry'!B$6)), 0)</f>
        <v>16.927858229187329</v>
      </c>
      <c r="D6" s="1">
        <f>IF((D$3&gt;0),(1000*('Data Entry'!C9/'Data Entry'!C$6)), 0)</f>
        <v>16.322252171308776</v>
      </c>
      <c r="E6" s="1">
        <f>IF((E$3&gt;0),(1000*('Data Entry'!D9/'Data Entry'!D$6)), 0)</f>
        <v>44.140030441400299</v>
      </c>
      <c r="F6" s="1">
        <f>IF((F$3&gt;0),(1000*('Data Entry'!E9/'Data Entry'!E$6)), 0)</f>
        <v>0</v>
      </c>
      <c r="G6" s="1">
        <f>IF((G$3&gt;0),(1000*('Data Entry'!F9/'Data Entry'!F$6)), 0)</f>
        <v>5.9880239520958085</v>
      </c>
      <c r="H6" s="1">
        <f>IF((H$3&gt;0),(1000*('Data Entry'!G9/'Data Entry'!G$6)), 0)</f>
        <v>0</v>
      </c>
      <c r="I6" s="1">
        <f>IF((I$3&gt;0),(1000*('Data Entry'!H9/'Data Entry'!H$6)), 0)</f>
        <v>0</v>
      </c>
      <c r="J6" s="1">
        <f>IF((J$3&gt;0),(1000*('Data Entry'!I9/'Data Entry'!I$6)), 0)</f>
        <v>0</v>
      </c>
      <c r="K6" s="1">
        <f>IF((K$3&gt;0),(1000*('Data Entry'!J9/'Data Entry'!J$6)), 0)</f>
        <v>20.939445387662705</v>
      </c>
    </row>
    <row r="7" spans="2:11" ht="15" customHeight="1">
      <c r="B7" s="16" t="s">
        <v>11</v>
      </c>
      <c r="C7" s="1">
        <f>IF((C$3&gt;0),(1000*('Data Entry'!B10/'Data Entry'!B$6)), 0)</f>
        <v>2.3143556172717052</v>
      </c>
      <c r="D7" s="1">
        <f>IF((D$3&gt;0),(1000*('Data Entry'!C10/'Data Entry'!C$6)), 0)</f>
        <v>1.5723270440251573</v>
      </c>
      <c r="E7" s="1">
        <f>IF((E$3&gt;0),(1000*('Data Entry'!D10/'Data Entry'!D$6)), 0)</f>
        <v>15.220700152207002</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7.9230333899264291</v>
      </c>
    </row>
    <row r="8" spans="2:11" ht="15" customHeight="1">
      <c r="B8" s="16" t="s">
        <v>95</v>
      </c>
      <c r="C8" s="1">
        <f>IF((C$3&gt;0),(1000*('Data Entry'!B11/'Data Entry'!B$6)), 0)</f>
        <v>4.5625867883356479</v>
      </c>
      <c r="D8" s="1">
        <f>IF((D$3&gt;0),(1000*('Data Entry'!C11/'Data Entry'!C$6)), 0)</f>
        <v>3.1446540880503147</v>
      </c>
      <c r="E8" s="1">
        <f>IF((E$3&gt;0),(1000*('Data Entry'!D11/'Data Entry'!D$6)), 0)</f>
        <v>30.441400304414003</v>
      </c>
      <c r="F8" s="1">
        <f>IF((F$3&gt;0),(1000*('Data Entry'!E11/'Data Entry'!E$6)), 0)</f>
        <v>1.1160714285714286</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15.280135823429541</v>
      </c>
    </row>
    <row r="9" spans="2:11" ht="15" customHeight="1">
      <c r="B9" s="16" t="s">
        <v>13</v>
      </c>
      <c r="C9" s="1">
        <f>IF((C$3&gt;0),(1000*('Data Entry'!B12/'Data Entry'!B$6)), 0)</f>
        <v>4.0997156648813062</v>
      </c>
      <c r="D9" s="1">
        <f>IF((D$3&gt;0),(1000*('Data Entry'!C12/'Data Entry'!C$6)), 0)</f>
        <v>2.8451632225217134</v>
      </c>
      <c r="E9" s="1">
        <f>IF((E$3&gt;0),(1000*('Data Entry'!D12/'Data Entry'!D$6)), 0)</f>
        <v>25.8751902587519</v>
      </c>
      <c r="F9" s="1">
        <f>IF((F$3&gt;0),(1000*('Data Entry'!E12/'Data Entry'!E$6)), 0)</f>
        <v>1.1160714285714286</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13.582342954159593</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0.92574224690868212</v>
      </c>
      <c r="D11" s="1">
        <f>IF((D$3&gt;0),(1000*('Data Entry'!C14/'Data Entry'!C$6)), 0)</f>
        <v>0.67385444743935319</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2.8296547821165814</v>
      </c>
    </row>
    <row r="12" spans="2:11" ht="15" customHeight="1">
      <c r="B12" s="16" t="s">
        <v>16</v>
      </c>
      <c r="C12" s="1">
        <f>IF((C$3&gt;0),(1000*('Data Entry'!B15/'Data Entry'!B$6)), 0)</f>
        <v>6.6124446207763005E-2</v>
      </c>
      <c r="D12" s="1">
        <f>IF((D$3&gt;0),(1000*('Data Entry'!C15/'Data Entry'!C$6)), 0)</f>
        <v>0</v>
      </c>
      <c r="E12" s="1">
        <f>IF((E$3&gt;0),(1000*('Data Entry'!D15/'Data Entry'!D$6)), 0)</f>
        <v>1.5220700152207001</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0.56593095642331637</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Monroe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6.776255707762556</v>
      </c>
      <c r="E19" s="72" t="str">
        <f t="shared" si="1"/>
        <v>--</v>
      </c>
      <c r="F19" s="72" t="str">
        <f t="shared" si="1"/>
        <v>--</v>
      </c>
      <c r="G19" s="72" t="str">
        <f t="shared" si="1"/>
        <v>--</v>
      </c>
      <c r="H19" s="72" t="str">
        <f t="shared" si="1"/>
        <v>--</v>
      </c>
      <c r="I19" s="72" t="str">
        <f t="shared" si="1"/>
        <v>--</v>
      </c>
      <c r="J19" s="73">
        <f t="shared" si="1"/>
        <v>2.5195246179966042</v>
      </c>
    </row>
    <row r="20" spans="2:10" ht="15" customHeight="1">
      <c r="B20" s="71" t="s">
        <v>9</v>
      </c>
      <c r="C20" s="72">
        <f t="shared" ref="C20:J27" si="2">IF(AND(($D5&gt;0),(D5&gt;0)), (D5/$D5),"--")</f>
        <v>1</v>
      </c>
      <c r="D20" s="72">
        <f t="shared" si="2"/>
        <v>4.2135990037359896</v>
      </c>
      <c r="E20" s="72">
        <f t="shared" si="2"/>
        <v>5.4204545454545457E-2</v>
      </c>
      <c r="F20" s="72">
        <f t="shared" si="2"/>
        <v>0.29082199237887862</v>
      </c>
      <c r="G20" s="72" t="str">
        <f t="shared" si="2"/>
        <v>--</v>
      </c>
      <c r="H20" s="72" t="str">
        <f t="shared" si="2"/>
        <v>--</v>
      </c>
      <c r="I20" s="72" t="str">
        <f t="shared" si="2"/>
        <v>--</v>
      </c>
      <c r="J20" s="73">
        <f t="shared" si="2"/>
        <v>2.0339435098008951</v>
      </c>
    </row>
    <row r="21" spans="2:10" ht="15" customHeight="1">
      <c r="B21" s="71" t="s">
        <v>10</v>
      </c>
      <c r="C21" s="72">
        <f t="shared" si="2"/>
        <v>1</v>
      </c>
      <c r="D21" s="72">
        <f t="shared" si="2"/>
        <v>2.7042855347492769</v>
      </c>
      <c r="E21" s="72" t="str">
        <f t="shared" si="2"/>
        <v>--</v>
      </c>
      <c r="F21" s="72">
        <f t="shared" si="2"/>
        <v>0.36686260506509916</v>
      </c>
      <c r="G21" s="72" t="str">
        <f t="shared" si="2"/>
        <v>--</v>
      </c>
      <c r="H21" s="72" t="str">
        <f t="shared" si="2"/>
        <v>--</v>
      </c>
      <c r="I21" s="72" t="str">
        <f t="shared" si="2"/>
        <v>--</v>
      </c>
      <c r="J21" s="73">
        <f t="shared" si="2"/>
        <v>1.2828772137505646</v>
      </c>
    </row>
    <row r="22" spans="2:10" ht="15" customHeight="1">
      <c r="B22" s="71" t="s">
        <v>11</v>
      </c>
      <c r="C22" s="72">
        <f t="shared" si="2"/>
        <v>1</v>
      </c>
      <c r="D22" s="72">
        <f t="shared" si="2"/>
        <v>9.680365296803652</v>
      </c>
      <c r="E22" s="72" t="str">
        <f t="shared" si="2"/>
        <v>--</v>
      </c>
      <c r="F22" s="72" t="str">
        <f t="shared" si="2"/>
        <v>--</v>
      </c>
      <c r="G22" s="72" t="str">
        <f t="shared" si="2"/>
        <v>--</v>
      </c>
      <c r="H22" s="72" t="str">
        <f t="shared" si="2"/>
        <v>--</v>
      </c>
      <c r="I22" s="72" t="str">
        <f t="shared" si="2"/>
        <v>--</v>
      </c>
      <c r="J22" s="73">
        <f t="shared" si="2"/>
        <v>5.0390492359932084</v>
      </c>
    </row>
    <row r="23" spans="2:10" ht="15" customHeight="1">
      <c r="B23" s="71" t="s">
        <v>95</v>
      </c>
      <c r="C23" s="72">
        <f t="shared" si="2"/>
        <v>1</v>
      </c>
      <c r="D23" s="72">
        <f t="shared" si="2"/>
        <v>9.680365296803652</v>
      </c>
      <c r="E23" s="72">
        <f t="shared" si="2"/>
        <v>0.3549107142857143</v>
      </c>
      <c r="F23" s="72" t="str">
        <f t="shared" si="2"/>
        <v>--</v>
      </c>
      <c r="G23" s="72" t="str">
        <f t="shared" si="2"/>
        <v>--</v>
      </c>
      <c r="H23" s="72" t="str">
        <f t="shared" si="2"/>
        <v>--</v>
      </c>
      <c r="I23" s="72" t="str">
        <f t="shared" si="2"/>
        <v>--</v>
      </c>
      <c r="J23" s="73">
        <f t="shared" si="2"/>
        <v>4.8590831918505941</v>
      </c>
    </row>
    <row r="24" spans="2:10" ht="15" customHeight="1">
      <c r="B24" s="71" t="s">
        <v>13</v>
      </c>
      <c r="C24" s="72">
        <f t="shared" si="2"/>
        <v>1</v>
      </c>
      <c r="D24" s="72">
        <f t="shared" si="2"/>
        <v>9.0944484498918516</v>
      </c>
      <c r="E24" s="72">
        <f t="shared" si="2"/>
        <v>0.39226973684210525</v>
      </c>
      <c r="F24" s="72" t="str">
        <f t="shared" si="2"/>
        <v>--</v>
      </c>
      <c r="G24" s="72" t="str">
        <f t="shared" si="2"/>
        <v>--</v>
      </c>
      <c r="H24" s="72" t="str">
        <f t="shared" si="2"/>
        <v>--</v>
      </c>
      <c r="I24" s="72" t="str">
        <f t="shared" si="2"/>
        <v>--</v>
      </c>
      <c r="J24" s="73">
        <f t="shared" si="2"/>
        <v>4.7738361183093554</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f t="shared" si="2"/>
        <v>4.1992076966610066</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Monroe</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13356</v>
      </c>
      <c r="D7" s="104">
        <f>'Data Entry'!D6</f>
        <v>657</v>
      </c>
      <c r="E7" s="105"/>
      <c r="F7" s="106">
        <f>'Data Entry'!E6</f>
        <v>896</v>
      </c>
      <c r="G7" s="105"/>
      <c r="H7" s="106">
        <f>'Data Entry'!F6</f>
        <v>167</v>
      </c>
      <c r="I7" s="105"/>
      <c r="J7" s="106">
        <f>'Data Entry'!G6</f>
        <v>0</v>
      </c>
      <c r="K7" s="105"/>
      <c r="L7" s="106">
        <f>'Data Entry'!H6</f>
        <v>47</v>
      </c>
      <c r="M7" s="105"/>
      <c r="N7" s="106">
        <f>'Data Entry'!I6</f>
        <v>0</v>
      </c>
      <c r="O7" s="105"/>
      <c r="P7" s="106">
        <f>'Data Entry'!J6</f>
        <v>1767</v>
      </c>
      <c r="Q7" s="107"/>
    </row>
    <row r="8" spans="2:26" s="1" customFormat="1" ht="15" customHeight="1">
      <c r="B8" s="142" t="s">
        <v>8</v>
      </c>
      <c r="C8" s="103">
        <f>'Data Entry'!C7</f>
        <v>21</v>
      </c>
      <c r="D8" s="104">
        <f>'Data Entry'!D7</f>
        <v>7</v>
      </c>
      <c r="E8" s="105">
        <f>'Black or African-American'!$G7</f>
        <v>6.776255707762556</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7</v>
      </c>
      <c r="Q8" s="107">
        <f>'All Minorities'!G7</f>
        <v>2.5195246179966042</v>
      </c>
      <c r="R8"/>
      <c r="T8" s="1">
        <f>'Black or African-American'!L7</f>
        <v>1</v>
      </c>
      <c r="U8" s="1">
        <f>Hispanic!L7</f>
        <v>40</v>
      </c>
      <c r="V8" s="1">
        <f>Asian!L7</f>
        <v>40</v>
      </c>
      <c r="W8" s="1" t="e">
        <f>Hawaiian!L7</f>
        <v>#VALUE!</v>
      </c>
      <c r="X8" s="1">
        <f>'Am Indian'!L7</f>
        <v>139</v>
      </c>
      <c r="Y8" s="1" t="e">
        <f>'Other - Mixed'!L7</f>
        <v>#VALUE!</v>
      </c>
      <c r="Z8" s="1">
        <f>'All Minorities'!L7</f>
        <v>1</v>
      </c>
    </row>
    <row r="9" spans="2:26" s="1" customFormat="1" ht="15" customHeight="1">
      <c r="B9" s="142" t="s">
        <v>134</v>
      </c>
      <c r="C9" s="103">
        <f>'Data Entry'!C8</f>
        <v>275</v>
      </c>
      <c r="D9" s="108">
        <f>'Data Entry'!D8</f>
        <v>57</v>
      </c>
      <c r="E9" s="109" t="str">
        <f>'Black or African-American'!$G8</f>
        <v>**</v>
      </c>
      <c r="F9" s="110">
        <f>'Data Entry'!E8</f>
        <v>1</v>
      </c>
      <c r="G9" s="109" t="str">
        <f>Hispanic!G8</f>
        <v>**</v>
      </c>
      <c r="H9" s="110">
        <f>'Data Entry'!F8</f>
        <v>1</v>
      </c>
      <c r="I9" s="109" t="str">
        <f>Asian!G8</f>
        <v>**</v>
      </c>
      <c r="J9" s="110">
        <f>'Data Entry'!G8</f>
        <v>0</v>
      </c>
      <c r="K9" s="109" t="str">
        <f>Hawaiian!G8</f>
        <v>*</v>
      </c>
      <c r="L9" s="110">
        <f>'Data Entry'!H8</f>
        <v>0</v>
      </c>
      <c r="M9" s="109" t="str">
        <f>'Am Indian'!G8</f>
        <v>*</v>
      </c>
      <c r="N9" s="110">
        <f>'Data Entry'!I8</f>
        <v>15</v>
      </c>
      <c r="O9" s="109" t="str">
        <f>'Other - Mixed'!G8</f>
        <v>*</v>
      </c>
      <c r="P9" s="110">
        <f>'Data Entry'!J8</f>
        <v>74</v>
      </c>
      <c r="Q9" s="111" t="str">
        <f>'All Minorities'!G8</f>
        <v>**</v>
      </c>
      <c r="R9"/>
      <c r="T9" s="1">
        <f>'Black or African-American'!L8</f>
        <v>40</v>
      </c>
      <c r="U9" s="1">
        <f>Hispanic!L8</f>
        <v>40</v>
      </c>
      <c r="V9" s="1">
        <f>Asian!L8</f>
        <v>40</v>
      </c>
      <c r="W9" s="1">
        <f>Hawaiian!L8</f>
        <v>139</v>
      </c>
      <c r="X9" s="1">
        <f>'Am Indian'!L8</f>
        <v>139</v>
      </c>
      <c r="Y9" s="1">
        <f>'Other - Mixed'!L8</f>
        <v>119</v>
      </c>
      <c r="Z9" s="1">
        <f>'All Minorities'!L8</f>
        <v>40</v>
      </c>
    </row>
    <row r="10" spans="2:26" s="1" customFormat="1" ht="15" customHeight="1">
      <c r="B10" s="142" t="s">
        <v>10</v>
      </c>
      <c r="C10" s="103">
        <f>'Data Entry'!C9</f>
        <v>218</v>
      </c>
      <c r="D10" s="112">
        <f>'Data Entry'!D9</f>
        <v>29</v>
      </c>
      <c r="E10" s="113">
        <f>'Black or African-American'!$G9</f>
        <v>0.64179945276034134</v>
      </c>
      <c r="F10" s="114">
        <f>'Data Entry'!E9</f>
        <v>0</v>
      </c>
      <c r="G10" s="113" t="str">
        <f>Hispanic!G9</f>
        <v>**</v>
      </c>
      <c r="H10" s="114">
        <f>'Data Entry'!F9</f>
        <v>1</v>
      </c>
      <c r="I10" s="113" t="str">
        <f>Asian!G9</f>
        <v>**</v>
      </c>
      <c r="J10" s="114">
        <f>'Data Entry'!G9</f>
        <v>0</v>
      </c>
      <c r="K10" s="113" t="str">
        <f>Hawaiian!G9</f>
        <v>*</v>
      </c>
      <c r="L10" s="114">
        <f>'Data Entry'!H9</f>
        <v>0</v>
      </c>
      <c r="M10" s="113" t="str">
        <f>'Am Indian'!G9</f>
        <v>*</v>
      </c>
      <c r="N10" s="114">
        <f>'Data Entry'!I9</f>
        <v>7</v>
      </c>
      <c r="O10" s="113" t="str">
        <f>'Other - Mixed'!G9</f>
        <v>*</v>
      </c>
      <c r="P10" s="114">
        <f>'Data Entry'!J9</f>
        <v>37</v>
      </c>
      <c r="Q10" s="115">
        <f>'All Minorities'!G9</f>
        <v>0.63073394495412849</v>
      </c>
      <c r="R10"/>
      <c r="T10" s="1">
        <f>'Black or African-American'!L9</f>
        <v>1</v>
      </c>
      <c r="U10" s="1">
        <f>Hispanic!L9</f>
        <v>40</v>
      </c>
      <c r="V10" s="1">
        <f>Asian!L9</f>
        <v>40</v>
      </c>
      <c r="W10" s="1" t="e">
        <f>Hawaiian!L9</f>
        <v>#VALUE!</v>
      </c>
      <c r="X10" s="1" t="e">
        <f>'Am Indian'!L9</f>
        <v>#VALUE!</v>
      </c>
      <c r="Y10" s="1">
        <f>'Other - Mixed'!L9</f>
        <v>119</v>
      </c>
      <c r="Z10" s="1">
        <f>'All Minorities'!L9</f>
        <v>1</v>
      </c>
    </row>
    <row r="11" spans="2:26" s="1" customFormat="1" ht="15" customHeight="1">
      <c r="B11" s="142" t="s">
        <v>11</v>
      </c>
      <c r="C11" s="103">
        <f>'Data Entry'!C10</f>
        <v>21</v>
      </c>
      <c r="D11" s="108">
        <f>'Data Entry'!D10</f>
        <v>10</v>
      </c>
      <c r="E11" s="109">
        <f>'Black or African-American'!$G10</f>
        <v>2.2974101921470345</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4</v>
      </c>
      <c r="O11" s="109" t="str">
        <f>'Other - Mixed'!G10</f>
        <v>*</v>
      </c>
      <c r="P11" s="110">
        <f>'Data Entry'!J10</f>
        <v>14</v>
      </c>
      <c r="Q11" s="111">
        <f>'All Minorities'!G10</f>
        <v>2.4774774774774775</v>
      </c>
      <c r="R11"/>
      <c r="T11" s="1">
        <f>'Black or African-American'!L10</f>
        <v>1</v>
      </c>
      <c r="U11" s="1">
        <f>Hispanic!L10</f>
        <v>40</v>
      </c>
      <c r="V11" s="1">
        <f>Asian!L10</f>
        <v>40</v>
      </c>
      <c r="W11" s="1" t="e">
        <f>Hawaiian!L10</f>
        <v>#VALUE!</v>
      </c>
      <c r="X11" s="1" t="e">
        <f>'Am Indian'!L10</f>
        <v>#VALUE!</v>
      </c>
      <c r="Y11" s="1">
        <f>'Other - Mixed'!L10</f>
        <v>119</v>
      </c>
      <c r="Z11" s="1">
        <f>'All Minorities'!L10</f>
        <v>1</v>
      </c>
    </row>
    <row r="12" spans="2:26" s="1" customFormat="1" ht="15" customHeight="1">
      <c r="B12" s="142" t="s">
        <v>95</v>
      </c>
      <c r="C12" s="103">
        <f>'Data Entry'!C11</f>
        <v>42</v>
      </c>
      <c r="D12" s="112">
        <f>'Data Entry'!D11</f>
        <v>20</v>
      </c>
      <c r="E12" s="113">
        <f>'Black or African-American'!$G11</f>
        <v>2.2974101921470345</v>
      </c>
      <c r="F12" s="114">
        <f>'Data Entry'!E11</f>
        <v>1</v>
      </c>
      <c r="G12" s="113" t="str">
        <f>Hispanic!G11</f>
        <v>**</v>
      </c>
      <c r="H12" s="114">
        <f>'Data Entry'!F11</f>
        <v>0</v>
      </c>
      <c r="I12" s="113" t="str">
        <f>Asian!G11</f>
        <v>**</v>
      </c>
      <c r="J12" s="114">
        <f>'Data Entry'!G11</f>
        <v>0</v>
      </c>
      <c r="K12" s="113" t="str">
        <f>Hawaiian!G11</f>
        <v>*</v>
      </c>
      <c r="L12" s="114">
        <f>'Data Entry'!H11</f>
        <v>0</v>
      </c>
      <c r="M12" s="113" t="str">
        <f>'Am Indian'!G11</f>
        <v>*</v>
      </c>
      <c r="N12" s="114">
        <f>'Data Entry'!I11</f>
        <v>6</v>
      </c>
      <c r="O12" s="113" t="str">
        <f>'Other - Mixed'!G11</f>
        <v>*</v>
      </c>
      <c r="P12" s="114">
        <f>'Data Entry'!J11</f>
        <v>27</v>
      </c>
      <c r="Q12" s="115">
        <f>'All Minorities'!G11</f>
        <v>2.3889961389961387</v>
      </c>
      <c r="R12"/>
      <c r="T12" s="1">
        <f>'Black or African-American'!L11</f>
        <v>1</v>
      </c>
      <c r="U12" s="1">
        <f>Hispanic!L11</f>
        <v>20</v>
      </c>
      <c r="V12" s="1">
        <f>Asian!L11</f>
        <v>40</v>
      </c>
      <c r="W12" s="1" t="e">
        <f>Hawaiian!L11</f>
        <v>#VALUE!</v>
      </c>
      <c r="X12" s="1" t="e">
        <f>'Am Indian'!L11</f>
        <v>#VALUE!</v>
      </c>
      <c r="Y12" s="1">
        <f>'Other - Mixed'!L11</f>
        <v>119</v>
      </c>
      <c r="Z12" s="1">
        <f>'All Minorities'!L11</f>
        <v>1</v>
      </c>
    </row>
    <row r="13" spans="2:26" s="1" customFormat="1" ht="15" customHeight="1">
      <c r="B13" s="142" t="s">
        <v>13</v>
      </c>
      <c r="C13" s="103">
        <f>'Data Entry'!C12</f>
        <v>38</v>
      </c>
      <c r="D13" s="108">
        <f>'Data Entry'!D12</f>
        <v>17</v>
      </c>
      <c r="E13" s="109" t="str">
        <f>'Black or African-American'!$G12</f>
        <v>**</v>
      </c>
      <c r="F13" s="110">
        <f>'Data Entry'!E12</f>
        <v>1</v>
      </c>
      <c r="G13" s="109" t="str">
        <f>Hispanic!G12</f>
        <v>**</v>
      </c>
      <c r="H13" s="110">
        <f>'Data Entry'!F12</f>
        <v>0</v>
      </c>
      <c r="I13" s="109" t="str">
        <f>Asian!G12</f>
        <v>--</v>
      </c>
      <c r="J13" s="110">
        <f>'Data Entry'!G12</f>
        <v>0</v>
      </c>
      <c r="K13" s="109" t="str">
        <f>Hawaiian!G12</f>
        <v>*</v>
      </c>
      <c r="L13" s="110">
        <f>'Data Entry'!H12</f>
        <v>0</v>
      </c>
      <c r="M13" s="109" t="str">
        <f>'Am Indian'!G12</f>
        <v>*</v>
      </c>
      <c r="N13" s="110">
        <f>'Data Entry'!I12</f>
        <v>6</v>
      </c>
      <c r="O13" s="109" t="str">
        <f>'Other - Mixed'!G12</f>
        <v>*</v>
      </c>
      <c r="P13" s="110">
        <f>'Data Entry'!J12</f>
        <v>24</v>
      </c>
      <c r="Q13" s="111" t="str">
        <f>'All Minorities'!G12</f>
        <v>**</v>
      </c>
      <c r="R13"/>
      <c r="T13" s="1">
        <f>'Black or African-American'!L12</f>
        <v>40</v>
      </c>
      <c r="U13" s="1">
        <f>Hispanic!L12</f>
        <v>40</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9</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5</v>
      </c>
      <c r="O15" s="109" t="str">
        <f>'Other - Mixed'!G14</f>
        <v>*</v>
      </c>
      <c r="P15" s="110">
        <f>'Data Entry'!J14</f>
        <v>5</v>
      </c>
      <c r="Q15" s="111" t="str">
        <f>'All Minorities'!G14</f>
        <v>**</v>
      </c>
      <c r="R15"/>
      <c r="T15" s="1">
        <f>'Black or African-American'!L14</f>
        <v>20</v>
      </c>
      <c r="U15" s="1">
        <f>Hispanic!L14</f>
        <v>40</v>
      </c>
      <c r="V15" s="1" t="e">
        <f>Asian!L14</f>
        <v>#VALUE!</v>
      </c>
      <c r="W15" s="1" t="e">
        <f>Hawaiian!L14</f>
        <v>#VALUE!</v>
      </c>
      <c r="X15" s="1" t="e">
        <f>'Am Indian'!L14</f>
        <v>#VALUE!</v>
      </c>
      <c r="Y15" s="1">
        <f>'Other - Mixed'!L14</f>
        <v>119</v>
      </c>
      <c r="Z15" s="1">
        <f>'All Minorities'!L14</f>
        <v>40</v>
      </c>
    </row>
    <row r="16" spans="2:26" s="1" customFormat="1" ht="15" customHeight="1">
      <c r="B16" s="142" t="s">
        <v>16</v>
      </c>
      <c r="C16" s="103">
        <f>'Data Entry'!C15</f>
        <v>0</v>
      </c>
      <c r="D16" s="116">
        <f>'Data Entry'!D15</f>
        <v>1</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1</v>
      </c>
      <c r="Q16" s="119" t="str">
        <f>'All Minorities'!G15</f>
        <v>**</v>
      </c>
      <c r="R16"/>
      <c r="T16" s="1">
        <f>'Black or African-American'!L15</f>
        <v>40</v>
      </c>
      <c r="U16" s="1" t="e">
        <f>Hispanic!L15</f>
        <v>#VALUE!</v>
      </c>
      <c r="V16" s="1" t="e">
        <f>Asian!L15</f>
        <v>#VALUE!</v>
      </c>
      <c r="W16" s="1" t="e">
        <f>Hawaiian!L15</f>
        <v>#VALUE!</v>
      </c>
      <c r="X16" s="1" t="e">
        <f>'Am Indian'!L15</f>
        <v>#VALUE!</v>
      </c>
      <c r="Y16" s="1" t="e">
        <f>'Other - Mixed'!L15</f>
        <v>#VALUE!</v>
      </c>
      <c r="Z16" s="1">
        <f>'All Minorities'!L15</f>
        <v>40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Monroe</v>
      </c>
    </row>
    <row r="6" spans="1:12">
      <c r="A6" s="135" t="str">
        <f>CONCATENATE("Percentage of Minorities at Stages of the Juvenile Justice System, ", A5, " 2022")</f>
        <v>Percentage of Minorities at Stages of the Juvenile Justice System, County: Monroe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N=1</v>
      </c>
      <c r="B7" s="150">
        <f>'Data Entry'!D15/'Data Entry'!B15</f>
        <v>1</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v>
      </c>
      <c r="K7" s="96" t="str">
        <f t="shared" ref="K7:K14" si="0">A7</f>
        <v>Waivers, total N=1</v>
      </c>
      <c r="L7">
        <f>I14/(SUM(B14:G14))</f>
        <v>7.558573853989814</v>
      </c>
    </row>
    <row r="8" spans="1:12" ht="25.5" customHeight="1">
      <c r="A8" s="151" t="str">
        <f>CONCATENATE("Confinement, total N=", 'Data Entry'!B14)</f>
        <v>Confinement, total N=14</v>
      </c>
      <c r="B8" s="150">
        <f>'Data Entry'!D14/'Data Entry'!B14</f>
        <v>0</v>
      </c>
      <c r="C8" s="150">
        <f>'Data Entry'!E14/'Data Entry'!B14</f>
        <v>0</v>
      </c>
      <c r="D8" s="150">
        <f>'Data Entry'!F14/'Data Entry'!B14</f>
        <v>0</v>
      </c>
      <c r="E8" s="150">
        <f>'Data Entry'!G14/'Data Entry'!B14</f>
        <v>0</v>
      </c>
      <c r="F8" s="150">
        <f>'Data Entry'!H14/'Data Entry'!B14</f>
        <v>0</v>
      </c>
      <c r="G8" s="150">
        <f>'Data Entry'!I14/'Data Entry'!B14</f>
        <v>0.35714285714285715</v>
      </c>
      <c r="H8" s="150">
        <f>SUM(D8:G8)/'Data Entry'!B14</f>
        <v>2.5510204081632654E-2</v>
      </c>
      <c r="I8" s="150">
        <f>'Data Entry'!C14/'Data Entry'!B14</f>
        <v>0.6428571428571429</v>
      </c>
      <c r="K8" s="96" t="str">
        <f>A8</f>
        <v>Confinement, total N=14</v>
      </c>
      <c r="L8">
        <f>I14/(SUM(B14:G14))</f>
        <v>7.558573853989814</v>
      </c>
    </row>
    <row r="9" spans="1:12">
      <c r="A9" s="128" t="str">
        <f>CONCATENATE("Delinquent Findings, total N=", 'Data Entry'!B12)</f>
        <v>Delinquent Findings, total N=62</v>
      </c>
      <c r="B9" s="150">
        <f>'Data Entry'!D12/'Data Entry'!B12</f>
        <v>0.27419354838709675</v>
      </c>
      <c r="C9" s="150">
        <f>'Data Entry'!E12/'Data Entry'!B12</f>
        <v>1.6129032258064516E-2</v>
      </c>
      <c r="D9" s="150">
        <f>'Data Entry'!F12/'Data Entry'!B12</f>
        <v>0</v>
      </c>
      <c r="E9" s="150">
        <f>'Data Entry'!G12/'Data Entry'!B12</f>
        <v>0</v>
      </c>
      <c r="F9" s="150">
        <f>'Data Entry'!H12/'Data Entry'!B12</f>
        <v>0</v>
      </c>
      <c r="G9" s="150">
        <f>'Data Entry'!I12/'Data Entry'!B12</f>
        <v>9.6774193548387094E-2</v>
      </c>
      <c r="H9" s="150">
        <f>SUM(D9:G9)/'Data Entry'!B12</f>
        <v>1.5608740894901144E-3</v>
      </c>
      <c r="I9" s="150">
        <f>'Data Entry'!C12/'Data Entry'!B12</f>
        <v>0.61290322580645162</v>
      </c>
      <c r="K9" s="96" t="str">
        <f t="shared" si="0"/>
        <v>Delinquent Findings, total N=62</v>
      </c>
      <c r="L9">
        <f>I14/(SUM(B14:G14))</f>
        <v>7.558573853989814</v>
      </c>
    </row>
    <row r="10" spans="1:12">
      <c r="A10" s="128" t="str">
        <f>CONCATENATE("Petitions, total N=", 'Data Entry'!B11)</f>
        <v>Petitions, total N=69</v>
      </c>
      <c r="B10" s="150">
        <f>'Data Entry'!D11/'Data Entry'!B11</f>
        <v>0.28985507246376813</v>
      </c>
      <c r="C10" s="150">
        <f>'Data Entry'!E11/'Data Entry'!B11</f>
        <v>1.4492753623188406E-2</v>
      </c>
      <c r="D10" s="150">
        <f>'Data Entry'!F11/'Data Entry'!B11</f>
        <v>0</v>
      </c>
      <c r="E10" s="150">
        <f>'Data Entry'!G11/'Data Entry'!B11</f>
        <v>0</v>
      </c>
      <c r="F10" s="150">
        <f>'Data Entry'!H11/'Data Entry'!B11</f>
        <v>0</v>
      </c>
      <c r="G10" s="150">
        <f>'Data Entry'!I11/'Data Entry'!B11</f>
        <v>8.6956521739130432E-2</v>
      </c>
      <c r="H10" s="150">
        <f>SUM(D10:G10)/'Data Entry'!B11</f>
        <v>1.260239445494644E-3</v>
      </c>
      <c r="I10" s="150">
        <f>'Data Entry'!C11/'Data Entry'!B11</f>
        <v>0.60869565217391308</v>
      </c>
      <c r="K10" s="96" t="str">
        <f t="shared" si="0"/>
        <v>Petitions, total N=69</v>
      </c>
      <c r="L10">
        <f>I14/(SUM(B14:G14))</f>
        <v>7.558573853989814</v>
      </c>
    </row>
    <row r="11" spans="1:12">
      <c r="A11" s="128" t="str">
        <f>CONCATENATE("Detentions, total N=", 'Data Entry'!B10)</f>
        <v>Detentions, total N=35</v>
      </c>
      <c r="B11" s="150">
        <f>'Data Entry'!D10/'Data Entry'!B10</f>
        <v>0.2857142857142857</v>
      </c>
      <c r="C11" s="150">
        <f>'Data Entry'!E10/'Data Entry'!B10</f>
        <v>0</v>
      </c>
      <c r="D11" s="150">
        <f>'Data Entry'!F10/'Data Entry'!B10</f>
        <v>0</v>
      </c>
      <c r="E11" s="150">
        <f>'Data Entry'!G10/'Data Entry'!B10</f>
        <v>0</v>
      </c>
      <c r="F11" s="150">
        <f>'Data Entry'!H10/'Data Entry'!B10</f>
        <v>0</v>
      </c>
      <c r="G11" s="150">
        <f>'Data Entry'!I10/'Data Entry'!B10</f>
        <v>0.11428571428571428</v>
      </c>
      <c r="H11" s="150">
        <f>SUM(D11:G11)/'Data Entry'!B10</f>
        <v>3.2653061224489793E-3</v>
      </c>
      <c r="I11" s="150">
        <f>'Data Entry'!C10/'Data Entry'!B10</f>
        <v>0.6</v>
      </c>
      <c r="K11" s="96" t="str">
        <f t="shared" si="0"/>
        <v>Detentions, total N=35</v>
      </c>
      <c r="L11">
        <f>I14/(SUM(B14:G14))</f>
        <v>7.558573853989814</v>
      </c>
    </row>
    <row r="12" spans="1:12">
      <c r="A12" s="128" t="str">
        <f>CONCATENATE("Referrals, total N=", 'Data Entry'!B8)</f>
        <v>Referrals, total N=350</v>
      </c>
      <c r="B12" s="150">
        <f>'Data Entry'!D8/'Data Entry'!B8</f>
        <v>0.16285714285714287</v>
      </c>
      <c r="C12" s="150">
        <f>'Data Entry'!E8/'Data Entry'!B8</f>
        <v>2.8571428571428571E-3</v>
      </c>
      <c r="D12" s="150">
        <f>'Data Entry'!F8/'Data Entry'!B8</f>
        <v>2.8571428571428571E-3</v>
      </c>
      <c r="E12" s="150">
        <f>'Data Entry'!G8/'Data Entry'!B8</f>
        <v>0</v>
      </c>
      <c r="F12" s="150">
        <f>'Data Entry'!H8/'Data Entry'!B8</f>
        <v>0</v>
      </c>
      <c r="G12" s="150">
        <f>'Data Entry'!I8/'Data Entry'!B8</f>
        <v>4.2857142857142858E-2</v>
      </c>
      <c r="H12" s="150">
        <f>SUM(D12:G12)/'Data Entry'!B8</f>
        <v>1.3061224489795917E-4</v>
      </c>
      <c r="I12" s="150">
        <f>'Data Entry'!C8/'Data Entry'!B8</f>
        <v>0.7857142857142857</v>
      </c>
      <c r="K12" s="96" t="str">
        <f t="shared" si="0"/>
        <v>Referrals, total N=350</v>
      </c>
      <c r="L12">
        <f>I14/(SUM(B14:G14))</f>
        <v>7.558573853989814</v>
      </c>
    </row>
    <row r="13" spans="1:12">
      <c r="A13" s="128" t="str">
        <f>CONCATENATE("Arrests, total N=", 'Data Entry'!B7)</f>
        <v>Arrests, total N=28</v>
      </c>
      <c r="B13" s="150">
        <f>'Data Entry'!D7/'Data Entry'!B7</f>
        <v>0.25</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0.75</v>
      </c>
      <c r="K13" s="96" t="str">
        <f t="shared" si="0"/>
        <v>Arrests, total N=28</v>
      </c>
      <c r="L13">
        <f>I14/(SUM(B14:G14))</f>
        <v>7.558573853989814</v>
      </c>
    </row>
    <row r="14" spans="1:12">
      <c r="A14" s="128" t="str">
        <f>CONCATENATE("Population, total N=", 'Data Entry'!B6)</f>
        <v>Population, total N=15123</v>
      </c>
      <c r="B14" s="150">
        <f>'Data Entry'!D6/'Data Entry'!B6</f>
        <v>4.3443761158500301E-2</v>
      </c>
      <c r="C14" s="150">
        <f>'Data Entry'!E6/'Data Entry'!B6</f>
        <v>5.9247503802155654E-2</v>
      </c>
      <c r="D14" s="150">
        <f>'Data Entry'!F6/'Data Entry'!B6</f>
        <v>1.1042782516696423E-2</v>
      </c>
      <c r="E14" s="150">
        <f>'Data Entry'!G6/'Data Entry'!B6</f>
        <v>0</v>
      </c>
      <c r="F14" s="150">
        <f>'Data Entry'!H6/'Data Entry'!B6</f>
        <v>3.1078489717648616E-3</v>
      </c>
      <c r="G14" s="150">
        <f>'Data Entry'!I6/'Data Entry'!B6</f>
        <v>0</v>
      </c>
      <c r="H14" s="150">
        <f>SUM(D14:G14)/'Data Entry'!B6</f>
        <v>9.3570267066463556E-7</v>
      </c>
      <c r="I14" s="150">
        <f>'Data Entry'!C6/'Data Entry'!B6</f>
        <v>0.88315810355088276</v>
      </c>
      <c r="K14" s="96" t="str">
        <f t="shared" si="0"/>
        <v>Population, total N=15123</v>
      </c>
      <c r="L14">
        <f>I14/(SUM(B14:G14))</f>
        <v>7.558573853989814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Monroe</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13356</v>
      </c>
      <c r="D7" s="104">
        <f>'Data Entry'!D6</f>
        <v>657</v>
      </c>
      <c r="E7" s="105"/>
      <c r="F7" s="106">
        <f>'Data Entry'!E6</f>
        <v>896</v>
      </c>
      <c r="G7" s="105"/>
      <c r="H7" s="106">
        <f>'Data Entry'!F6</f>
        <v>167</v>
      </c>
      <c r="I7" s="105"/>
      <c r="J7" s="106">
        <f>'Data Entry'!J6</f>
        <v>1767</v>
      </c>
      <c r="K7" s="107"/>
    </row>
    <row r="8" spans="2:30" s="1" customFormat="1" ht="15" customHeight="1">
      <c r="B8" s="121" t="s">
        <v>8</v>
      </c>
      <c r="C8" s="103">
        <f>'Data Entry'!C7</f>
        <v>21</v>
      </c>
      <c r="D8" s="104">
        <f>'Data Entry'!D7</f>
        <v>7</v>
      </c>
      <c r="E8" s="105">
        <f>'Black or African-American'!$G7</f>
        <v>6.776255707762556</v>
      </c>
      <c r="F8" s="106">
        <f>'Data Entry'!E7</f>
        <v>0</v>
      </c>
      <c r="G8" s="105" t="str">
        <f>Hispanic!G7</f>
        <v>**</v>
      </c>
      <c r="H8" s="106">
        <f>'Data Entry'!F7</f>
        <v>0</v>
      </c>
      <c r="I8" s="105" t="str">
        <f>Asian!G7</f>
        <v>**</v>
      </c>
      <c r="J8" s="106">
        <f>'Data Entry'!J7</f>
        <v>7</v>
      </c>
      <c r="K8" s="107">
        <f>'All Minorities'!G7</f>
        <v>2.5195246179966042</v>
      </c>
      <c r="L8"/>
      <c r="N8" s="1">
        <f>'Black or African-American'!L7</f>
        <v>1</v>
      </c>
      <c r="O8" s="1">
        <f>Hispanic!L7</f>
        <v>40</v>
      </c>
      <c r="P8" s="1">
        <f>Asian!L7</f>
        <v>40</v>
      </c>
      <c r="Q8" s="1" t="e">
        <f>Hawaiian!L7</f>
        <v>#VALUE!</v>
      </c>
      <c r="R8" s="1">
        <f>'Am Indian'!L7</f>
        <v>139</v>
      </c>
      <c r="S8" s="1" t="e">
        <f>'Other - Mixed'!L7</f>
        <v>#VALUE!</v>
      </c>
      <c r="T8" s="1">
        <f>'All Minorities'!L7</f>
        <v>1</v>
      </c>
    </row>
    <row r="9" spans="2:30" s="1" customFormat="1" ht="15" customHeight="1">
      <c r="B9" s="121" t="s">
        <v>134</v>
      </c>
      <c r="C9" s="103">
        <f>'Data Entry'!C8</f>
        <v>275</v>
      </c>
      <c r="D9" s="108">
        <f>'Data Entry'!D8</f>
        <v>57</v>
      </c>
      <c r="E9" s="109" t="str">
        <f>'Black or African-American'!$G8</f>
        <v>**</v>
      </c>
      <c r="F9" s="110">
        <f>'Data Entry'!E8</f>
        <v>1</v>
      </c>
      <c r="G9" s="109" t="str">
        <f>Hispanic!G8</f>
        <v>**</v>
      </c>
      <c r="H9" s="110">
        <f>'Data Entry'!F8</f>
        <v>1</v>
      </c>
      <c r="I9" s="109" t="str">
        <f>Asian!G8</f>
        <v>**</v>
      </c>
      <c r="J9" s="110">
        <f>'Data Entry'!J8</f>
        <v>74</v>
      </c>
      <c r="K9" s="111" t="str">
        <f>'All Minorities'!G8</f>
        <v>**</v>
      </c>
      <c r="L9"/>
      <c r="N9" s="1">
        <f>'Black or African-American'!L8</f>
        <v>40</v>
      </c>
      <c r="O9" s="1">
        <f>Hispanic!L8</f>
        <v>40</v>
      </c>
      <c r="P9" s="1">
        <f>Asian!L8</f>
        <v>40</v>
      </c>
      <c r="Q9" s="1">
        <f>Hawaiian!L8</f>
        <v>139</v>
      </c>
      <c r="R9" s="1">
        <f>'Am Indian'!L8</f>
        <v>139</v>
      </c>
      <c r="S9" s="1">
        <f>'Other - Mixed'!L8</f>
        <v>119</v>
      </c>
      <c r="T9" s="1">
        <f>'All Minorities'!L8</f>
        <v>40</v>
      </c>
    </row>
    <row r="10" spans="2:30" s="1" customFormat="1" ht="15" customHeight="1">
      <c r="B10" s="121" t="s">
        <v>10</v>
      </c>
      <c r="C10" s="103">
        <f>'Data Entry'!C9</f>
        <v>218</v>
      </c>
      <c r="D10" s="112">
        <f>'Data Entry'!D9</f>
        <v>29</v>
      </c>
      <c r="E10" s="113">
        <f>'Black or African-American'!$G9</f>
        <v>0.64179945276034134</v>
      </c>
      <c r="F10" s="114">
        <f>'Data Entry'!E9</f>
        <v>0</v>
      </c>
      <c r="G10" s="113" t="str">
        <f>Hispanic!G9</f>
        <v>**</v>
      </c>
      <c r="H10" s="114">
        <f>'Data Entry'!F9</f>
        <v>1</v>
      </c>
      <c r="I10" s="113" t="str">
        <f>Asian!G9</f>
        <v>**</v>
      </c>
      <c r="J10" s="114">
        <f>'Data Entry'!J9</f>
        <v>37</v>
      </c>
      <c r="K10" s="115">
        <f>'All Minorities'!G9</f>
        <v>0.63073394495412849</v>
      </c>
      <c r="L10"/>
      <c r="N10" s="1">
        <f>'Black or African-American'!L9</f>
        <v>1</v>
      </c>
      <c r="O10" s="1">
        <f>Hispanic!L9</f>
        <v>40</v>
      </c>
      <c r="P10" s="1">
        <f>Asian!L9</f>
        <v>40</v>
      </c>
      <c r="Q10" s="1" t="e">
        <f>Hawaiian!L9</f>
        <v>#VALUE!</v>
      </c>
      <c r="R10" s="1" t="e">
        <f>'Am Indian'!L9</f>
        <v>#VALUE!</v>
      </c>
      <c r="S10" s="1">
        <f>'Other - Mixed'!L9</f>
        <v>119</v>
      </c>
      <c r="T10" s="1">
        <f>'All Minorities'!L9</f>
        <v>1</v>
      </c>
    </row>
    <row r="11" spans="2:30" s="1" customFormat="1" ht="15" customHeight="1">
      <c r="B11" s="121" t="s">
        <v>11</v>
      </c>
      <c r="C11" s="103">
        <f>'Data Entry'!C10</f>
        <v>21</v>
      </c>
      <c r="D11" s="108">
        <f>'Data Entry'!D10</f>
        <v>10</v>
      </c>
      <c r="E11" s="109">
        <f>'Black or African-American'!$G10</f>
        <v>2.2974101921470345</v>
      </c>
      <c r="F11" s="110">
        <f>'Data Entry'!E10</f>
        <v>0</v>
      </c>
      <c r="G11" s="109" t="str">
        <f>Hispanic!G10</f>
        <v>**</v>
      </c>
      <c r="H11" s="110">
        <f>'Data Entry'!F10</f>
        <v>0</v>
      </c>
      <c r="I11" s="109" t="str">
        <f>Asian!G10</f>
        <v>**</v>
      </c>
      <c r="J11" s="110">
        <f>'Data Entry'!J10</f>
        <v>14</v>
      </c>
      <c r="K11" s="111">
        <f>'All Minorities'!G10</f>
        <v>2.4774774774774775</v>
      </c>
      <c r="L11"/>
      <c r="N11" s="1">
        <f>'Black or African-American'!L10</f>
        <v>1</v>
      </c>
      <c r="O11" s="1">
        <f>Hispanic!L10</f>
        <v>40</v>
      </c>
      <c r="P11" s="1">
        <f>Asian!L10</f>
        <v>40</v>
      </c>
      <c r="Q11" s="1" t="e">
        <f>Hawaiian!L10</f>
        <v>#VALUE!</v>
      </c>
      <c r="R11" s="1" t="e">
        <f>'Am Indian'!L10</f>
        <v>#VALUE!</v>
      </c>
      <c r="S11" s="1">
        <f>'Other - Mixed'!L10</f>
        <v>119</v>
      </c>
      <c r="T11" s="1">
        <f>'All Minorities'!L10</f>
        <v>1</v>
      </c>
    </row>
    <row r="12" spans="2:30" s="1" customFormat="1" ht="15" customHeight="1">
      <c r="B12" s="121" t="s">
        <v>95</v>
      </c>
      <c r="C12" s="103">
        <f>'Data Entry'!C11</f>
        <v>42</v>
      </c>
      <c r="D12" s="112">
        <f>'Data Entry'!D11</f>
        <v>20</v>
      </c>
      <c r="E12" s="113">
        <f>'Black or African-American'!$G11</f>
        <v>2.2974101921470345</v>
      </c>
      <c r="F12" s="114">
        <f>'Data Entry'!E11</f>
        <v>1</v>
      </c>
      <c r="G12" s="113" t="str">
        <f>Hispanic!G11</f>
        <v>**</v>
      </c>
      <c r="H12" s="114">
        <f>'Data Entry'!F11</f>
        <v>0</v>
      </c>
      <c r="I12" s="113" t="str">
        <f>Asian!G11</f>
        <v>**</v>
      </c>
      <c r="J12" s="114">
        <f>'Data Entry'!J11</f>
        <v>27</v>
      </c>
      <c r="K12" s="115">
        <f>'All Minorities'!G11</f>
        <v>2.3889961389961387</v>
      </c>
      <c r="L12"/>
      <c r="N12" s="1">
        <f>'Black or African-American'!L11</f>
        <v>1</v>
      </c>
      <c r="O12" s="1">
        <f>Hispanic!L11</f>
        <v>20</v>
      </c>
      <c r="P12" s="1">
        <f>Asian!L11</f>
        <v>40</v>
      </c>
      <c r="Q12" s="1" t="e">
        <f>Hawaiian!L11</f>
        <v>#VALUE!</v>
      </c>
      <c r="R12" s="1" t="e">
        <f>'Am Indian'!L11</f>
        <v>#VALUE!</v>
      </c>
      <c r="S12" s="1">
        <f>'Other - Mixed'!L11</f>
        <v>119</v>
      </c>
      <c r="T12" s="1">
        <f>'All Minorities'!L11</f>
        <v>1</v>
      </c>
    </row>
    <row r="13" spans="2:30" s="1" customFormat="1" ht="15" customHeight="1">
      <c r="B13" s="121" t="s">
        <v>13</v>
      </c>
      <c r="C13" s="103">
        <f>'Data Entry'!C12</f>
        <v>38</v>
      </c>
      <c r="D13" s="108">
        <f>'Data Entry'!D12</f>
        <v>17</v>
      </c>
      <c r="E13" s="109" t="str">
        <f>'Black or African-American'!$G12</f>
        <v>**</v>
      </c>
      <c r="F13" s="110">
        <f>'Data Entry'!E12</f>
        <v>1</v>
      </c>
      <c r="G13" s="109" t="str">
        <f>Hispanic!G12</f>
        <v>**</v>
      </c>
      <c r="H13" s="110">
        <f>'Data Entry'!F12</f>
        <v>0</v>
      </c>
      <c r="I13" s="109" t="str">
        <f>Asian!G12</f>
        <v>--</v>
      </c>
      <c r="J13" s="110">
        <f>'Data Entry'!J12</f>
        <v>24</v>
      </c>
      <c r="K13" s="111" t="str">
        <f>'All Minorities'!G12</f>
        <v>**</v>
      </c>
      <c r="L13"/>
      <c r="N13" s="1">
        <f>'Black or African-American'!L12</f>
        <v>40</v>
      </c>
      <c r="O13" s="1">
        <f>Hispanic!L12</f>
        <v>40</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9</v>
      </c>
      <c r="D15" s="108">
        <f>'Data Entry'!D14</f>
        <v>0</v>
      </c>
      <c r="E15" s="109" t="str">
        <f>'Black or African-American'!$G14</f>
        <v>**</v>
      </c>
      <c r="F15" s="110">
        <f>'Data Entry'!E14</f>
        <v>0</v>
      </c>
      <c r="G15" s="109" t="str">
        <f>Hispanic!G14</f>
        <v>**</v>
      </c>
      <c r="H15" s="110">
        <f>'Data Entry'!F14</f>
        <v>0</v>
      </c>
      <c r="I15" s="109" t="str">
        <f>Asian!G14</f>
        <v>--</v>
      </c>
      <c r="J15" s="110">
        <f>'Data Entry'!J14</f>
        <v>5</v>
      </c>
      <c r="K15" s="111" t="str">
        <f>'All Minorities'!G14</f>
        <v>**</v>
      </c>
      <c r="L15"/>
      <c r="N15" s="1">
        <f>'Black or African-American'!L14</f>
        <v>20</v>
      </c>
      <c r="O15" s="1">
        <f>Hispanic!L14</f>
        <v>40</v>
      </c>
      <c r="P15" s="1" t="e">
        <f>Asian!L14</f>
        <v>#VALUE!</v>
      </c>
      <c r="Q15" s="1" t="e">
        <f>Hawaiian!L14</f>
        <v>#VALUE!</v>
      </c>
      <c r="R15" s="1" t="e">
        <f>'Am Indian'!L14</f>
        <v>#VALUE!</v>
      </c>
      <c r="S15" s="1">
        <f>'Other - Mixed'!L14</f>
        <v>119</v>
      </c>
      <c r="T15" s="1">
        <f>'All Minorities'!L14</f>
        <v>40</v>
      </c>
      <c r="W15" s="8"/>
      <c r="X15" s="8"/>
      <c r="Y15" s="8"/>
      <c r="Z15" s="8"/>
      <c r="AA15" s="8"/>
      <c r="AB15" s="8"/>
      <c r="AC15" s="8"/>
      <c r="AD15" s="8"/>
    </row>
    <row r="16" spans="2:30" s="1" customFormat="1" ht="15" customHeight="1">
      <c r="B16" s="121" t="s">
        <v>16</v>
      </c>
      <c r="C16" s="103">
        <f>'Data Entry'!C15</f>
        <v>0</v>
      </c>
      <c r="D16" s="116">
        <f>'Data Entry'!D15</f>
        <v>1</v>
      </c>
      <c r="E16" s="117" t="str">
        <f>'Black or African-American'!$G15</f>
        <v>**</v>
      </c>
      <c r="F16" s="118">
        <f>'Data Entry'!E15</f>
        <v>0</v>
      </c>
      <c r="G16" s="117" t="str">
        <f>Hispanic!G15</f>
        <v>--</v>
      </c>
      <c r="H16" s="118">
        <f>'Data Entry'!F15</f>
        <v>0</v>
      </c>
      <c r="I16" s="117" t="str">
        <f>Asian!G15</f>
        <v>--</v>
      </c>
      <c r="J16" s="118">
        <f>'Data Entry'!J15</f>
        <v>1</v>
      </c>
      <c r="K16" s="119" t="str">
        <f>'All Minorities'!G15</f>
        <v>**</v>
      </c>
      <c r="L16"/>
      <c r="N16" s="1">
        <f>'Black or African-American'!L15</f>
        <v>40</v>
      </c>
      <c r="O16" s="1" t="e">
        <f>Hispanic!L15</f>
        <v>#VALUE!</v>
      </c>
      <c r="P16" s="1" t="e">
        <f>Asian!L15</f>
        <v>#VALUE!</v>
      </c>
      <c r="Q16" s="1" t="e">
        <f>Hawaiian!L15</f>
        <v>#VALUE!</v>
      </c>
      <c r="R16" s="1" t="e">
        <f>'Am Indian'!L15</f>
        <v>#VALUE!</v>
      </c>
      <c r="S16" s="1" t="e">
        <f>'Other - Mixed'!L15</f>
        <v>#VALUE!</v>
      </c>
      <c r="T16" s="1">
        <f>'All Minorities'!L15</f>
        <v>40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Monroe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13356</v>
      </c>
      <c r="D6" s="34"/>
      <c r="E6" s="33">
        <f>'Data Entry'!D6</f>
        <v>657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1.5723270440251573</v>
      </c>
      <c r="E7" s="33">
        <f>'Data Entry'!D7</f>
        <v>7</v>
      </c>
      <c r="F7" s="34">
        <f>IF((AND($E$7&gt;0,$D$66&gt;0)),($E$7/$D$66),0)</f>
        <v>10.6544901065449</v>
      </c>
      <c r="G7" s="39">
        <f>IF(L$6=100,"*",IF(M7=FALSE,"--",IF(K7=20,"**",($F7/$D7))))</f>
        <v>6.776255707762556</v>
      </c>
      <c r="H7" s="40"/>
      <c r="I7" s="41"/>
      <c r="J7" s="40">
        <f>IF((ABS($U7)&gt;Defaults!D$7),1,2)</f>
        <v>1</v>
      </c>
      <c r="K7" s="39">
        <f>IF((AND(N7&gt;Defaults!B$12,(N7+O7)&gt;Defaults!B$13, P7 &gt; Defaults!B$12, (P7+Q7) &gt; Defaults!B$13)),1,20)</f>
        <v>1</v>
      </c>
      <c r="L7" s="1">
        <f>(J7*K7+L$6)-1</f>
        <v>1</v>
      </c>
      <c r="M7" s="1" t="b">
        <f t="shared" ref="M7:M15" si="0">(ISNUMBER(J7))</f>
        <v>1</v>
      </c>
      <c r="N7" s="42">
        <f t="shared" ref="N7:N15" si="1">E7</f>
        <v>7</v>
      </c>
      <c r="O7" s="42">
        <f>E6-E7</f>
        <v>650</v>
      </c>
      <c r="P7" s="42">
        <f t="shared" ref="P7:P15" si="2">C7</f>
        <v>21</v>
      </c>
      <c r="Q7" s="42">
        <f>C6-C7</f>
        <v>13335</v>
      </c>
      <c r="R7" s="42">
        <f t="shared" ref="R7:R15" si="3">SUM(N7:Q7)</f>
        <v>14013</v>
      </c>
      <c r="S7" s="30">
        <f t="shared" ref="S7:S15" si="4">R7*((((N7*Q7)-(O7*P7))^2))</f>
        <v>89000669159325</v>
      </c>
      <c r="T7" s="30">
        <f t="shared" ref="T7:T15" si="5">(N7+O7)*(P7+Q7)*(N7+P7)*(O7+Q7)</f>
        <v>3436072209360</v>
      </c>
      <c r="U7" s="31">
        <f t="shared" ref="U7:U15" si="6">IF((S7&gt;0),S7/T7,"- -")</f>
        <v>25.901862282429214</v>
      </c>
    </row>
    <row r="8" spans="2:21" ht="18" customHeight="1">
      <c r="B8" s="32" t="str">
        <f>'Data Entry'!A8</f>
        <v>3. Refer to Juvenile Court</v>
      </c>
      <c r="C8" s="33">
        <f>'Data Entry'!C8</f>
        <v>275</v>
      </c>
      <c r="D8" s="34">
        <f>IF((AND(C67&gt;0,C8&gt;0)),(C8/C67),0)</f>
        <v>1309.5238095238096</v>
      </c>
      <c r="E8" s="33">
        <f>'Data Entry'!D8</f>
        <v>57</v>
      </c>
      <c r="F8" s="34">
        <f>IF((AND($E$8&gt;0,$D$67&gt;0)),($E8/$D67),0)</f>
        <v>814.28571428571422</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57</v>
      </c>
      <c r="O8" s="42">
        <f>((D67*L67)-E8)+0.05</f>
        <v>-49.95</v>
      </c>
      <c r="P8" s="42">
        <f t="shared" si="2"/>
        <v>275</v>
      </c>
      <c r="Q8" s="42">
        <f>(C$67*L67)-C8</f>
        <v>-254</v>
      </c>
      <c r="R8" s="42">
        <f t="shared" si="3"/>
        <v>28.050000000000011</v>
      </c>
      <c r="S8" s="30">
        <f t="shared" si="4"/>
        <v>15432915.403125007</v>
      </c>
      <c r="T8" s="30">
        <f t="shared" si="5"/>
        <v>-14939932.769999994</v>
      </c>
      <c r="U8" s="31">
        <f t="shared" si="6"/>
        <v>-1.0329976473598959</v>
      </c>
    </row>
    <row r="9" spans="2:21" ht="18" customHeight="1">
      <c r="B9" s="32" t="str">
        <f>'Data Entry'!A9</f>
        <v xml:space="preserve">4. Cases Diverted </v>
      </c>
      <c r="C9" s="33">
        <f>'Data Entry'!C9</f>
        <v>218</v>
      </c>
      <c r="D9" s="34">
        <f>IF((AND(C68&gt;0,C9&gt;0)),((C9/C68)),0)</f>
        <v>79.272727272727266</v>
      </c>
      <c r="E9" s="33">
        <f>'Data Entry'!D9</f>
        <v>29</v>
      </c>
      <c r="F9" s="34">
        <f>IF((AND($E$9&gt;0,$D$68&gt;0)),(($E$9/$D$68)),0)</f>
        <v>50.877192982456144</v>
      </c>
      <c r="G9" s="39">
        <f t="shared" si="7"/>
        <v>0.64179945276034134</v>
      </c>
      <c r="H9" s="40"/>
      <c r="I9" s="41"/>
      <c r="J9" s="40">
        <f>IF((ABS($U9)&gt;Defaults!D$7),1,2)</f>
        <v>1</v>
      </c>
      <c r="K9" s="39">
        <f>IF((AND(N9&gt;Defaults!B$12,(N9+O9)&gt;Defaults!B$13, P9 &gt; Defaults!B$12, (P9+Q9) &gt; Defaults!B$13)),1,20)</f>
        <v>1</v>
      </c>
      <c r="L9" s="1">
        <f t="shared" si="8"/>
        <v>1</v>
      </c>
      <c r="M9" s="1" t="b">
        <f t="shared" si="0"/>
        <v>1</v>
      </c>
      <c r="N9" s="42">
        <f t="shared" si="1"/>
        <v>29</v>
      </c>
      <c r="O9" s="42">
        <f>(D$68*L68)-E9</f>
        <v>27.999999999999993</v>
      </c>
      <c r="P9" s="42">
        <f t="shared" si="2"/>
        <v>218</v>
      </c>
      <c r="Q9" s="42">
        <f>(C$68*L68)-C9</f>
        <v>57</v>
      </c>
      <c r="R9" s="42">
        <f t="shared" si="3"/>
        <v>332</v>
      </c>
      <c r="S9" s="30">
        <f t="shared" si="4"/>
        <v>6577385131.9999952</v>
      </c>
      <c r="T9" s="30">
        <f t="shared" si="5"/>
        <v>329096624.99999994</v>
      </c>
      <c r="U9" s="31">
        <f t="shared" si="6"/>
        <v>19.986182270936375</v>
      </c>
    </row>
    <row r="10" spans="2:21" ht="18" customHeight="1">
      <c r="B10" s="32" t="str">
        <f>'Data Entry'!A10</f>
        <v>5. Cases Involving Secure Detention</v>
      </c>
      <c r="C10" s="33">
        <f>'Data Entry'!C10</f>
        <v>21</v>
      </c>
      <c r="D10" s="34">
        <f>IF(((AND(C68&gt;0,C10&gt;0))),(C10/(C68)),0)</f>
        <v>7.6363636363636367</v>
      </c>
      <c r="E10" s="33">
        <f>'Data Entry'!D10</f>
        <v>10</v>
      </c>
      <c r="F10" s="34">
        <f>IF(((AND($E$10&gt;0,$D$68&gt;0))),($E$10/($D$68)),0)</f>
        <v>17.543859649122808</v>
      </c>
      <c r="G10" s="39">
        <f t="shared" si="7"/>
        <v>2.2974101921470345</v>
      </c>
      <c r="H10" s="40"/>
      <c r="I10" s="41"/>
      <c r="J10" s="40">
        <f>IF((ABS($U10)&gt;Defaults!D$7),1,2)</f>
        <v>1</v>
      </c>
      <c r="K10" s="39">
        <f>IF((AND(N10&gt;Defaults!B$12,(N10+O10)&gt;Defaults!B$13, P10 &gt; Defaults!B$12, (P10+Q10) &gt; Defaults!B$13)),1,20)</f>
        <v>1</v>
      </c>
      <c r="L10" s="1">
        <f t="shared" si="8"/>
        <v>1</v>
      </c>
      <c r="M10" s="1" t="b">
        <f t="shared" si="0"/>
        <v>1</v>
      </c>
      <c r="N10" s="42">
        <f t="shared" si="1"/>
        <v>10</v>
      </c>
      <c r="O10" s="42">
        <f>(D$68*L68)-E10</f>
        <v>46.999999999999993</v>
      </c>
      <c r="P10" s="42">
        <f t="shared" si="2"/>
        <v>21</v>
      </c>
      <c r="Q10" s="42">
        <f>(C$68*L68)-C10</f>
        <v>254</v>
      </c>
      <c r="R10" s="42">
        <f t="shared" si="3"/>
        <v>332</v>
      </c>
      <c r="S10" s="30">
        <f t="shared" si="4"/>
        <v>800720588</v>
      </c>
      <c r="T10" s="30">
        <f t="shared" si="5"/>
        <v>146263424.99999997</v>
      </c>
      <c r="U10" s="31">
        <f t="shared" si="6"/>
        <v>5.4745100355745135</v>
      </c>
    </row>
    <row r="11" spans="2:21" ht="18" customHeight="1">
      <c r="B11" s="32" t="str">
        <f>'Data Entry'!A11</f>
        <v>6. Cases Petitioned (Charge Filed)</v>
      </c>
      <c r="C11" s="33">
        <f>'Data Entry'!C11</f>
        <v>42</v>
      </c>
      <c r="D11" s="34">
        <f>IF(((AND(C68&gt;0,C11&gt;0))),(C11/(C68)),0)</f>
        <v>15.272727272727273</v>
      </c>
      <c r="E11" s="33">
        <f>'Data Entry'!D11</f>
        <v>20</v>
      </c>
      <c r="F11" s="34">
        <f>IF(((AND($E$11&gt;0,$D$68&gt;0))),($E$11/($D$68)),0)</f>
        <v>35.087719298245617</v>
      </c>
      <c r="G11" s="39">
        <f t="shared" si="7"/>
        <v>2.2974101921470345</v>
      </c>
      <c r="H11" s="40"/>
      <c r="I11" s="41"/>
      <c r="J11" s="40">
        <f>IF((ABS($U11)&gt;Defaults!D$7),1,2)</f>
        <v>1</v>
      </c>
      <c r="K11" s="39">
        <f>IF((AND(N11&gt;Defaults!B$12,(N11+O11)&gt;Defaults!B$13, P11 &gt; Defaults!B$12, (P11+Q11) &gt; Defaults!B$13)),1,20)</f>
        <v>1</v>
      </c>
      <c r="L11" s="1">
        <f t="shared" si="8"/>
        <v>1</v>
      </c>
      <c r="M11" s="1" t="b">
        <f t="shared" si="0"/>
        <v>1</v>
      </c>
      <c r="N11" s="42">
        <f t="shared" si="1"/>
        <v>20</v>
      </c>
      <c r="O11" s="42">
        <f>(D$68*L68)-E11</f>
        <v>36.999999999999993</v>
      </c>
      <c r="P11" s="42">
        <f t="shared" si="2"/>
        <v>42</v>
      </c>
      <c r="Q11" s="42">
        <f>(C$68*L68)-C11</f>
        <v>233</v>
      </c>
      <c r="R11" s="42">
        <f t="shared" si="3"/>
        <v>332</v>
      </c>
      <c r="S11" s="30">
        <f t="shared" si="4"/>
        <v>3202882352</v>
      </c>
      <c r="T11" s="30">
        <f t="shared" si="5"/>
        <v>262399499.99999997</v>
      </c>
      <c r="U11" s="31">
        <f t="shared" si="6"/>
        <v>12.206129783021691</v>
      </c>
    </row>
    <row r="12" spans="2:21" ht="18" customHeight="1">
      <c r="B12" s="32" t="str">
        <f>'Data Entry'!A12</f>
        <v>7. Cases Resulting in Delinquent Findings</v>
      </c>
      <c r="C12" s="33">
        <f>'Data Entry'!C12</f>
        <v>38</v>
      </c>
      <c r="D12" s="34">
        <f>IF(((AND(C69&gt;0,C12&gt;0))),(C12/(C69)),0)</f>
        <v>90.476190476190482</v>
      </c>
      <c r="E12" s="33">
        <f>'Data Entry'!D12</f>
        <v>17</v>
      </c>
      <c r="F12" s="34">
        <f>IF(((AND($D$69&gt;0,$E$12&gt;0))),(E12/(D69)),0)</f>
        <v>85</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17</v>
      </c>
      <c r="O12" s="42">
        <f>(D69*L69)-E12</f>
        <v>3</v>
      </c>
      <c r="P12" s="42">
        <f t="shared" si="2"/>
        <v>38</v>
      </c>
      <c r="Q12" s="42">
        <f>(C69*L69)-C12</f>
        <v>4</v>
      </c>
      <c r="R12" s="42">
        <f t="shared" si="3"/>
        <v>62</v>
      </c>
      <c r="S12" s="30">
        <f t="shared" si="4"/>
        <v>131192</v>
      </c>
      <c r="T12" s="30">
        <f t="shared" si="5"/>
        <v>323400</v>
      </c>
      <c r="U12" s="31">
        <f t="shared" si="6"/>
        <v>0.4056648113790971</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17</v>
      </c>
      <c r="P13" s="42">
        <f t="shared" si="2"/>
        <v>0</v>
      </c>
      <c r="Q13" s="42">
        <f>(C70*L70)-C13</f>
        <v>38</v>
      </c>
      <c r="R13" s="42">
        <f t="shared" si="3"/>
        <v>55</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9</v>
      </c>
      <c r="D14" s="34">
        <f>IF(((AND(C70&gt;0,C14&gt;0))), ((C14/(C70))),0)</f>
        <v>23.684210526315788</v>
      </c>
      <c r="E14" s="33">
        <f>'Data Entry'!D14</f>
        <v>0</v>
      </c>
      <c r="F14" s="34">
        <f>IF(((AND($D$70&gt;0,$E$14&gt;0))), (($E$14/($D$70))),0)</f>
        <v>0</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0</v>
      </c>
      <c r="O14" s="42">
        <f>(D70*L70)-E14</f>
        <v>17</v>
      </c>
      <c r="P14" s="42">
        <f t="shared" si="2"/>
        <v>9</v>
      </c>
      <c r="Q14" s="42">
        <f>(C70*L70)-C14</f>
        <v>29</v>
      </c>
      <c r="R14" s="42">
        <f t="shared" si="3"/>
        <v>55</v>
      </c>
      <c r="S14" s="30">
        <f t="shared" si="4"/>
        <v>1287495</v>
      </c>
      <c r="T14" s="30">
        <f t="shared" si="5"/>
        <v>267444</v>
      </c>
      <c r="U14" s="31">
        <f t="shared" si="6"/>
        <v>4.8140732265446227</v>
      </c>
    </row>
    <row r="15" spans="2:21" ht="15.75" customHeight="1">
      <c r="B15" s="32" t="str">
        <f>'Data Entry'!A15</f>
        <v xml:space="preserve">10. Cases Transferred to Adult Court </v>
      </c>
      <c r="C15" s="33">
        <f>'Data Entry'!C15</f>
        <v>0</v>
      </c>
      <c r="D15" s="34">
        <f>IF(((AND(C69&gt;0,C15&gt;0))),((C15/(C69))),0)</f>
        <v>0</v>
      </c>
      <c r="E15" s="33">
        <f>'Data Entry'!D15</f>
        <v>1</v>
      </c>
      <c r="F15" s="34">
        <f>IF(((AND($D$69&gt;0,$E$15&gt;0))),(($E$15/($D$69))),0)</f>
        <v>5</v>
      </c>
      <c r="G15" s="39" t="str">
        <f t="shared" si="7"/>
        <v>**</v>
      </c>
      <c r="H15" s="40"/>
      <c r="I15" s="41"/>
      <c r="J15" s="40">
        <f>IF((ABS($U15)&gt;Defaults!D$7),1,2)</f>
        <v>2</v>
      </c>
      <c r="K15" s="39">
        <f>IF((AND(N15&gt;Defaults!B$12,(N15+O15)&gt;Defaults!B$13, P15 &gt; Defaults!B$12, (P15+Q15) &gt; Defaults!B$13)),1,20)</f>
        <v>20</v>
      </c>
      <c r="L15" s="1">
        <f t="shared" si="8"/>
        <v>40</v>
      </c>
      <c r="M15" s="1" t="b">
        <f t="shared" si="0"/>
        <v>1</v>
      </c>
      <c r="N15" s="42">
        <f t="shared" si="1"/>
        <v>1</v>
      </c>
      <c r="O15" s="42">
        <f>(D69*L69)-E15</f>
        <v>19</v>
      </c>
      <c r="P15" s="42">
        <f t="shared" si="2"/>
        <v>0</v>
      </c>
      <c r="Q15" s="42">
        <f>(C69*L69)-C15</f>
        <v>42</v>
      </c>
      <c r="R15" s="42">
        <f t="shared" si="3"/>
        <v>62</v>
      </c>
      <c r="S15" s="30">
        <f t="shared" si="4"/>
        <v>109368</v>
      </c>
      <c r="T15" s="30">
        <f t="shared" si="5"/>
        <v>51240</v>
      </c>
      <c r="U15" s="31">
        <f t="shared" si="6"/>
        <v>2.1344262295081968</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13.356</v>
      </c>
      <c r="D42" s="56">
        <f>E6/1000</f>
        <v>0.65700000000000003</v>
      </c>
      <c r="E42" s="56">
        <f>MAX(C42:D42)</f>
        <v>13.356</v>
      </c>
      <c r="G42" s="1" t="str">
        <f>B42</f>
        <v>per 1000 youth</v>
      </c>
      <c r="L42" s="57">
        <v>1000</v>
      </c>
      <c r="M42" s="57"/>
      <c r="R42" s="49"/>
    </row>
    <row r="43" spans="2:18" ht="15" hidden="1" customHeight="1">
      <c r="B43" s="49" t="s">
        <v>87</v>
      </c>
      <c r="C43" s="56">
        <f>C7/100</f>
        <v>0.21</v>
      </c>
      <c r="D43" s="56">
        <f>E7/100</f>
        <v>7.0000000000000007E-2</v>
      </c>
      <c r="E43" s="56">
        <f>MAX(C43:D43,0)</f>
        <v>0.21</v>
      </c>
      <c r="G43" s="1" t="str">
        <f>B43</f>
        <v>per 100 arrests</v>
      </c>
      <c r="L43" s="57">
        <v>100</v>
      </c>
      <c r="M43" s="57"/>
      <c r="R43" s="49"/>
    </row>
    <row r="44" spans="2:18" ht="15" hidden="1" customHeight="1">
      <c r="B44" s="49" t="s">
        <v>88</v>
      </c>
      <c r="C44" s="56">
        <f>C8/100</f>
        <v>2.75</v>
      </c>
      <c r="D44" s="56">
        <f>E8/100</f>
        <v>0.56999999999999995</v>
      </c>
      <c r="E44" s="56">
        <f>MAX(C44:D44,0)</f>
        <v>2.75</v>
      </c>
      <c r="G44" s="1" t="str">
        <f>B44</f>
        <v>per 100 referrals</v>
      </c>
      <c r="L44" s="57">
        <v>100</v>
      </c>
      <c r="M44" s="57"/>
      <c r="R44" s="49"/>
    </row>
    <row r="45" spans="2:18" ht="15" hidden="1" customHeight="1">
      <c r="B45" s="49" t="s">
        <v>89</v>
      </c>
      <c r="C45" s="49">
        <f>C11/100</f>
        <v>0.42</v>
      </c>
      <c r="D45" s="49">
        <f>E11/100</f>
        <v>0.2</v>
      </c>
      <c r="E45" s="56">
        <f>MAX(C45:D45,0)</f>
        <v>0.42</v>
      </c>
      <c r="G45" s="1" t="str">
        <f>B45</f>
        <v>per 100 youth petitioned</v>
      </c>
      <c r="L45" s="57">
        <v>100</v>
      </c>
      <c r="M45" s="57"/>
      <c r="R45" s="49"/>
    </row>
    <row r="46" spans="2:18" ht="15" hidden="1" customHeight="1">
      <c r="B46" s="49" t="s">
        <v>90</v>
      </c>
      <c r="C46" s="49">
        <f>C12/100</f>
        <v>0.38</v>
      </c>
      <c r="D46" s="49">
        <f>E12/100</f>
        <v>0.17</v>
      </c>
      <c r="E46" s="56">
        <f>MAX(C46:D46)</f>
        <v>0.38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13.356</v>
      </c>
      <c r="D48" s="56">
        <f>D42</f>
        <v>0.65700000000000003</v>
      </c>
      <c r="E48" s="56">
        <f>MAX(C48:D48)</f>
        <v>13.356</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0.21</v>
      </c>
      <c r="D49" s="49">
        <f t="shared" si="9"/>
        <v>7.0000000000000007E-2</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2.75</v>
      </c>
      <c r="D50" s="49">
        <f t="shared" si="9"/>
        <v>0.56999999999999995</v>
      </c>
      <c r="E50" s="49">
        <f>MAX(C50:D50)</f>
        <v>2.75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0.42</v>
      </c>
      <c r="D51" s="49">
        <f>IF(($E45&gt;0),D45,D44)</f>
        <v>0.2</v>
      </c>
      <c r="E51" s="49">
        <f>MAX(C51:D51)</f>
        <v>0.42</v>
      </c>
      <c r="G51" s="1" t="str">
        <f>G45</f>
        <v>per 100 youth petitioned</v>
      </c>
      <c r="L51" s="58">
        <f>IF(($E45&gt;0),L45,L44)</f>
        <v>100</v>
      </c>
      <c r="M51" s="58"/>
    </row>
    <row r="52" spans="2:18" ht="15" hidden="1" customHeight="1">
      <c r="B52" s="49" t="str">
        <f>IF(($E46&gt;0),B46,B45)</f>
        <v>per 100 youth found delinquent</v>
      </c>
      <c r="C52" s="49">
        <f>IF(($E46&gt;0),C46,C45)</f>
        <v>0.38</v>
      </c>
      <c r="D52" s="49">
        <f>IF(($E46&gt;0),D46,D45)</f>
        <v>0.17</v>
      </c>
      <c r="E52" s="56">
        <f>MAX(C52:D52)</f>
        <v>0.38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13.356</v>
      </c>
      <c r="D54" s="56">
        <f>D48</f>
        <v>0.65700000000000003</v>
      </c>
      <c r="E54" s="56">
        <f>MAX(C54:D54)</f>
        <v>13.356</v>
      </c>
      <c r="G54" s="1" t="str">
        <f>G48</f>
        <v>per 1000 youth</v>
      </c>
      <c r="L54" s="58">
        <f>L48</f>
        <v>1000</v>
      </c>
      <c r="M54" s="58"/>
    </row>
    <row r="55" spans="2:18" ht="15" hidden="1" customHeight="1">
      <c r="B55" s="49" t="str">
        <f t="shared" ref="B55:D56" si="10">IF(($E49&gt;0),B49,B48)</f>
        <v>per 100 arrests</v>
      </c>
      <c r="C55" s="49">
        <f t="shared" si="10"/>
        <v>0.21</v>
      </c>
      <c r="D55" s="49">
        <f t="shared" si="10"/>
        <v>7.0000000000000007E-2</v>
      </c>
      <c r="E55" s="49">
        <f>MAX(C55:D55)</f>
        <v>0.21</v>
      </c>
      <c r="G55" s="1" t="str">
        <f>G49</f>
        <v>per 100 arrests</v>
      </c>
      <c r="L55" s="58">
        <f>IF(($E49&gt;0),L49,L48)</f>
        <v>100</v>
      </c>
      <c r="M55" s="58"/>
    </row>
    <row r="56" spans="2:18" ht="15" hidden="1" customHeight="1">
      <c r="B56" s="49" t="str">
        <f t="shared" si="10"/>
        <v>per 100 referrals</v>
      </c>
      <c r="C56" s="49">
        <f t="shared" si="10"/>
        <v>2.75</v>
      </c>
      <c r="D56" s="49">
        <f t="shared" si="10"/>
        <v>0.56999999999999995</v>
      </c>
      <c r="E56" s="49">
        <f>MAX(C56:D56)</f>
        <v>2.75</v>
      </c>
      <c r="G56" s="1" t="str">
        <f>G50</f>
        <v>per 100 referrals</v>
      </c>
      <c r="L56" s="58">
        <f>IF(($E50&gt;0),L50,L49)</f>
        <v>100</v>
      </c>
      <c r="M56" s="58"/>
    </row>
    <row r="57" spans="2:18" ht="15" hidden="1" customHeight="1">
      <c r="B57" s="49" t="str">
        <f>IF(($E51&gt;0),B51,B49)</f>
        <v>per 100 youth petitioned</v>
      </c>
      <c r="C57" s="49">
        <f>IF(($E51&gt;0),C51,C50)</f>
        <v>0.42</v>
      </c>
      <c r="D57" s="49">
        <f>IF(($E51&gt;0),D51,D50)</f>
        <v>0.2</v>
      </c>
      <c r="E57" s="49">
        <f>MAX(C57:D57)</f>
        <v>0.42</v>
      </c>
      <c r="G57" s="1" t="str">
        <f>G51</f>
        <v>per 100 youth petitioned</v>
      </c>
      <c r="L57" s="58">
        <f>IF(($E51&gt;0),L51,L50)</f>
        <v>100</v>
      </c>
      <c r="M57" s="58"/>
    </row>
    <row r="58" spans="2:18" ht="15" hidden="1" customHeight="1">
      <c r="B58" s="49" t="str">
        <f>IF(($E52&gt;0),B52,B51)</f>
        <v>per 100 youth found delinquent</v>
      </c>
      <c r="C58" s="49">
        <f>IF(($E52&gt;0),C52,C51)</f>
        <v>0.38</v>
      </c>
      <c r="D58" s="49">
        <f>IF(($E52&gt;0),D52,D51)</f>
        <v>0.17</v>
      </c>
      <c r="E58" s="56">
        <f>MAX(C58:D58)</f>
        <v>0.38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13.356</v>
      </c>
      <c r="D60" s="56">
        <f>D54</f>
        <v>0.65700000000000003</v>
      </c>
      <c r="E60" s="56">
        <f>MAX(C60:D60)</f>
        <v>13.356</v>
      </c>
      <c r="G60" s="1" t="str">
        <f>G54</f>
        <v>per 1000 youth</v>
      </c>
      <c r="L60" s="58">
        <f>L54</f>
        <v>1000</v>
      </c>
      <c r="M60" s="58"/>
    </row>
    <row r="61" spans="2:18" ht="15" hidden="1" customHeight="1">
      <c r="B61" s="49" t="str">
        <f t="shared" ref="B61:D62" si="11">IF(($E55&gt;0),B55,B54)</f>
        <v>per 100 arrests</v>
      </c>
      <c r="C61" s="49">
        <f t="shared" si="11"/>
        <v>0.21</v>
      </c>
      <c r="D61" s="49">
        <f t="shared" si="11"/>
        <v>7.0000000000000007E-2</v>
      </c>
      <c r="E61" s="49">
        <f>MAX(C61:D61)</f>
        <v>0.21</v>
      </c>
      <c r="G61" s="1" t="str">
        <f>G55</f>
        <v>per 100 arrests</v>
      </c>
      <c r="L61" s="58">
        <f>IF(($E55&gt;0),L55,L54)</f>
        <v>100</v>
      </c>
      <c r="M61" s="58"/>
    </row>
    <row r="62" spans="2:18" ht="15" hidden="1" customHeight="1">
      <c r="B62" s="49" t="str">
        <f t="shared" si="11"/>
        <v>per 100 referrals</v>
      </c>
      <c r="C62" s="49">
        <f t="shared" si="11"/>
        <v>2.75</v>
      </c>
      <c r="D62" s="49">
        <f t="shared" si="11"/>
        <v>0.56999999999999995</v>
      </c>
      <c r="E62" s="49">
        <f>MAX(C62:D62)</f>
        <v>2.75</v>
      </c>
      <c r="G62" s="1" t="str">
        <f>G56</f>
        <v>per 100 referrals</v>
      </c>
      <c r="L62" s="58">
        <f>IF(($E56&gt;0),L56,L55)</f>
        <v>100</v>
      </c>
      <c r="M62" s="58"/>
    </row>
    <row r="63" spans="2:18" ht="15" hidden="1" customHeight="1">
      <c r="B63" s="49" t="str">
        <f>IF(($E57&gt;0),B57,B55)</f>
        <v>per 100 youth petitioned</v>
      </c>
      <c r="C63" s="49">
        <f>IF(($E57&gt;0),C57,C56)</f>
        <v>0.42</v>
      </c>
      <c r="D63" s="49">
        <f>IF(($E57&gt;0),D57,D56)</f>
        <v>0.2</v>
      </c>
      <c r="E63" s="49">
        <f>MAX(C63:D63)</f>
        <v>0.42</v>
      </c>
      <c r="G63" s="1" t="str">
        <f>G57</f>
        <v>per 100 youth petitioned</v>
      </c>
      <c r="L63" s="58">
        <f>IF(($E57&gt;0),L57,L56)</f>
        <v>100</v>
      </c>
      <c r="M63" s="58"/>
    </row>
    <row r="64" spans="2:18" ht="15" hidden="1" customHeight="1">
      <c r="B64" s="49" t="str">
        <f>IF(($E58&gt;0),B58,B57)</f>
        <v>per 100 youth found delinquent</v>
      </c>
      <c r="C64" s="49">
        <f>IF(($E58&gt;0),C58,C57)</f>
        <v>0.38</v>
      </c>
      <c r="D64" s="49">
        <f>IF(($E58&gt;0),D58,D57)</f>
        <v>0.17</v>
      </c>
      <c r="E64" s="56">
        <f>MAX(C64:D64)</f>
        <v>0.38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13.356</v>
      </c>
      <c r="D66" s="56">
        <f>D60</f>
        <v>0.65700000000000003</v>
      </c>
      <c r="E66" s="56">
        <f>MAX(C66:D66)</f>
        <v>13.356</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7.0000000000000007E-2</v>
      </c>
      <c r="E67" s="49">
        <f>MAX(C67:D67)</f>
        <v>0.21</v>
      </c>
      <c r="G67" s="1" t="str">
        <f>G61</f>
        <v>per 100 arrests</v>
      </c>
      <c r="L67" s="58">
        <f>IF(($E61&gt;0),L61,L60)</f>
        <v>100</v>
      </c>
      <c r="M67" s="58">
        <f>IF((B67=G67),1,2)</f>
        <v>1</v>
      </c>
    </row>
    <row r="68" spans="2:13" ht="15" hidden="1" customHeight="1">
      <c r="B68" s="49" t="str">
        <f t="shared" si="12"/>
        <v>per 100 referrals</v>
      </c>
      <c r="C68" s="49">
        <f t="shared" si="12"/>
        <v>2.75</v>
      </c>
      <c r="D68" s="49">
        <f t="shared" si="12"/>
        <v>0.56999999999999995</v>
      </c>
      <c r="E68" s="49">
        <f>MAX(C68:D68)</f>
        <v>2.75</v>
      </c>
      <c r="G68" s="1" t="str">
        <f>G62</f>
        <v>per 100 referrals</v>
      </c>
      <c r="L68" s="58">
        <f>IF(($E62&gt;0),L62,L61)</f>
        <v>100</v>
      </c>
      <c r="M68" s="58">
        <f>IF((B68=G68),1,2)</f>
        <v>1</v>
      </c>
    </row>
    <row r="69" spans="2:13" ht="15" hidden="1" customHeight="1">
      <c r="B69" s="49" t="str">
        <f>IF(($E63&gt;0),B63,B61)</f>
        <v>per 100 youth petitioned</v>
      </c>
      <c r="C69" s="49">
        <f>IF(($E63&gt;0),C63,C62)</f>
        <v>0.42</v>
      </c>
      <c r="D69" s="49">
        <f>IF(($E63&gt;0),D63,D62)</f>
        <v>0.2</v>
      </c>
      <c r="E69" s="49">
        <f>MAX(C69:D69)</f>
        <v>0.42</v>
      </c>
      <c r="G69" s="1" t="str">
        <f>G63</f>
        <v>per 100 youth petitioned</v>
      </c>
      <c r="L69" s="58">
        <f>IF(($E63&gt;0),L63,L62)</f>
        <v>100</v>
      </c>
      <c r="M69" s="58">
        <f>IF((B69=G69),1,2)</f>
        <v>1</v>
      </c>
    </row>
    <row r="70" spans="2:13" ht="15" hidden="1" customHeight="1">
      <c r="B70" s="49" t="str">
        <f>IF(($E64&gt;0),B64,B63)</f>
        <v>per 100 youth found delinquent</v>
      </c>
      <c r="C70" s="49">
        <f>IF(($E64&gt;0),C64,C63)</f>
        <v>0.38</v>
      </c>
      <c r="D70" s="49">
        <f>IF(($E64&gt;0),D64,D63)</f>
        <v>0.17</v>
      </c>
      <c r="E70" s="56">
        <f>MAX(C70:D70)</f>
        <v>0.38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Monroe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13356</v>
      </c>
      <c r="D6" s="34"/>
      <c r="E6" s="33">
        <f>'Data Entry'!F6</f>
        <v>167</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1.5723270440251573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167</v>
      </c>
      <c r="P7" s="42">
        <f t="shared" ref="P7:P15" si="4">C7</f>
        <v>21</v>
      </c>
      <c r="Q7" s="42">
        <f>C6-C7</f>
        <v>13335</v>
      </c>
      <c r="R7" s="42">
        <f t="shared" ref="R7:R15" si="5">SUM(N7:Q7)</f>
        <v>13523</v>
      </c>
      <c r="S7" s="30">
        <f t="shared" ref="S7:S15" si="6">R7*((((N7*Q7)-(O7*P7))^2))</f>
        <v>166320039627</v>
      </c>
      <c r="T7" s="30">
        <f t="shared" ref="T7:T15" si="7">(N7+O7)*(P7+Q7)*(N7+P7)*(O7+Q7)</f>
        <v>632426820984</v>
      </c>
      <c r="U7" s="31">
        <f t="shared" ref="U7:U15" si="8">IF((S7&gt;0),S7/T7,"- -")</f>
        <v>0.26298701147465692</v>
      </c>
    </row>
    <row r="8" spans="2:21" ht="18" customHeight="1">
      <c r="B8" s="32" t="str">
        <f>'Data Entry'!A8</f>
        <v>3. Refer to Juvenile Court</v>
      </c>
      <c r="C8" s="33">
        <f>'Data Entry'!C8</f>
        <v>275</v>
      </c>
      <c r="D8" s="34">
        <f>IF((AND(C67&gt;0,C8&gt;0)),(C8/C67),0)</f>
        <v>1309.5238095238096</v>
      </c>
      <c r="E8" s="33">
        <f>'Data Entry'!F8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275</v>
      </c>
      <c r="Q8" s="42">
        <f>(C$67*L67)-C8</f>
        <v>-254</v>
      </c>
      <c r="R8" s="42">
        <f t="shared" si="5"/>
        <v>21.050000000000011</v>
      </c>
      <c r="S8" s="30">
        <f t="shared" si="6"/>
        <v>1106.4406250000006</v>
      </c>
      <c r="T8" s="30">
        <f t="shared" si="7"/>
        <v>-73884.510000000053</v>
      </c>
      <c r="U8" s="31">
        <f t="shared" si="8"/>
        <v>-1.4975271880398202E-2</v>
      </c>
    </row>
    <row r="9" spans="2:21" ht="18" customHeight="1">
      <c r="B9" s="32" t="str">
        <f>'Data Entry'!A9</f>
        <v xml:space="preserve">4. Cases Diverted </v>
      </c>
      <c r="C9" s="33">
        <f>'Data Entry'!C9</f>
        <v>218</v>
      </c>
      <c r="D9" s="34">
        <f>IF((AND(C68&gt;0,C9&gt;0)),((C9/C68)),0)</f>
        <v>79.272727272727266</v>
      </c>
      <c r="E9" s="33">
        <f>'Data Entry'!F9</f>
        <v>1</v>
      </c>
      <c r="F9" s="34">
        <f>IF((AND($E$9&gt;0,$D$68&gt;0)),(($E$9/$D$68)),0)</f>
        <v>100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0</v>
      </c>
      <c r="P9" s="42">
        <f t="shared" si="4"/>
        <v>218</v>
      </c>
      <c r="Q9" s="42">
        <f>(C$68*L68)-C9</f>
        <v>57</v>
      </c>
      <c r="R9" s="42">
        <f t="shared" si="5"/>
        <v>276</v>
      </c>
      <c r="S9" s="30">
        <f t="shared" si="6"/>
        <v>896724</v>
      </c>
      <c r="T9" s="30">
        <f t="shared" si="7"/>
        <v>3432825</v>
      </c>
      <c r="U9" s="31">
        <f t="shared" si="8"/>
        <v>0.26122042341220425</v>
      </c>
    </row>
    <row r="10" spans="2:21" ht="18" customHeight="1">
      <c r="B10" s="32" t="str">
        <f>'Data Entry'!A10</f>
        <v>5. Cases Involving Secure Detention</v>
      </c>
      <c r="C10" s="33">
        <f>'Data Entry'!C10</f>
        <v>21</v>
      </c>
      <c r="D10" s="34">
        <f>IF(((AND(C68&gt;0,C10&gt;0))),(C10/(C68)),0)</f>
        <v>7.6363636363636367</v>
      </c>
      <c r="E10" s="33">
        <f>'Data Entry'!F10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21</v>
      </c>
      <c r="Q10" s="42">
        <f>(C$68*L68)-C10</f>
        <v>254</v>
      </c>
      <c r="R10" s="42">
        <f t="shared" si="5"/>
        <v>276</v>
      </c>
      <c r="S10" s="30">
        <f t="shared" si="6"/>
        <v>121716</v>
      </c>
      <c r="T10" s="30">
        <f t="shared" si="7"/>
        <v>1472625</v>
      </c>
      <c r="U10" s="31">
        <f t="shared" si="8"/>
        <v>8.2652406417112301E-2</v>
      </c>
    </row>
    <row r="11" spans="2:21" ht="18" customHeight="1">
      <c r="B11" s="32" t="str">
        <f>'Data Entry'!A11</f>
        <v>6. Cases Petitioned (Charge Filed)</v>
      </c>
      <c r="C11" s="33">
        <f>'Data Entry'!C11</f>
        <v>42</v>
      </c>
      <c r="D11" s="34">
        <f>IF(((AND(C68&gt;0,C11&gt;0))),(C11/(C68)),0)</f>
        <v>15.272727272727273</v>
      </c>
      <c r="E11" s="33">
        <f>'Data Entry'!F11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42</v>
      </c>
      <c r="Q11" s="42">
        <f>(C$68*L68)-C11</f>
        <v>233</v>
      </c>
      <c r="R11" s="42">
        <f t="shared" si="5"/>
        <v>276</v>
      </c>
      <c r="S11" s="30">
        <f t="shared" si="6"/>
        <v>486864</v>
      </c>
      <c r="T11" s="30">
        <f t="shared" si="7"/>
        <v>2702700</v>
      </c>
      <c r="U11" s="31">
        <f t="shared" si="8"/>
        <v>0.18013986013986014</v>
      </c>
    </row>
    <row r="12" spans="2:21" ht="18" customHeight="1">
      <c r="B12" s="32" t="str">
        <f>'Data Entry'!A12</f>
        <v>7. Cases Resulting in Delinquent Findings</v>
      </c>
      <c r="C12" s="33">
        <f>'Data Entry'!C12</f>
        <v>38</v>
      </c>
      <c r="D12" s="34">
        <f>IF(((AND(C69&gt;0,C12&gt;0))),(C12/(C69)),0)</f>
        <v>90.476190476190482</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38</v>
      </c>
      <c r="Q12" s="42">
        <f>(C69*L69)-C12</f>
        <v>4</v>
      </c>
      <c r="R12" s="42">
        <f t="shared" si="5"/>
        <v>42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38</v>
      </c>
      <c r="R13" s="42">
        <f t="shared" si="5"/>
        <v>38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23.684210526315788</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29</v>
      </c>
      <c r="R14" s="42">
        <f t="shared" si="5"/>
        <v>38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42</v>
      </c>
      <c r="R15" s="42">
        <f t="shared" si="5"/>
        <v>42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13.356</v>
      </c>
      <c r="D42" s="56">
        <f>E6/1000</f>
        <v>0.16700000000000001</v>
      </c>
      <c r="E42" s="56">
        <f>MAX(C42:D42)</f>
        <v>13.356</v>
      </c>
      <c r="G42" s="1" t="str">
        <f>B42</f>
        <v>per 1000 youth</v>
      </c>
      <c r="L42" s="57">
        <v>1000</v>
      </c>
      <c r="M42" s="57"/>
      <c r="R42" s="49"/>
    </row>
    <row r="43" spans="2:18" ht="15" hidden="1" customHeight="1">
      <c r="B43" s="49" t="s">
        <v>87</v>
      </c>
      <c r="C43" s="56">
        <f>C7/100</f>
        <v>0.21</v>
      </c>
      <c r="D43" s="56">
        <f>E7/100</f>
        <v>0</v>
      </c>
      <c r="E43" s="56">
        <f>MAX(C43:D43,0)</f>
        <v>0.21</v>
      </c>
      <c r="G43" s="1" t="str">
        <f>B43</f>
        <v>per 100 arrests</v>
      </c>
      <c r="L43" s="57">
        <v>100</v>
      </c>
      <c r="M43" s="57"/>
      <c r="R43" s="49"/>
    </row>
    <row r="44" spans="2:18" ht="15" hidden="1" customHeight="1">
      <c r="B44" s="49" t="s">
        <v>88</v>
      </c>
      <c r="C44" s="56">
        <f>C8/100</f>
        <v>2.75</v>
      </c>
      <c r="D44" s="56">
        <f>E8/100</f>
        <v>0.01</v>
      </c>
      <c r="E44" s="56">
        <f>MAX(C44:D44,0)</f>
        <v>2.75</v>
      </c>
      <c r="G44" s="1" t="str">
        <f>B44</f>
        <v>per 100 referrals</v>
      </c>
      <c r="L44" s="57">
        <v>100</v>
      </c>
      <c r="M44" s="57"/>
      <c r="R44" s="49"/>
    </row>
    <row r="45" spans="2:18" ht="15" hidden="1" customHeight="1">
      <c r="B45" s="49" t="s">
        <v>89</v>
      </c>
      <c r="C45" s="49">
        <f>C11/100</f>
        <v>0.42</v>
      </c>
      <c r="D45" s="49">
        <f>E11/100</f>
        <v>0</v>
      </c>
      <c r="E45" s="56">
        <f>MAX(C45:D45,0)</f>
        <v>0.42</v>
      </c>
      <c r="G45" s="1" t="str">
        <f>B45</f>
        <v>per 100 youth petitioned</v>
      </c>
      <c r="L45" s="57">
        <v>100</v>
      </c>
      <c r="M45" s="57"/>
      <c r="R45" s="49"/>
    </row>
    <row r="46" spans="2:18" ht="15" hidden="1" customHeight="1">
      <c r="B46" s="49" t="s">
        <v>90</v>
      </c>
      <c r="C46" s="49">
        <f>C12/100</f>
        <v>0.38</v>
      </c>
      <c r="D46" s="49">
        <f>E12/100</f>
        <v>0</v>
      </c>
      <c r="E46" s="56">
        <f>MAX(C46:D46)</f>
        <v>0.38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13.356</v>
      </c>
      <c r="D48" s="56">
        <f>D42</f>
        <v>0.16700000000000001</v>
      </c>
      <c r="E48" s="56">
        <f>MAX(C48:D48)</f>
        <v>13.356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2.75</v>
      </c>
      <c r="D50" s="49">
        <f t="shared" si="9"/>
        <v>0.01</v>
      </c>
      <c r="E50" s="49">
        <f>MAX(C50:D50)</f>
        <v>2.75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0.42</v>
      </c>
      <c r="D51" s="49">
        <f>IF(($E45&gt;0),D45,D44)</f>
        <v>0</v>
      </c>
      <c r="E51" s="49">
        <f>MAX(C51:D51)</f>
        <v>0.42</v>
      </c>
      <c r="G51" s="1" t="str">
        <f>G45</f>
        <v>per 100 youth petitioned</v>
      </c>
      <c r="L51" s="58">
        <f>IF(($E45&gt;0),L45,L44)</f>
        <v>100</v>
      </c>
      <c r="M51" s="58"/>
    </row>
    <row r="52" spans="2:18" ht="15" hidden="1" customHeight="1">
      <c r="B52" s="49" t="str">
        <f>IF(($E46&gt;0),B46,B45)</f>
        <v>per 100 youth found delinquent</v>
      </c>
      <c r="C52" s="49">
        <f>IF(($E46&gt;0),C46,C45)</f>
        <v>0.38</v>
      </c>
      <c r="D52" s="49">
        <f>IF(($E46&gt;0),D46,D45)</f>
        <v>0</v>
      </c>
      <c r="E52" s="56">
        <f>MAX(C52:D52)</f>
        <v>0.38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13.356</v>
      </c>
      <c r="D54" s="56">
        <f>D48</f>
        <v>0.16700000000000001</v>
      </c>
      <c r="E54" s="56">
        <f>MAX(C54:D54)</f>
        <v>13.356</v>
      </c>
      <c r="G54" s="1" t="str">
        <f>G48</f>
        <v>per 1000 youth</v>
      </c>
      <c r="L54" s="58">
        <f>L48</f>
        <v>1000</v>
      </c>
      <c r="M54" s="58"/>
    </row>
    <row r="55" spans="2:18" ht="15" hidden="1" customHeight="1">
      <c r="B55" s="49" t="str">
        <f t="shared" ref="B55:D56" si="10">IF(($E49&gt;0),B49,B48)</f>
        <v>per 100 arrests</v>
      </c>
      <c r="C55" s="49">
        <f t="shared" si="10"/>
        <v>0.21</v>
      </c>
      <c r="D55" s="49">
        <f t="shared" si="10"/>
        <v>0</v>
      </c>
      <c r="E55" s="49">
        <f>MAX(C55:D55)</f>
        <v>0.21</v>
      </c>
      <c r="G55" s="1" t="str">
        <f>G49</f>
        <v>per 100 arrests</v>
      </c>
      <c r="L55" s="58">
        <f>IF(($E49&gt;0),L49,L48)</f>
        <v>100</v>
      </c>
      <c r="M55" s="58"/>
    </row>
    <row r="56" spans="2:18" ht="15" hidden="1" customHeight="1">
      <c r="B56" s="49" t="str">
        <f t="shared" si="10"/>
        <v>per 100 referrals</v>
      </c>
      <c r="C56" s="49">
        <f t="shared" si="10"/>
        <v>2.75</v>
      </c>
      <c r="D56" s="49">
        <f t="shared" si="10"/>
        <v>0.01</v>
      </c>
      <c r="E56" s="49">
        <f>MAX(C56:D56)</f>
        <v>2.75</v>
      </c>
      <c r="G56" s="1" t="str">
        <f>G50</f>
        <v>per 100 referrals</v>
      </c>
      <c r="L56" s="58">
        <f>IF(($E50&gt;0),L50,L49)</f>
        <v>100</v>
      </c>
      <c r="M56" s="58"/>
    </row>
    <row r="57" spans="2:18" ht="15" hidden="1" customHeight="1">
      <c r="B57" s="49" t="str">
        <f>IF(($E51&gt;0),B51,B49)</f>
        <v>per 100 youth petitioned</v>
      </c>
      <c r="C57" s="49">
        <f>IF(($E51&gt;0),C51,C50)</f>
        <v>0.42</v>
      </c>
      <c r="D57" s="49">
        <f>IF(($E51&gt;0),D51,D50)</f>
        <v>0</v>
      </c>
      <c r="E57" s="49">
        <f>MAX(C57:D57)</f>
        <v>0.42</v>
      </c>
      <c r="G57" s="1" t="str">
        <f>G51</f>
        <v>per 100 youth petitioned</v>
      </c>
      <c r="L57" s="58">
        <f>IF(($E51&gt;0),L51,L50)</f>
        <v>100</v>
      </c>
      <c r="M57" s="58"/>
    </row>
    <row r="58" spans="2:18" ht="15" hidden="1" customHeight="1">
      <c r="B58" s="49" t="str">
        <f>IF(($E52&gt;0),B52,B51)</f>
        <v>per 100 youth found delinquent</v>
      </c>
      <c r="C58" s="49">
        <f>IF(($E52&gt;0),C52,C51)</f>
        <v>0.38</v>
      </c>
      <c r="D58" s="49">
        <f>IF(($E52&gt;0),D52,D51)</f>
        <v>0</v>
      </c>
      <c r="E58" s="56">
        <f>MAX(C58:D58)</f>
        <v>0.38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13.356</v>
      </c>
      <c r="D60" s="56">
        <f>D54</f>
        <v>0.16700000000000001</v>
      </c>
      <c r="E60" s="56">
        <f>MAX(C60:D60)</f>
        <v>13.356</v>
      </c>
      <c r="G60" s="1" t="str">
        <f>G54</f>
        <v>per 1000 youth</v>
      </c>
      <c r="L60" s="58">
        <f>L54</f>
        <v>1000</v>
      </c>
      <c r="M60" s="58"/>
    </row>
    <row r="61" spans="2:18" ht="15" hidden="1" customHeight="1">
      <c r="B61" s="49" t="str">
        <f t="shared" ref="B61:D62" si="11">IF(($E55&gt;0),B55,B54)</f>
        <v>per 100 arrests</v>
      </c>
      <c r="C61" s="49">
        <f t="shared" si="11"/>
        <v>0.21</v>
      </c>
      <c r="D61" s="49">
        <f t="shared" si="11"/>
        <v>0</v>
      </c>
      <c r="E61" s="49">
        <f>MAX(C61:D61)</f>
        <v>0.21</v>
      </c>
      <c r="G61" s="1" t="str">
        <f>G55</f>
        <v>per 100 arrests</v>
      </c>
      <c r="L61" s="58">
        <f>IF(($E55&gt;0),L55,L54)</f>
        <v>100</v>
      </c>
      <c r="M61" s="58"/>
    </row>
    <row r="62" spans="2:18" ht="15" hidden="1" customHeight="1">
      <c r="B62" s="49" t="str">
        <f t="shared" si="11"/>
        <v>per 100 referrals</v>
      </c>
      <c r="C62" s="49">
        <f t="shared" si="11"/>
        <v>2.75</v>
      </c>
      <c r="D62" s="49">
        <f t="shared" si="11"/>
        <v>0.01</v>
      </c>
      <c r="E62" s="49">
        <f>MAX(C62:D62)</f>
        <v>2.75</v>
      </c>
      <c r="G62" s="1" t="str">
        <f>G56</f>
        <v>per 100 referrals</v>
      </c>
      <c r="L62" s="58">
        <f>IF(($E56&gt;0),L56,L55)</f>
        <v>100</v>
      </c>
      <c r="M62" s="58"/>
    </row>
    <row r="63" spans="2:18" ht="15" hidden="1" customHeight="1">
      <c r="B63" s="49" t="str">
        <f>IF(($E57&gt;0),B57,B55)</f>
        <v>per 100 youth petitioned</v>
      </c>
      <c r="C63" s="49">
        <f>IF(($E57&gt;0),C57,C56)</f>
        <v>0.42</v>
      </c>
      <c r="D63" s="49">
        <f>IF(($E57&gt;0),D57,D56)</f>
        <v>0</v>
      </c>
      <c r="E63" s="49">
        <f>MAX(C63:D63)</f>
        <v>0.42</v>
      </c>
      <c r="G63" s="1" t="str">
        <f>G57</f>
        <v>per 100 youth petitioned</v>
      </c>
      <c r="L63" s="58">
        <f>IF(($E57&gt;0),L57,L56)</f>
        <v>100</v>
      </c>
      <c r="M63" s="58"/>
    </row>
    <row r="64" spans="2:18" ht="15" hidden="1" customHeight="1">
      <c r="B64" s="49" t="str">
        <f>IF(($E58&gt;0),B58,B57)</f>
        <v>per 100 youth found delinquent</v>
      </c>
      <c r="C64" s="49">
        <f>IF(($E58&gt;0),C58,C57)</f>
        <v>0.38</v>
      </c>
      <c r="D64" s="49">
        <f>IF(($E58&gt;0),D58,D57)</f>
        <v>0</v>
      </c>
      <c r="E64" s="56">
        <f>MAX(C64:D64)</f>
        <v>0.38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13.356</v>
      </c>
      <c r="D66" s="56">
        <f>D60</f>
        <v>0.16700000000000001</v>
      </c>
      <c r="E66" s="56">
        <f>MAX(C66:D66)</f>
        <v>13.356</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v>
      </c>
      <c r="E67" s="49">
        <f>MAX(C67:D67)</f>
        <v>0.21</v>
      </c>
      <c r="G67" s="1" t="str">
        <f>G61</f>
        <v>per 100 arrests</v>
      </c>
      <c r="L67" s="58">
        <f>IF(($E61&gt;0),L61,L60)</f>
        <v>100</v>
      </c>
      <c r="M67" s="58">
        <f>IF((B67=G67),1,2)</f>
        <v>1</v>
      </c>
    </row>
    <row r="68" spans="2:13" ht="15" hidden="1" customHeight="1">
      <c r="B68" s="49" t="str">
        <f t="shared" si="12"/>
        <v>per 100 referrals</v>
      </c>
      <c r="C68" s="49">
        <f t="shared" si="12"/>
        <v>2.75</v>
      </c>
      <c r="D68" s="49">
        <f t="shared" si="12"/>
        <v>0.01</v>
      </c>
      <c r="E68" s="49">
        <f>MAX(C68:D68)</f>
        <v>2.75</v>
      </c>
      <c r="G68" s="1" t="str">
        <f>G62</f>
        <v>per 100 referrals</v>
      </c>
      <c r="L68" s="58">
        <f>IF(($E62&gt;0),L62,L61)</f>
        <v>100</v>
      </c>
      <c r="M68" s="58">
        <f>IF((B68=G68),1,2)</f>
        <v>1</v>
      </c>
    </row>
    <row r="69" spans="2:13" ht="15" hidden="1" customHeight="1">
      <c r="B69" s="49" t="str">
        <f>IF(($E63&gt;0),B63,B61)</f>
        <v>per 100 youth petitioned</v>
      </c>
      <c r="C69" s="49">
        <f>IF(($E63&gt;0),C63,C62)</f>
        <v>0.42</v>
      </c>
      <c r="D69" s="49">
        <f>IF(($E63&gt;0),D63,D62)</f>
        <v>0</v>
      </c>
      <c r="E69" s="49">
        <f>MAX(C69:D69)</f>
        <v>0.42</v>
      </c>
      <c r="G69" s="1" t="str">
        <f>G63</f>
        <v>per 100 youth petitioned</v>
      </c>
      <c r="L69" s="58">
        <f>IF(($E63&gt;0),L63,L62)</f>
        <v>100</v>
      </c>
      <c r="M69" s="58">
        <f>IF((B69=G69),1,2)</f>
        <v>1</v>
      </c>
    </row>
    <row r="70" spans="2:13" ht="15" hidden="1" customHeight="1">
      <c r="B70" s="49" t="str">
        <f>IF(($E64&gt;0),B64,B63)</f>
        <v>per 100 youth found delinquent</v>
      </c>
      <c r="C70" s="49">
        <f>IF(($E64&gt;0),C64,C63)</f>
        <v>0.38</v>
      </c>
      <c r="D70" s="49">
        <f>IF(($E64&gt;0),D64,D63)</f>
        <v>0</v>
      </c>
      <c r="E70" s="56">
        <f>MAX(C70:D70)</f>
        <v>0.38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Monroe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13356</v>
      </c>
      <c r="D6" s="34"/>
      <c r="E6" s="33">
        <f>'Data Entry'!E6</f>
        <v>896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1.5723270440251573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896</v>
      </c>
      <c r="P7" s="42">
        <f t="shared" ref="P7:P15" si="4">C7</f>
        <v>21</v>
      </c>
      <c r="Q7" s="42">
        <f>C6-C7</f>
        <v>13335</v>
      </c>
      <c r="R7" s="42">
        <f t="shared" ref="R7:R15" si="5">SUM(N7:Q7)</f>
        <v>14252</v>
      </c>
      <c r="S7" s="30">
        <f t="shared" ref="S7:S15" si="6">R7*((((N7*Q7)-(O7*P7))^2))</f>
        <v>5045804531712</v>
      </c>
      <c r="T7" s="30">
        <f t="shared" ref="T7:T15" si="7">(N7+O7)*(P7+Q7)*(N7+P7)*(O7+Q7)</f>
        <v>3576342744576</v>
      </c>
      <c r="U7" s="31">
        <f t="shared" ref="U7:U15" si="8">IF((S7&gt;0),S7/T7,"- -")</f>
        <v>1.4108839370512332</v>
      </c>
    </row>
    <row r="8" spans="2:21" ht="18" customHeight="1">
      <c r="B8" s="32" t="str">
        <f>'Data Entry'!A8</f>
        <v>3. Refer to Juvenile Court</v>
      </c>
      <c r="C8" s="33">
        <f>'Data Entry'!C8</f>
        <v>275</v>
      </c>
      <c r="D8" s="34">
        <f>IF((AND(C67&gt;0,C8&gt;0)),(C8/C67),0)</f>
        <v>1309.5238095238096</v>
      </c>
      <c r="E8" s="33">
        <f>'Data Entry'!E8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275</v>
      </c>
      <c r="Q8" s="42">
        <f>(C$67*L67)-C8</f>
        <v>-254</v>
      </c>
      <c r="R8" s="42">
        <f t="shared" si="5"/>
        <v>21.050000000000011</v>
      </c>
      <c r="S8" s="30">
        <f t="shared" si="6"/>
        <v>1106.4406250000006</v>
      </c>
      <c r="T8" s="30">
        <f t="shared" si="7"/>
        <v>-73884.510000000053</v>
      </c>
      <c r="U8" s="31">
        <f t="shared" si="8"/>
        <v>-1.4975271880398202E-2</v>
      </c>
    </row>
    <row r="9" spans="2:21" ht="18" customHeight="1">
      <c r="B9" s="32" t="str">
        <f>'Data Entry'!A9</f>
        <v xml:space="preserve">4. Cases Diverted </v>
      </c>
      <c r="C9" s="33">
        <f>'Data Entry'!C9</f>
        <v>218</v>
      </c>
      <c r="D9" s="34">
        <f>IF((AND(C68&gt;0,C9&gt;0)),((C9/C68)),0)</f>
        <v>79.272727272727266</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218</v>
      </c>
      <c r="Q9" s="42">
        <f>(C$68*L68)-C9</f>
        <v>57</v>
      </c>
      <c r="R9" s="42">
        <f t="shared" si="5"/>
        <v>276</v>
      </c>
      <c r="S9" s="30">
        <f t="shared" si="6"/>
        <v>13116624</v>
      </c>
      <c r="T9" s="30">
        <f t="shared" si="7"/>
        <v>3477100</v>
      </c>
      <c r="U9" s="31">
        <f t="shared" si="8"/>
        <v>3.7722884012539186</v>
      </c>
    </row>
    <row r="10" spans="2:21" ht="18" customHeight="1">
      <c r="B10" s="32" t="str">
        <f>'Data Entry'!A10</f>
        <v>5. Cases Involving Secure Detention</v>
      </c>
      <c r="C10" s="33">
        <f>'Data Entry'!C10</f>
        <v>21</v>
      </c>
      <c r="D10" s="34">
        <f>IF(((AND(C68&gt;0,C10&gt;0))),(C10/(C68)),0)</f>
        <v>7.6363636363636367</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21</v>
      </c>
      <c r="Q10" s="42">
        <f>(C$68*L68)-C10</f>
        <v>254</v>
      </c>
      <c r="R10" s="42">
        <f t="shared" si="5"/>
        <v>276</v>
      </c>
      <c r="S10" s="30">
        <f t="shared" si="6"/>
        <v>121716</v>
      </c>
      <c r="T10" s="30">
        <f t="shared" si="7"/>
        <v>1472625</v>
      </c>
      <c r="U10" s="31">
        <f t="shared" si="8"/>
        <v>8.2652406417112301E-2</v>
      </c>
    </row>
    <row r="11" spans="2:21" ht="18" customHeight="1">
      <c r="B11" s="32" t="str">
        <f>'Data Entry'!A11</f>
        <v>6. Cases Petitioned (Charge Filed)</v>
      </c>
      <c r="C11" s="33">
        <f>'Data Entry'!C11</f>
        <v>42</v>
      </c>
      <c r="D11" s="34">
        <f>IF(((AND(C68&gt;0,C11&gt;0))),(C11/(C68)),0)</f>
        <v>15.272727272727273</v>
      </c>
      <c r="E11" s="33">
        <f>'Data Entry'!E11</f>
        <v>1</v>
      </c>
      <c r="F11" s="34">
        <f>IF(((AND($E$11&gt;0,$D$68&gt;0))),($E$11/($D$68)),0)</f>
        <v>100</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1</v>
      </c>
      <c r="O11" s="42">
        <f>(D$68*L68)-E11</f>
        <v>0</v>
      </c>
      <c r="P11" s="42">
        <f t="shared" si="4"/>
        <v>42</v>
      </c>
      <c r="Q11" s="42">
        <f>(C$68*L68)-C11</f>
        <v>233</v>
      </c>
      <c r="R11" s="42">
        <f t="shared" si="5"/>
        <v>276</v>
      </c>
      <c r="S11" s="30">
        <f t="shared" si="6"/>
        <v>14983764</v>
      </c>
      <c r="T11" s="30">
        <f t="shared" si="7"/>
        <v>2755225</v>
      </c>
      <c r="U11" s="31">
        <f t="shared" si="8"/>
        <v>5.4383086680761101</v>
      </c>
    </row>
    <row r="12" spans="2:21" ht="18" customHeight="1">
      <c r="B12" s="32" t="str">
        <f>'Data Entry'!A12</f>
        <v>7. Cases Resulting in Delinquent Findings</v>
      </c>
      <c r="C12" s="33">
        <f>'Data Entry'!C12</f>
        <v>38</v>
      </c>
      <c r="D12" s="34">
        <f>IF(((AND(C69&gt;0,C12&gt;0))),(C12/(C69)),0)</f>
        <v>90.476190476190482</v>
      </c>
      <c r="E12" s="33">
        <f>'Data Entry'!E12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38</v>
      </c>
      <c r="Q12" s="42">
        <f>(C69*L69)-C12</f>
        <v>4</v>
      </c>
      <c r="R12" s="42">
        <f t="shared" si="5"/>
        <v>43</v>
      </c>
      <c r="S12" s="30">
        <f t="shared" si="6"/>
        <v>688</v>
      </c>
      <c r="T12" s="30">
        <f t="shared" si="7"/>
        <v>6552</v>
      </c>
      <c r="U12" s="31">
        <f t="shared" si="8"/>
        <v>0.10500610500610501</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38</v>
      </c>
      <c r="R13" s="42">
        <f t="shared" si="5"/>
        <v>39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23.684210526315788</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9</v>
      </c>
      <c r="Q14" s="42">
        <f>(C70*L70)-C14</f>
        <v>29</v>
      </c>
      <c r="R14" s="42">
        <f t="shared" si="5"/>
        <v>39</v>
      </c>
      <c r="S14" s="30">
        <f t="shared" si="6"/>
        <v>3159</v>
      </c>
      <c r="T14" s="30">
        <f t="shared" si="7"/>
        <v>10260</v>
      </c>
      <c r="U14" s="31">
        <f t="shared" si="8"/>
        <v>0.30789473684210528</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42</v>
      </c>
      <c r="R15" s="42">
        <f t="shared" si="5"/>
        <v>43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13.356</v>
      </c>
      <c r="D42" s="56">
        <f>E6/1000</f>
        <v>0.89600000000000002</v>
      </c>
      <c r="E42" s="56">
        <f>MAX(C42:D42)</f>
        <v>13.356</v>
      </c>
      <c r="G42" s="1" t="str">
        <f>B42</f>
        <v>per 1000 youth</v>
      </c>
      <c r="L42" s="57">
        <v>1000</v>
      </c>
      <c r="M42" s="57"/>
      <c r="R42" s="49"/>
    </row>
    <row r="43" spans="2:18" ht="15" hidden="1" customHeight="1">
      <c r="B43" s="49" t="s">
        <v>87</v>
      </c>
      <c r="C43" s="56">
        <f>C7/100</f>
        <v>0.21</v>
      </c>
      <c r="D43" s="56">
        <f>E7/100</f>
        <v>0</v>
      </c>
      <c r="E43" s="56">
        <f>MAX(C43:D43,0)</f>
        <v>0.21</v>
      </c>
      <c r="G43" s="1" t="str">
        <f>B43</f>
        <v>per 100 arrests</v>
      </c>
      <c r="L43" s="57">
        <v>100</v>
      </c>
      <c r="M43" s="57"/>
      <c r="R43" s="49"/>
    </row>
    <row r="44" spans="2:18" ht="15" hidden="1" customHeight="1">
      <c r="B44" s="49" t="s">
        <v>88</v>
      </c>
      <c r="C44" s="56">
        <f>C8/100</f>
        <v>2.75</v>
      </c>
      <c r="D44" s="56">
        <f>E8/100</f>
        <v>0.01</v>
      </c>
      <c r="E44" s="56">
        <f>MAX(C44:D44,0)</f>
        <v>2.75</v>
      </c>
      <c r="G44" s="1" t="str">
        <f>B44</f>
        <v>per 100 referrals</v>
      </c>
      <c r="L44" s="57">
        <v>100</v>
      </c>
      <c r="M44" s="57"/>
      <c r="R44" s="49"/>
    </row>
    <row r="45" spans="2:18" ht="15" hidden="1" customHeight="1">
      <c r="B45" s="49" t="s">
        <v>89</v>
      </c>
      <c r="C45" s="49">
        <f>C11/100</f>
        <v>0.42</v>
      </c>
      <c r="D45" s="49">
        <f>E11/100</f>
        <v>0.01</v>
      </c>
      <c r="E45" s="56">
        <f>MAX(C45:D45,0)</f>
        <v>0.42</v>
      </c>
      <c r="G45" s="1" t="str">
        <f>B45</f>
        <v>per 100 youth petitioned</v>
      </c>
      <c r="L45" s="57">
        <v>100</v>
      </c>
      <c r="M45" s="57"/>
      <c r="R45" s="49"/>
    </row>
    <row r="46" spans="2:18" ht="15" hidden="1" customHeight="1">
      <c r="B46" s="49" t="s">
        <v>90</v>
      </c>
      <c r="C46" s="49">
        <f>C12/100</f>
        <v>0.38</v>
      </c>
      <c r="D46" s="49">
        <f>E12/100</f>
        <v>0.01</v>
      </c>
      <c r="E46" s="56">
        <f>MAX(C46:D46)</f>
        <v>0.38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13.356</v>
      </c>
      <c r="D48" s="56">
        <f>D42</f>
        <v>0.89600000000000002</v>
      </c>
      <c r="E48" s="56">
        <f>MAX(C48:D48)</f>
        <v>13.356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2.75</v>
      </c>
      <c r="D50" s="49">
        <f t="shared" si="9"/>
        <v>0.01</v>
      </c>
      <c r="E50" s="49">
        <f>MAX(C50:D50)</f>
        <v>2.75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0.42</v>
      </c>
      <c r="D51" s="49">
        <f>IF(($E45&gt;0),D45,D44)</f>
        <v>0.01</v>
      </c>
      <c r="E51" s="49">
        <f>MAX(C51:D51)</f>
        <v>0.42</v>
      </c>
      <c r="G51" s="1" t="str">
        <f>G45</f>
        <v>per 100 youth petitioned</v>
      </c>
      <c r="L51" s="58">
        <f>IF(($E45&gt;0),L45,L44)</f>
        <v>100</v>
      </c>
      <c r="M51" s="58"/>
    </row>
    <row r="52" spans="2:18" ht="15" hidden="1" customHeight="1">
      <c r="B52" s="49" t="str">
        <f>IF(($E46&gt;0),B46,B45)</f>
        <v>per 100 youth found delinquent</v>
      </c>
      <c r="C52" s="49">
        <f>IF(($E46&gt;0),C46,C45)</f>
        <v>0.38</v>
      </c>
      <c r="D52" s="49">
        <f>IF(($E46&gt;0),D46,D45)</f>
        <v>0.01</v>
      </c>
      <c r="E52" s="56">
        <f>MAX(C52:D52)</f>
        <v>0.38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13.356</v>
      </c>
      <c r="D54" s="56">
        <f>D48</f>
        <v>0.89600000000000002</v>
      </c>
      <c r="E54" s="56">
        <f>MAX(C54:D54)</f>
        <v>13.356</v>
      </c>
      <c r="G54" s="1" t="str">
        <f>G48</f>
        <v>per 1000 youth</v>
      </c>
      <c r="L54" s="58">
        <f>L48</f>
        <v>1000</v>
      </c>
      <c r="M54" s="58"/>
    </row>
    <row r="55" spans="2:18" ht="15" hidden="1" customHeight="1">
      <c r="B55" s="49" t="str">
        <f t="shared" ref="B55:D56" si="10">IF(($E49&gt;0),B49,B48)</f>
        <v>per 100 arrests</v>
      </c>
      <c r="C55" s="49">
        <f t="shared" si="10"/>
        <v>0.21</v>
      </c>
      <c r="D55" s="49">
        <f t="shared" si="10"/>
        <v>0</v>
      </c>
      <c r="E55" s="49">
        <f>MAX(C55:D55)</f>
        <v>0.21</v>
      </c>
      <c r="G55" s="1" t="str">
        <f>G49</f>
        <v>per 100 arrests</v>
      </c>
      <c r="L55" s="58">
        <f>IF(($E49&gt;0),L49,L48)</f>
        <v>100</v>
      </c>
      <c r="M55" s="58"/>
    </row>
    <row r="56" spans="2:18" ht="15" hidden="1" customHeight="1">
      <c r="B56" s="49" t="str">
        <f t="shared" si="10"/>
        <v>per 100 referrals</v>
      </c>
      <c r="C56" s="49">
        <f t="shared" si="10"/>
        <v>2.75</v>
      </c>
      <c r="D56" s="49">
        <f t="shared" si="10"/>
        <v>0.01</v>
      </c>
      <c r="E56" s="49">
        <f>MAX(C56:D56)</f>
        <v>2.75</v>
      </c>
      <c r="G56" s="1" t="str">
        <f>G50</f>
        <v>per 100 referrals</v>
      </c>
      <c r="L56" s="58">
        <f>IF(($E50&gt;0),L50,L49)</f>
        <v>100</v>
      </c>
      <c r="M56" s="58"/>
    </row>
    <row r="57" spans="2:18" ht="15" hidden="1" customHeight="1">
      <c r="B57" s="49" t="str">
        <f>IF(($E51&gt;0),B51,B49)</f>
        <v>per 100 youth petitioned</v>
      </c>
      <c r="C57" s="49">
        <f>IF(($E51&gt;0),C51,C50)</f>
        <v>0.42</v>
      </c>
      <c r="D57" s="49">
        <f>IF(($E51&gt;0),D51,D50)</f>
        <v>0.01</v>
      </c>
      <c r="E57" s="49">
        <f>MAX(C57:D57)</f>
        <v>0.42</v>
      </c>
      <c r="G57" s="1" t="str">
        <f>G51</f>
        <v>per 100 youth petitioned</v>
      </c>
      <c r="L57" s="58">
        <f>IF(($E51&gt;0),L51,L50)</f>
        <v>100</v>
      </c>
      <c r="M57" s="58"/>
    </row>
    <row r="58" spans="2:18" ht="15" hidden="1" customHeight="1">
      <c r="B58" s="49" t="str">
        <f>IF(($E52&gt;0),B52,B51)</f>
        <v>per 100 youth found delinquent</v>
      </c>
      <c r="C58" s="49">
        <f>IF(($E52&gt;0),C52,C51)</f>
        <v>0.38</v>
      </c>
      <c r="D58" s="49">
        <f>IF(($E52&gt;0),D52,D51)</f>
        <v>0.01</v>
      </c>
      <c r="E58" s="56">
        <f>MAX(C58:D58)</f>
        <v>0.38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13.356</v>
      </c>
      <c r="D60" s="56">
        <f>D54</f>
        <v>0.89600000000000002</v>
      </c>
      <c r="E60" s="56">
        <f>MAX(C60:D60)</f>
        <v>13.356</v>
      </c>
      <c r="G60" s="1" t="str">
        <f>G54</f>
        <v>per 1000 youth</v>
      </c>
      <c r="L60" s="58">
        <f>L54</f>
        <v>1000</v>
      </c>
      <c r="M60" s="58"/>
    </row>
    <row r="61" spans="2:18" ht="15" hidden="1" customHeight="1">
      <c r="B61" s="49" t="str">
        <f t="shared" ref="B61:D62" si="11">IF(($E55&gt;0),B55,B54)</f>
        <v>per 100 arrests</v>
      </c>
      <c r="C61" s="49">
        <f t="shared" si="11"/>
        <v>0.21</v>
      </c>
      <c r="D61" s="49">
        <f t="shared" si="11"/>
        <v>0</v>
      </c>
      <c r="E61" s="49">
        <f>MAX(C61:D61)</f>
        <v>0.21</v>
      </c>
      <c r="G61" s="1" t="str">
        <f>G55</f>
        <v>per 100 arrests</v>
      </c>
      <c r="L61" s="58">
        <f>IF(($E55&gt;0),L55,L54)</f>
        <v>100</v>
      </c>
      <c r="M61" s="58"/>
    </row>
    <row r="62" spans="2:18" ht="15" hidden="1" customHeight="1">
      <c r="B62" s="49" t="str">
        <f t="shared" si="11"/>
        <v>per 100 referrals</v>
      </c>
      <c r="C62" s="49">
        <f t="shared" si="11"/>
        <v>2.75</v>
      </c>
      <c r="D62" s="49">
        <f t="shared" si="11"/>
        <v>0.01</v>
      </c>
      <c r="E62" s="49">
        <f>MAX(C62:D62)</f>
        <v>2.75</v>
      </c>
      <c r="G62" s="1" t="str">
        <f>G56</f>
        <v>per 100 referrals</v>
      </c>
      <c r="L62" s="58">
        <f>IF(($E56&gt;0),L56,L55)</f>
        <v>100</v>
      </c>
      <c r="M62" s="58"/>
    </row>
    <row r="63" spans="2:18" ht="15" hidden="1" customHeight="1">
      <c r="B63" s="49" t="str">
        <f>IF(($E57&gt;0),B57,B55)</f>
        <v>per 100 youth petitioned</v>
      </c>
      <c r="C63" s="49">
        <f>IF(($E57&gt;0),C57,C56)</f>
        <v>0.42</v>
      </c>
      <c r="D63" s="49">
        <f>IF(($E57&gt;0),D57,D56)</f>
        <v>0.01</v>
      </c>
      <c r="E63" s="49">
        <f>MAX(C63:D63)</f>
        <v>0.42</v>
      </c>
      <c r="G63" s="1" t="str">
        <f>G57</f>
        <v>per 100 youth petitioned</v>
      </c>
      <c r="L63" s="58">
        <f>IF(($E57&gt;0),L57,L56)</f>
        <v>100</v>
      </c>
      <c r="M63" s="58"/>
    </row>
    <row r="64" spans="2:18" ht="15" hidden="1" customHeight="1">
      <c r="B64" s="49" t="str">
        <f>IF(($E58&gt;0),B58,B57)</f>
        <v>per 100 youth found delinquent</v>
      </c>
      <c r="C64" s="49">
        <f>IF(($E58&gt;0),C58,C57)</f>
        <v>0.38</v>
      </c>
      <c r="D64" s="49">
        <f>IF(($E58&gt;0),D58,D57)</f>
        <v>0.01</v>
      </c>
      <c r="E64" s="56">
        <f>MAX(C64:D64)</f>
        <v>0.38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13.356</v>
      </c>
      <c r="D66" s="56">
        <f>D60</f>
        <v>0.89600000000000002</v>
      </c>
      <c r="E66" s="56">
        <f>MAX(C66:D66)</f>
        <v>13.356</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v>
      </c>
      <c r="E67" s="49">
        <f>MAX(C67:D67)</f>
        <v>0.21</v>
      </c>
      <c r="G67" s="1" t="str">
        <f>G61</f>
        <v>per 100 arrests</v>
      </c>
      <c r="L67" s="58">
        <f>IF(($E61&gt;0),L61,L60)</f>
        <v>100</v>
      </c>
      <c r="M67" s="58">
        <f>IF((B67=G67),1,2)</f>
        <v>1</v>
      </c>
    </row>
    <row r="68" spans="2:13" ht="15" hidden="1" customHeight="1">
      <c r="B68" s="49" t="str">
        <f t="shared" si="12"/>
        <v>per 100 referrals</v>
      </c>
      <c r="C68" s="49">
        <f t="shared" si="12"/>
        <v>2.75</v>
      </c>
      <c r="D68" s="49">
        <f t="shared" si="12"/>
        <v>0.01</v>
      </c>
      <c r="E68" s="49">
        <f>MAX(C68:D68)</f>
        <v>2.75</v>
      </c>
      <c r="G68" s="1" t="str">
        <f>G62</f>
        <v>per 100 referrals</v>
      </c>
      <c r="L68" s="58">
        <f>IF(($E62&gt;0),L62,L61)</f>
        <v>100</v>
      </c>
      <c r="M68" s="58">
        <f>IF((B68=G68),1,2)</f>
        <v>1</v>
      </c>
    </row>
    <row r="69" spans="2:13" ht="15" hidden="1" customHeight="1">
      <c r="B69" s="49" t="str">
        <f>IF(($E63&gt;0),B63,B61)</f>
        <v>per 100 youth petitioned</v>
      </c>
      <c r="C69" s="49">
        <f>IF(($E63&gt;0),C63,C62)</f>
        <v>0.42</v>
      </c>
      <c r="D69" s="49">
        <f>IF(($E63&gt;0),D63,D62)</f>
        <v>0.01</v>
      </c>
      <c r="E69" s="49">
        <f>MAX(C69:D69)</f>
        <v>0.42</v>
      </c>
      <c r="G69" s="1" t="str">
        <f>G63</f>
        <v>per 100 youth petitioned</v>
      </c>
      <c r="L69" s="58">
        <f>IF(($E63&gt;0),L63,L62)</f>
        <v>100</v>
      </c>
      <c r="M69" s="58">
        <f>IF((B69=G69),1,2)</f>
        <v>1</v>
      </c>
    </row>
    <row r="70" spans="2:13" ht="15" hidden="1" customHeight="1">
      <c r="B70" s="49" t="str">
        <f>IF(($E64&gt;0),B64,B63)</f>
        <v>per 100 youth found delinquent</v>
      </c>
      <c r="C70" s="49">
        <f>IF(($E64&gt;0),C64,C63)</f>
        <v>0.38</v>
      </c>
      <c r="D70" s="49">
        <f>IF(($E64&gt;0),D64,D63)</f>
        <v>0.01</v>
      </c>
      <c r="E70" s="56">
        <f>MAX(C70:D70)</f>
        <v>0.38</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Monroe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13356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1.5723270440251573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21</v>
      </c>
      <c r="Q7" s="42">
        <f>C6-C7</f>
        <v>13335</v>
      </c>
      <c r="R7" s="42">
        <f t="shared" ref="R7:R15" si="5">SUM(N7:Q7)</f>
        <v>13356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275</v>
      </c>
      <c r="D8" s="34">
        <f>IF((AND(C67&gt;0,C8&gt;0)),(C8/C67),0)</f>
        <v>1309.5238095238096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275</v>
      </c>
      <c r="Q8" s="42">
        <f>(C$67*L67)-C8</f>
        <v>-254</v>
      </c>
      <c r="R8" s="42">
        <f t="shared" si="5"/>
        <v>21.050000000000011</v>
      </c>
      <c r="S8" s="30">
        <f t="shared" si="6"/>
        <v>3979.7656250000023</v>
      </c>
      <c r="T8" s="30">
        <f t="shared" si="7"/>
        <v>-73328.0625</v>
      </c>
      <c r="U8" s="31">
        <f t="shared" si="8"/>
        <v>-5.4273432152936021E-2</v>
      </c>
    </row>
    <row r="9" spans="2:21" ht="18" customHeight="1">
      <c r="B9" s="32" t="str">
        <f>'Data Entry'!A9</f>
        <v xml:space="preserve">4. Cases Diverted </v>
      </c>
      <c r="C9" s="33">
        <f>'Data Entry'!C9</f>
        <v>218</v>
      </c>
      <c r="D9" s="34">
        <f>IF((AND(C68&gt;0,C9&gt;0)),((C9/C68)),0)</f>
        <v>79.272727272727266</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218</v>
      </c>
      <c r="Q9" s="42">
        <f>(C$68*L68)-C9</f>
        <v>57</v>
      </c>
      <c r="R9" s="42">
        <f t="shared" si="5"/>
        <v>275</v>
      </c>
      <c r="S9" s="30">
        <f t="shared" si="6"/>
        <v>0</v>
      </c>
      <c r="T9" s="30">
        <f t="shared" si="7"/>
        <v>0</v>
      </c>
      <c r="U9" s="31" t="str">
        <f t="shared" si="8"/>
        <v>- -</v>
      </c>
    </row>
    <row r="10" spans="2:21" ht="18" customHeight="1">
      <c r="B10" s="32" t="str">
        <f>'Data Entry'!A10</f>
        <v>5. Cases Involving Secure Detention</v>
      </c>
      <c r="C10" s="33">
        <f>'Data Entry'!C10</f>
        <v>21</v>
      </c>
      <c r="D10" s="34">
        <f>IF(((AND(C68&gt;0,C10&gt;0))),(C10/(C68)),0)</f>
        <v>7.6363636363636367</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21</v>
      </c>
      <c r="Q10" s="42">
        <f>(C$68*L68)-C10</f>
        <v>254</v>
      </c>
      <c r="R10" s="42">
        <f t="shared" si="5"/>
        <v>275</v>
      </c>
      <c r="S10" s="30">
        <f t="shared" si="6"/>
        <v>0</v>
      </c>
      <c r="T10" s="30">
        <f t="shared" si="7"/>
        <v>0</v>
      </c>
      <c r="U10" s="31" t="str">
        <f t="shared" si="8"/>
        <v>- -</v>
      </c>
    </row>
    <row r="11" spans="2:21" ht="18" customHeight="1">
      <c r="B11" s="32" t="str">
        <f>'Data Entry'!A11</f>
        <v>6. Cases Petitioned (Charge Filed)</v>
      </c>
      <c r="C11" s="33">
        <f>'Data Entry'!C11</f>
        <v>42</v>
      </c>
      <c r="D11" s="34">
        <f>IF(((AND(C68&gt;0,C11&gt;0))),(C11/(C68)),0)</f>
        <v>15.272727272727273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42</v>
      </c>
      <c r="Q11" s="42">
        <f>(C$68*L68)-C11</f>
        <v>233</v>
      </c>
      <c r="R11" s="42">
        <f t="shared" si="5"/>
        <v>275</v>
      </c>
      <c r="S11" s="30">
        <f t="shared" si="6"/>
        <v>0</v>
      </c>
      <c r="T11" s="30">
        <f t="shared" si="7"/>
        <v>0</v>
      </c>
      <c r="U11" s="31" t="str">
        <f t="shared" si="8"/>
        <v>- -</v>
      </c>
    </row>
    <row r="12" spans="2:21" ht="18" customHeight="1">
      <c r="B12" s="32" t="str">
        <f>'Data Entry'!A12</f>
        <v>7. Cases Resulting in Delinquent Findings</v>
      </c>
      <c r="C12" s="33">
        <f>'Data Entry'!C12</f>
        <v>38</v>
      </c>
      <c r="D12" s="34">
        <f>IF(((AND(C69&gt;0,C12&gt;0))),(C12/(C69)),0)</f>
        <v>90.476190476190482</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38</v>
      </c>
      <c r="Q12" s="42">
        <f>(C69*L69)-C12</f>
        <v>4</v>
      </c>
      <c r="R12" s="42">
        <f t="shared" si="5"/>
        <v>42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38</v>
      </c>
      <c r="R13" s="42">
        <f t="shared" si="5"/>
        <v>38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23.684210526315788</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29</v>
      </c>
      <c r="R14" s="42">
        <f t="shared" si="5"/>
        <v>38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42</v>
      </c>
      <c r="R15" s="42">
        <f t="shared" si="5"/>
        <v>42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13.356</v>
      </c>
      <c r="D42" s="56">
        <f>E6/1000</f>
        <v>0</v>
      </c>
      <c r="E42" s="56">
        <f>MAX(C42:D42)</f>
        <v>13.356</v>
      </c>
      <c r="G42" s="1" t="str">
        <f>B42</f>
        <v>per 1000 youth</v>
      </c>
      <c r="L42" s="57">
        <v>1000</v>
      </c>
      <c r="M42" s="57"/>
      <c r="R42" s="49"/>
    </row>
    <row r="43" spans="2:18" ht="15" hidden="1" customHeight="1">
      <c r="B43" s="49" t="s">
        <v>87</v>
      </c>
      <c r="C43" s="56">
        <f>C7/100</f>
        <v>0.21</v>
      </c>
      <c r="D43" s="56">
        <f>E7/100</f>
        <v>0</v>
      </c>
      <c r="E43" s="56">
        <f>MAX(C43:D43,0)</f>
        <v>0.21</v>
      </c>
      <c r="G43" s="1" t="str">
        <f>B43</f>
        <v>per 100 arrests</v>
      </c>
      <c r="L43" s="57">
        <v>100</v>
      </c>
      <c r="M43" s="57"/>
      <c r="R43" s="49"/>
    </row>
    <row r="44" spans="2:18" ht="15" hidden="1" customHeight="1">
      <c r="B44" s="49" t="s">
        <v>88</v>
      </c>
      <c r="C44" s="56">
        <f>C8/100</f>
        <v>2.75</v>
      </c>
      <c r="D44" s="56">
        <f>E8/100</f>
        <v>0</v>
      </c>
      <c r="E44" s="56">
        <f>MAX(C44:D44,0)</f>
        <v>2.75</v>
      </c>
      <c r="G44" s="1" t="str">
        <f>B44</f>
        <v>per 100 referrals</v>
      </c>
      <c r="L44" s="57">
        <v>100</v>
      </c>
      <c r="M44" s="57"/>
      <c r="R44" s="49"/>
    </row>
    <row r="45" spans="2:18" ht="15" hidden="1" customHeight="1">
      <c r="B45" s="49" t="s">
        <v>89</v>
      </c>
      <c r="C45" s="49">
        <f>C11/100</f>
        <v>0.42</v>
      </c>
      <c r="D45" s="49">
        <f>E11/100</f>
        <v>0</v>
      </c>
      <c r="E45" s="56">
        <f>MAX(C45:D45,0)</f>
        <v>0.42</v>
      </c>
      <c r="G45" s="1" t="str">
        <f>B45</f>
        <v>per 100 youth petitioned</v>
      </c>
      <c r="L45" s="57">
        <v>100</v>
      </c>
      <c r="M45" s="57"/>
      <c r="R45" s="49"/>
    </row>
    <row r="46" spans="2:18" ht="15" hidden="1" customHeight="1">
      <c r="B46" s="49" t="s">
        <v>90</v>
      </c>
      <c r="C46" s="49">
        <f>C12/100</f>
        <v>0.38</v>
      </c>
      <c r="D46" s="49">
        <f>E12/100</f>
        <v>0</v>
      </c>
      <c r="E46" s="56">
        <f>MAX(C46:D46)</f>
        <v>0.38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13.356</v>
      </c>
      <c r="D48" s="56">
        <f>D42</f>
        <v>0</v>
      </c>
      <c r="E48" s="56">
        <f>MAX(C48:D48)</f>
        <v>13.356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2.75</v>
      </c>
      <c r="D50" s="49">
        <f t="shared" si="9"/>
        <v>0</v>
      </c>
      <c r="E50" s="49">
        <f>MAX(C50:D50)</f>
        <v>2.75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0.42</v>
      </c>
      <c r="D51" s="49">
        <f>IF(($E45&gt;0),D45,D44)</f>
        <v>0</v>
      </c>
      <c r="E51" s="49">
        <f>MAX(C51:D51)</f>
        <v>0.42</v>
      </c>
      <c r="G51" s="1" t="str">
        <f>G45</f>
        <v>per 100 youth petitioned</v>
      </c>
      <c r="L51" s="58">
        <f>IF(($E45&gt;0),L45,L44)</f>
        <v>100</v>
      </c>
      <c r="M51" s="58"/>
    </row>
    <row r="52" spans="2:18" ht="15" hidden="1" customHeight="1">
      <c r="B52" s="49" t="str">
        <f>IF(($E46&gt;0),B46,B45)</f>
        <v>per 100 youth found delinquent</v>
      </c>
      <c r="C52" s="49">
        <f>IF(($E46&gt;0),C46,C45)</f>
        <v>0.38</v>
      </c>
      <c r="D52" s="49">
        <f>IF(($E46&gt;0),D46,D45)</f>
        <v>0</v>
      </c>
      <c r="E52" s="56">
        <f>MAX(C52:D52)</f>
        <v>0.38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13.356</v>
      </c>
      <c r="D54" s="56">
        <f>D48</f>
        <v>0</v>
      </c>
      <c r="E54" s="56">
        <f>MAX(C54:D54)</f>
        <v>13.356</v>
      </c>
      <c r="G54" s="1" t="str">
        <f>G48</f>
        <v>per 1000 youth</v>
      </c>
      <c r="L54" s="58">
        <f>L48</f>
        <v>1000</v>
      </c>
      <c r="M54" s="58"/>
    </row>
    <row r="55" spans="2:18" ht="15" hidden="1" customHeight="1">
      <c r="B55" s="49" t="str">
        <f t="shared" ref="B55:D56" si="10">IF(($E49&gt;0),B49,B48)</f>
        <v>per 100 arrests</v>
      </c>
      <c r="C55" s="49">
        <f t="shared" si="10"/>
        <v>0.21</v>
      </c>
      <c r="D55" s="49">
        <f t="shared" si="10"/>
        <v>0</v>
      </c>
      <c r="E55" s="49">
        <f>MAX(C55:D55)</f>
        <v>0.21</v>
      </c>
      <c r="G55" s="1" t="str">
        <f>G49</f>
        <v>per 100 arrests</v>
      </c>
      <c r="L55" s="58">
        <f>IF(($E49&gt;0),L49,L48)</f>
        <v>100</v>
      </c>
      <c r="M55" s="58"/>
    </row>
    <row r="56" spans="2:18" ht="15" hidden="1" customHeight="1">
      <c r="B56" s="49" t="str">
        <f t="shared" si="10"/>
        <v>per 100 referrals</v>
      </c>
      <c r="C56" s="49">
        <f t="shared" si="10"/>
        <v>2.75</v>
      </c>
      <c r="D56" s="49">
        <f t="shared" si="10"/>
        <v>0</v>
      </c>
      <c r="E56" s="49">
        <f>MAX(C56:D56)</f>
        <v>2.75</v>
      </c>
      <c r="G56" s="1" t="str">
        <f>G50</f>
        <v>per 100 referrals</v>
      </c>
      <c r="L56" s="58">
        <f>IF(($E50&gt;0),L50,L49)</f>
        <v>100</v>
      </c>
      <c r="M56" s="58"/>
    </row>
    <row r="57" spans="2:18" ht="15" hidden="1" customHeight="1">
      <c r="B57" s="49" t="str">
        <f>IF(($E51&gt;0),B51,B49)</f>
        <v>per 100 youth petitioned</v>
      </c>
      <c r="C57" s="49">
        <f>IF(($E51&gt;0),C51,C50)</f>
        <v>0.42</v>
      </c>
      <c r="D57" s="49">
        <f>IF(($E51&gt;0),D51,D50)</f>
        <v>0</v>
      </c>
      <c r="E57" s="49">
        <f>MAX(C57:D57)</f>
        <v>0.42</v>
      </c>
      <c r="G57" s="1" t="str">
        <f>G51</f>
        <v>per 100 youth petitioned</v>
      </c>
      <c r="L57" s="58">
        <f>IF(($E51&gt;0),L51,L50)</f>
        <v>100</v>
      </c>
      <c r="M57" s="58"/>
    </row>
    <row r="58" spans="2:18" ht="15" hidden="1" customHeight="1">
      <c r="B58" s="49" t="str">
        <f>IF(($E52&gt;0),B52,B51)</f>
        <v>per 100 youth found delinquent</v>
      </c>
      <c r="C58" s="49">
        <f>IF(($E52&gt;0),C52,C51)</f>
        <v>0.38</v>
      </c>
      <c r="D58" s="49">
        <f>IF(($E52&gt;0),D52,D51)</f>
        <v>0</v>
      </c>
      <c r="E58" s="56">
        <f>MAX(C58:D58)</f>
        <v>0.38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13.356</v>
      </c>
      <c r="D60" s="56">
        <f>D54</f>
        <v>0</v>
      </c>
      <c r="E60" s="56">
        <f>MAX(C60:D60)</f>
        <v>13.356</v>
      </c>
      <c r="G60" s="1" t="str">
        <f>G54</f>
        <v>per 1000 youth</v>
      </c>
      <c r="L60" s="58">
        <f>L54</f>
        <v>1000</v>
      </c>
      <c r="M60" s="58"/>
    </row>
    <row r="61" spans="2:18" ht="15" hidden="1" customHeight="1">
      <c r="B61" s="49" t="str">
        <f t="shared" ref="B61:D62" si="11">IF(($E55&gt;0),B55,B54)</f>
        <v>per 100 arrests</v>
      </c>
      <c r="C61" s="49">
        <f t="shared" si="11"/>
        <v>0.21</v>
      </c>
      <c r="D61" s="49">
        <f t="shared" si="11"/>
        <v>0</v>
      </c>
      <c r="E61" s="49">
        <f>MAX(C61:D61)</f>
        <v>0.21</v>
      </c>
      <c r="G61" s="1" t="str">
        <f>G55</f>
        <v>per 100 arrests</v>
      </c>
      <c r="L61" s="58">
        <f>IF(($E55&gt;0),L55,L54)</f>
        <v>100</v>
      </c>
      <c r="M61" s="58"/>
    </row>
    <row r="62" spans="2:18" ht="15" hidden="1" customHeight="1">
      <c r="B62" s="49" t="str">
        <f t="shared" si="11"/>
        <v>per 100 referrals</v>
      </c>
      <c r="C62" s="49">
        <f t="shared" si="11"/>
        <v>2.75</v>
      </c>
      <c r="D62" s="49">
        <f t="shared" si="11"/>
        <v>0</v>
      </c>
      <c r="E62" s="49">
        <f>MAX(C62:D62)</f>
        <v>2.75</v>
      </c>
      <c r="G62" s="1" t="str">
        <f>G56</f>
        <v>per 100 referrals</v>
      </c>
      <c r="L62" s="58">
        <f>IF(($E56&gt;0),L56,L55)</f>
        <v>100</v>
      </c>
      <c r="M62" s="58"/>
    </row>
    <row r="63" spans="2:18" ht="15" hidden="1" customHeight="1">
      <c r="B63" s="49" t="str">
        <f>IF(($E57&gt;0),B57,B55)</f>
        <v>per 100 youth petitioned</v>
      </c>
      <c r="C63" s="49">
        <f>IF(($E57&gt;0),C57,C56)</f>
        <v>0.42</v>
      </c>
      <c r="D63" s="49">
        <f>IF(($E57&gt;0),D57,D56)</f>
        <v>0</v>
      </c>
      <c r="E63" s="49">
        <f>MAX(C63:D63)</f>
        <v>0.42</v>
      </c>
      <c r="G63" s="1" t="str">
        <f>G57</f>
        <v>per 100 youth petitioned</v>
      </c>
      <c r="L63" s="58">
        <f>IF(($E57&gt;0),L57,L56)</f>
        <v>100</v>
      </c>
      <c r="M63" s="58"/>
    </row>
    <row r="64" spans="2:18" ht="15" hidden="1" customHeight="1">
      <c r="B64" s="49" t="str">
        <f>IF(($E58&gt;0),B58,B57)</f>
        <v>per 100 youth found delinquent</v>
      </c>
      <c r="C64" s="49">
        <f>IF(($E58&gt;0),C58,C57)</f>
        <v>0.38</v>
      </c>
      <c r="D64" s="49">
        <f>IF(($E58&gt;0),D58,D57)</f>
        <v>0</v>
      </c>
      <c r="E64" s="56">
        <f>MAX(C64:D64)</f>
        <v>0.38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13.356</v>
      </c>
      <c r="D66" s="56">
        <f>D60</f>
        <v>0</v>
      </c>
      <c r="E66" s="56">
        <f>MAX(C66:D66)</f>
        <v>13.356</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v>
      </c>
      <c r="E67" s="49">
        <f>MAX(C67:D67)</f>
        <v>0.21</v>
      </c>
      <c r="G67" s="1" t="str">
        <f>G61</f>
        <v>per 100 arrests</v>
      </c>
      <c r="L67" s="58">
        <f>IF(($E61&gt;0),L61,L60)</f>
        <v>100</v>
      </c>
      <c r="M67" s="58">
        <f>IF((B67=G67),1,2)</f>
        <v>1</v>
      </c>
    </row>
    <row r="68" spans="2:13" ht="15" hidden="1" customHeight="1">
      <c r="B68" s="49" t="str">
        <f t="shared" si="12"/>
        <v>per 100 referrals</v>
      </c>
      <c r="C68" s="49">
        <f t="shared" si="12"/>
        <v>2.75</v>
      </c>
      <c r="D68" s="49">
        <f t="shared" si="12"/>
        <v>0</v>
      </c>
      <c r="E68" s="49">
        <f>MAX(C68:D68)</f>
        <v>2.75</v>
      </c>
      <c r="G68" s="1" t="str">
        <f>G62</f>
        <v>per 100 referrals</v>
      </c>
      <c r="L68" s="58">
        <f>IF(($E62&gt;0),L62,L61)</f>
        <v>100</v>
      </c>
      <c r="M68" s="58">
        <f>IF((B68=G68),1,2)</f>
        <v>1</v>
      </c>
    </row>
    <row r="69" spans="2:13" ht="15" hidden="1" customHeight="1">
      <c r="B69" s="49" t="str">
        <f>IF(($E63&gt;0),B63,B61)</f>
        <v>per 100 youth petitioned</v>
      </c>
      <c r="C69" s="49">
        <f>IF(($E63&gt;0),C63,C62)</f>
        <v>0.42</v>
      </c>
      <c r="D69" s="49">
        <f>IF(($E63&gt;0),D63,D62)</f>
        <v>0</v>
      </c>
      <c r="E69" s="49">
        <f>MAX(C69:D69)</f>
        <v>0.42</v>
      </c>
      <c r="G69" s="1" t="str">
        <f>G63</f>
        <v>per 100 youth petitioned</v>
      </c>
      <c r="L69" s="58">
        <f>IF(($E63&gt;0),L63,L62)</f>
        <v>100</v>
      </c>
      <c r="M69" s="58">
        <f>IF((B69=G69),1,2)</f>
        <v>1</v>
      </c>
    </row>
    <row r="70" spans="2:13" ht="15" hidden="1" customHeight="1">
      <c r="B70" s="49" t="str">
        <f>IF(($E64&gt;0),B64,B63)</f>
        <v>per 100 youth found delinquent</v>
      </c>
      <c r="C70" s="49">
        <f>IF(($E64&gt;0),C64,C63)</f>
        <v>0.38</v>
      </c>
      <c r="D70" s="49">
        <f>IF(($E64&gt;0),D64,D63)</f>
        <v>0</v>
      </c>
      <c r="E70" s="56">
        <f>MAX(C70:D70)</f>
        <v>0.38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Monroe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13356</v>
      </c>
      <c r="D6" s="34"/>
      <c r="E6" s="33">
        <f>'Data Entry'!H6</f>
        <v>47</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1.5723270440251573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47</v>
      </c>
      <c r="P7" s="42">
        <f t="shared" ref="P7:P15" si="4">C7</f>
        <v>21</v>
      </c>
      <c r="Q7" s="42">
        <f>C6-C7</f>
        <v>13335</v>
      </c>
      <c r="R7" s="42">
        <f t="shared" ref="R7:R15" si="5">SUM(N7:Q7)</f>
        <v>13403</v>
      </c>
      <c r="S7" s="30">
        <f t="shared" ref="S7:S15" si="6">R7*((((N7*Q7)-(O7*P7))^2))</f>
        <v>13056787107</v>
      </c>
      <c r="T7" s="30">
        <f t="shared" ref="T7:T15" si="7">(N7+O7)*(P7+Q7)*(N7+P7)*(O7+Q7)</f>
        <v>176406502104</v>
      </c>
      <c r="U7" s="31">
        <f t="shared" ref="U7:U15" si="8">IF((S7&gt;0),S7/T7,"- -")</f>
        <v>7.4015339294593599E-2</v>
      </c>
    </row>
    <row r="8" spans="2:21" ht="18" customHeight="1">
      <c r="B8" s="32" t="str">
        <f>'Data Entry'!A8</f>
        <v>3. Refer to Juvenile Court</v>
      </c>
      <c r="C8" s="33">
        <f>'Data Entry'!C8</f>
        <v>275</v>
      </c>
      <c r="D8" s="34">
        <f>IF((AND(C67&gt;0,C8&gt;0)),(C8/C67),0)</f>
        <v>1309.5238095238096</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275</v>
      </c>
      <c r="Q8" s="42">
        <f>(C$67*L67)-C8</f>
        <v>-254</v>
      </c>
      <c r="R8" s="42">
        <f t="shared" si="5"/>
        <v>21.050000000000011</v>
      </c>
      <c r="S8" s="30">
        <f t="shared" si="6"/>
        <v>3979.7656250000023</v>
      </c>
      <c r="T8" s="30">
        <f t="shared" si="7"/>
        <v>-73328.0625</v>
      </c>
      <c r="U8" s="31">
        <f t="shared" si="8"/>
        <v>-5.4273432152936021E-2</v>
      </c>
    </row>
    <row r="9" spans="2:21" ht="18" customHeight="1">
      <c r="B9" s="32" t="str">
        <f>'Data Entry'!A9</f>
        <v xml:space="preserve">4. Cases Diverted </v>
      </c>
      <c r="C9" s="33">
        <f>'Data Entry'!C9</f>
        <v>218</v>
      </c>
      <c r="D9" s="34">
        <f>IF((AND(C68&gt;0,C9&gt;0)),((C9/C68)),0)</f>
        <v>79.272727272727266</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218</v>
      </c>
      <c r="Q9" s="42">
        <f>(C$68*L68)-C9</f>
        <v>57</v>
      </c>
      <c r="R9" s="42">
        <f t="shared" si="5"/>
        <v>275</v>
      </c>
      <c r="S9" s="30">
        <f t="shared" si="6"/>
        <v>0</v>
      </c>
      <c r="T9" s="30">
        <f t="shared" si="7"/>
        <v>0</v>
      </c>
      <c r="U9" s="31" t="str">
        <f t="shared" si="8"/>
        <v>- -</v>
      </c>
    </row>
    <row r="10" spans="2:21" ht="18" customHeight="1">
      <c r="B10" s="32" t="str">
        <f>'Data Entry'!A10</f>
        <v>5. Cases Involving Secure Detention</v>
      </c>
      <c r="C10" s="33">
        <f>'Data Entry'!C10</f>
        <v>21</v>
      </c>
      <c r="D10" s="34">
        <f>IF(((AND(C68&gt;0,C10&gt;0))),(C10/(C68)),0)</f>
        <v>7.6363636363636367</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21</v>
      </c>
      <c r="Q10" s="42">
        <f>(C$68*L68)-C10</f>
        <v>254</v>
      </c>
      <c r="R10" s="42">
        <f t="shared" si="5"/>
        <v>275</v>
      </c>
      <c r="S10" s="30">
        <f t="shared" si="6"/>
        <v>0</v>
      </c>
      <c r="T10" s="30">
        <f t="shared" si="7"/>
        <v>0</v>
      </c>
      <c r="U10" s="31" t="str">
        <f t="shared" si="8"/>
        <v>- -</v>
      </c>
    </row>
    <row r="11" spans="2:21" ht="18" customHeight="1">
      <c r="B11" s="32" t="str">
        <f>'Data Entry'!A11</f>
        <v>6. Cases Petitioned (Charge Filed)</v>
      </c>
      <c r="C11" s="33">
        <f>'Data Entry'!C11</f>
        <v>42</v>
      </c>
      <c r="D11" s="34">
        <f>IF(((AND(C68&gt;0,C11&gt;0))),(C11/(C68)),0)</f>
        <v>15.272727272727273</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42</v>
      </c>
      <c r="Q11" s="42">
        <f>(C$68*L68)-C11</f>
        <v>233</v>
      </c>
      <c r="R11" s="42">
        <f t="shared" si="5"/>
        <v>275</v>
      </c>
      <c r="S11" s="30">
        <f t="shared" si="6"/>
        <v>0</v>
      </c>
      <c r="T11" s="30">
        <f t="shared" si="7"/>
        <v>0</v>
      </c>
      <c r="U11" s="31" t="str">
        <f t="shared" si="8"/>
        <v>- -</v>
      </c>
    </row>
    <row r="12" spans="2:21" ht="18" customHeight="1">
      <c r="B12" s="32" t="str">
        <f>'Data Entry'!A12</f>
        <v>7. Cases Resulting in Delinquent Findings</v>
      </c>
      <c r="C12" s="33">
        <f>'Data Entry'!C12</f>
        <v>38</v>
      </c>
      <c r="D12" s="34">
        <f>IF(((AND(C69&gt;0,C12&gt;0))),(C12/(C69)),0)</f>
        <v>90.476190476190482</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38</v>
      </c>
      <c r="Q12" s="42">
        <f>(C69*L69)-C12</f>
        <v>4</v>
      </c>
      <c r="R12" s="42">
        <f t="shared" si="5"/>
        <v>42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38</v>
      </c>
      <c r="R13" s="42">
        <f t="shared" si="5"/>
        <v>38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23.684210526315788</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29</v>
      </c>
      <c r="R14" s="42">
        <f t="shared" si="5"/>
        <v>38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42</v>
      </c>
      <c r="R15" s="42">
        <f t="shared" si="5"/>
        <v>42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13.356</v>
      </c>
      <c r="D42" s="56">
        <f>E6/1000</f>
        <v>4.7E-2</v>
      </c>
      <c r="E42" s="56">
        <f>MAX(C42:D42)</f>
        <v>13.356</v>
      </c>
      <c r="G42" s="1" t="str">
        <f>B42</f>
        <v>per 1000 youth</v>
      </c>
      <c r="L42" s="57">
        <v>1000</v>
      </c>
      <c r="M42" s="57"/>
      <c r="R42" s="49"/>
    </row>
    <row r="43" spans="2:18" ht="15" hidden="1" customHeight="1">
      <c r="B43" s="49" t="s">
        <v>87</v>
      </c>
      <c r="C43" s="56">
        <f>C7/100</f>
        <v>0.21</v>
      </c>
      <c r="D43" s="56">
        <f>E7/100</f>
        <v>0</v>
      </c>
      <c r="E43" s="56">
        <f>MAX(C43:D43,0)</f>
        <v>0.21</v>
      </c>
      <c r="G43" s="1" t="str">
        <f>B43</f>
        <v>per 100 arrests</v>
      </c>
      <c r="L43" s="57">
        <v>100</v>
      </c>
      <c r="M43" s="57"/>
      <c r="R43" s="49"/>
    </row>
    <row r="44" spans="2:18" ht="15" hidden="1" customHeight="1">
      <c r="B44" s="49" t="s">
        <v>88</v>
      </c>
      <c r="C44" s="56">
        <f>C8/100</f>
        <v>2.75</v>
      </c>
      <c r="D44" s="56">
        <f>E8/100</f>
        <v>0</v>
      </c>
      <c r="E44" s="56">
        <f>MAX(C44:D44,0)</f>
        <v>2.75</v>
      </c>
      <c r="G44" s="1" t="str">
        <f>B44</f>
        <v>per 100 referrals</v>
      </c>
      <c r="L44" s="57">
        <v>100</v>
      </c>
      <c r="M44" s="57"/>
      <c r="R44" s="49"/>
    </row>
    <row r="45" spans="2:18" ht="15" hidden="1" customHeight="1">
      <c r="B45" s="49" t="s">
        <v>89</v>
      </c>
      <c r="C45" s="49">
        <f>C11/100</f>
        <v>0.42</v>
      </c>
      <c r="D45" s="49">
        <f>E11/100</f>
        <v>0</v>
      </c>
      <c r="E45" s="56">
        <f>MAX(C45:D45,0)</f>
        <v>0.42</v>
      </c>
      <c r="G45" s="1" t="str">
        <f>B45</f>
        <v>per 100 youth petitioned</v>
      </c>
      <c r="L45" s="57">
        <v>100</v>
      </c>
      <c r="M45" s="57"/>
      <c r="R45" s="49"/>
    </row>
    <row r="46" spans="2:18" ht="15" hidden="1" customHeight="1">
      <c r="B46" s="49" t="s">
        <v>90</v>
      </c>
      <c r="C46" s="49">
        <f>C12/100</f>
        <v>0.38</v>
      </c>
      <c r="D46" s="49">
        <f>E12/100</f>
        <v>0</v>
      </c>
      <c r="E46" s="56">
        <f>MAX(C46:D46)</f>
        <v>0.38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13.356</v>
      </c>
      <c r="D48" s="56">
        <f>D42</f>
        <v>4.7E-2</v>
      </c>
      <c r="E48" s="56">
        <f>MAX(C48:D48)</f>
        <v>13.356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2.75</v>
      </c>
      <c r="D50" s="49">
        <f t="shared" si="9"/>
        <v>0</v>
      </c>
      <c r="E50" s="49">
        <f>MAX(C50:D50)</f>
        <v>2.75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0.42</v>
      </c>
      <c r="D51" s="49">
        <f>IF(($E45&gt;0),D45,D44)</f>
        <v>0</v>
      </c>
      <c r="E51" s="49">
        <f>MAX(C51:D51)</f>
        <v>0.42</v>
      </c>
      <c r="G51" s="1" t="str">
        <f>G45</f>
        <v>per 100 youth petitioned</v>
      </c>
      <c r="L51" s="58">
        <f>IF(($E45&gt;0),L45,L44)</f>
        <v>100</v>
      </c>
      <c r="M51" s="58"/>
    </row>
    <row r="52" spans="2:18" ht="15" hidden="1" customHeight="1">
      <c r="B52" s="49" t="str">
        <f>IF(($E46&gt;0),B46,B45)</f>
        <v>per 100 youth found delinquent</v>
      </c>
      <c r="C52" s="49">
        <f>IF(($E46&gt;0),C46,C45)</f>
        <v>0.38</v>
      </c>
      <c r="D52" s="49">
        <f>IF(($E46&gt;0),D46,D45)</f>
        <v>0</v>
      </c>
      <c r="E52" s="56">
        <f>MAX(C52:D52)</f>
        <v>0.38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13.356</v>
      </c>
      <c r="D54" s="56">
        <f>D48</f>
        <v>4.7E-2</v>
      </c>
      <c r="E54" s="56">
        <f>MAX(C54:D54)</f>
        <v>13.356</v>
      </c>
      <c r="G54" s="1" t="str">
        <f>G48</f>
        <v>per 1000 youth</v>
      </c>
      <c r="L54" s="58">
        <f>L48</f>
        <v>1000</v>
      </c>
      <c r="M54" s="58"/>
    </row>
    <row r="55" spans="2:18" ht="15" hidden="1" customHeight="1">
      <c r="B55" s="49" t="str">
        <f t="shared" ref="B55:D56" si="10">IF(($E49&gt;0),B49,B48)</f>
        <v>per 100 arrests</v>
      </c>
      <c r="C55" s="49">
        <f t="shared" si="10"/>
        <v>0.21</v>
      </c>
      <c r="D55" s="49">
        <f t="shared" si="10"/>
        <v>0</v>
      </c>
      <c r="E55" s="49">
        <f>MAX(C55:D55)</f>
        <v>0.21</v>
      </c>
      <c r="G55" s="1" t="str">
        <f>G49</f>
        <v>per 100 arrests</v>
      </c>
      <c r="L55" s="58">
        <f>IF(($E49&gt;0),L49,L48)</f>
        <v>100</v>
      </c>
      <c r="M55" s="58"/>
    </row>
    <row r="56" spans="2:18" ht="15" hidden="1" customHeight="1">
      <c r="B56" s="49" t="str">
        <f t="shared" si="10"/>
        <v>per 100 referrals</v>
      </c>
      <c r="C56" s="49">
        <f t="shared" si="10"/>
        <v>2.75</v>
      </c>
      <c r="D56" s="49">
        <f t="shared" si="10"/>
        <v>0</v>
      </c>
      <c r="E56" s="49">
        <f>MAX(C56:D56)</f>
        <v>2.75</v>
      </c>
      <c r="G56" s="1" t="str">
        <f>G50</f>
        <v>per 100 referrals</v>
      </c>
      <c r="L56" s="58">
        <f>IF(($E50&gt;0),L50,L49)</f>
        <v>100</v>
      </c>
      <c r="M56" s="58"/>
    </row>
    <row r="57" spans="2:18" ht="15" hidden="1" customHeight="1">
      <c r="B57" s="49" t="str">
        <f>IF(($E51&gt;0),B51,B49)</f>
        <v>per 100 youth petitioned</v>
      </c>
      <c r="C57" s="49">
        <f>IF(($E51&gt;0),C51,C50)</f>
        <v>0.42</v>
      </c>
      <c r="D57" s="49">
        <f>IF(($E51&gt;0),D51,D50)</f>
        <v>0</v>
      </c>
      <c r="E57" s="49">
        <f>MAX(C57:D57)</f>
        <v>0.42</v>
      </c>
      <c r="G57" s="1" t="str">
        <f>G51</f>
        <v>per 100 youth petitioned</v>
      </c>
      <c r="L57" s="58">
        <f>IF(($E51&gt;0),L51,L50)</f>
        <v>100</v>
      </c>
      <c r="M57" s="58"/>
    </row>
    <row r="58" spans="2:18" ht="15" hidden="1" customHeight="1">
      <c r="B58" s="49" t="str">
        <f>IF(($E52&gt;0),B52,B51)</f>
        <v>per 100 youth found delinquent</v>
      </c>
      <c r="C58" s="49">
        <f>IF(($E52&gt;0),C52,C51)</f>
        <v>0.38</v>
      </c>
      <c r="D58" s="49">
        <f>IF(($E52&gt;0),D52,D51)</f>
        <v>0</v>
      </c>
      <c r="E58" s="56">
        <f>MAX(C58:D58)</f>
        <v>0.38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13.356</v>
      </c>
      <c r="D60" s="56">
        <f>D54</f>
        <v>4.7E-2</v>
      </c>
      <c r="E60" s="56">
        <f>MAX(C60:D60)</f>
        <v>13.356</v>
      </c>
      <c r="G60" s="1" t="str">
        <f>G54</f>
        <v>per 1000 youth</v>
      </c>
      <c r="L60" s="58">
        <f>L54</f>
        <v>1000</v>
      </c>
      <c r="M60" s="58"/>
    </row>
    <row r="61" spans="2:18" ht="15" hidden="1" customHeight="1">
      <c r="B61" s="49" t="str">
        <f t="shared" ref="B61:D62" si="11">IF(($E55&gt;0),B55,B54)</f>
        <v>per 100 arrests</v>
      </c>
      <c r="C61" s="49">
        <f t="shared" si="11"/>
        <v>0.21</v>
      </c>
      <c r="D61" s="49">
        <f t="shared" si="11"/>
        <v>0</v>
      </c>
      <c r="E61" s="49">
        <f>MAX(C61:D61)</f>
        <v>0.21</v>
      </c>
      <c r="G61" s="1" t="str">
        <f>G55</f>
        <v>per 100 arrests</v>
      </c>
      <c r="L61" s="58">
        <f>IF(($E55&gt;0),L55,L54)</f>
        <v>100</v>
      </c>
      <c r="M61" s="58"/>
    </row>
    <row r="62" spans="2:18" ht="15" hidden="1" customHeight="1">
      <c r="B62" s="49" t="str">
        <f t="shared" si="11"/>
        <v>per 100 referrals</v>
      </c>
      <c r="C62" s="49">
        <f t="shared" si="11"/>
        <v>2.75</v>
      </c>
      <c r="D62" s="49">
        <f t="shared" si="11"/>
        <v>0</v>
      </c>
      <c r="E62" s="49">
        <f>MAX(C62:D62)</f>
        <v>2.75</v>
      </c>
      <c r="G62" s="1" t="str">
        <f>G56</f>
        <v>per 100 referrals</v>
      </c>
      <c r="L62" s="58">
        <f>IF(($E56&gt;0),L56,L55)</f>
        <v>100</v>
      </c>
      <c r="M62" s="58"/>
    </row>
    <row r="63" spans="2:18" ht="15" hidden="1" customHeight="1">
      <c r="B63" s="49" t="str">
        <f>IF(($E57&gt;0),B57,B55)</f>
        <v>per 100 youth petitioned</v>
      </c>
      <c r="C63" s="49">
        <f>IF(($E57&gt;0),C57,C56)</f>
        <v>0.42</v>
      </c>
      <c r="D63" s="49">
        <f>IF(($E57&gt;0),D57,D56)</f>
        <v>0</v>
      </c>
      <c r="E63" s="49">
        <f>MAX(C63:D63)</f>
        <v>0.42</v>
      </c>
      <c r="G63" s="1" t="str">
        <f>G57</f>
        <v>per 100 youth petitioned</v>
      </c>
      <c r="L63" s="58">
        <f>IF(($E57&gt;0),L57,L56)</f>
        <v>100</v>
      </c>
      <c r="M63" s="58"/>
    </row>
    <row r="64" spans="2:18" ht="15" hidden="1" customHeight="1">
      <c r="B64" s="49" t="str">
        <f>IF(($E58&gt;0),B58,B57)</f>
        <v>per 100 youth found delinquent</v>
      </c>
      <c r="C64" s="49">
        <f>IF(($E58&gt;0),C58,C57)</f>
        <v>0.38</v>
      </c>
      <c r="D64" s="49">
        <f>IF(($E58&gt;0),D58,D57)</f>
        <v>0</v>
      </c>
      <c r="E64" s="56">
        <f>MAX(C64:D64)</f>
        <v>0.38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13.356</v>
      </c>
      <c r="D66" s="56">
        <f>D60</f>
        <v>4.7E-2</v>
      </c>
      <c r="E66" s="56">
        <f>MAX(C66:D66)</f>
        <v>13.356</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v>
      </c>
      <c r="E67" s="49">
        <f>MAX(C67:D67)</f>
        <v>0.21</v>
      </c>
      <c r="G67" s="1" t="str">
        <f>G61</f>
        <v>per 100 arrests</v>
      </c>
      <c r="L67" s="58">
        <f>IF(($E61&gt;0),L61,L60)</f>
        <v>100</v>
      </c>
      <c r="M67" s="58">
        <f>IF((B67=G67),1,2)</f>
        <v>1</v>
      </c>
    </row>
    <row r="68" spans="2:13" ht="15" hidden="1" customHeight="1">
      <c r="B68" s="49" t="str">
        <f t="shared" si="12"/>
        <v>per 100 referrals</v>
      </c>
      <c r="C68" s="49">
        <f t="shared" si="12"/>
        <v>2.75</v>
      </c>
      <c r="D68" s="49">
        <f t="shared" si="12"/>
        <v>0</v>
      </c>
      <c r="E68" s="49">
        <f>MAX(C68:D68)</f>
        <v>2.75</v>
      </c>
      <c r="G68" s="1" t="str">
        <f>G62</f>
        <v>per 100 referrals</v>
      </c>
      <c r="L68" s="58">
        <f>IF(($E62&gt;0),L62,L61)</f>
        <v>100</v>
      </c>
      <c r="M68" s="58">
        <f>IF((B68=G68),1,2)</f>
        <v>1</v>
      </c>
    </row>
    <row r="69" spans="2:13" ht="15" hidden="1" customHeight="1">
      <c r="B69" s="49" t="str">
        <f>IF(($E63&gt;0),B63,B61)</f>
        <v>per 100 youth petitioned</v>
      </c>
      <c r="C69" s="49">
        <f>IF(($E63&gt;0),C63,C62)</f>
        <v>0.42</v>
      </c>
      <c r="D69" s="49">
        <f>IF(($E63&gt;0),D63,D62)</f>
        <v>0</v>
      </c>
      <c r="E69" s="49">
        <f>MAX(C69:D69)</f>
        <v>0.42</v>
      </c>
      <c r="G69" s="1" t="str">
        <f>G63</f>
        <v>per 100 youth petitioned</v>
      </c>
      <c r="L69" s="58">
        <f>IF(($E63&gt;0),L63,L62)</f>
        <v>100</v>
      </c>
      <c r="M69" s="58">
        <f>IF((B69=G69),1,2)</f>
        <v>1</v>
      </c>
    </row>
    <row r="70" spans="2:13" ht="15" hidden="1" customHeight="1">
      <c r="B70" s="49" t="str">
        <f>IF(($E64&gt;0),B64,B63)</f>
        <v>per 100 youth found delinquent</v>
      </c>
      <c r="C70" s="49">
        <f>IF(($E64&gt;0),C64,C63)</f>
        <v>0.38</v>
      </c>
      <c r="D70" s="49">
        <f>IF(($E64&gt;0),D64,D63)</f>
        <v>0</v>
      </c>
      <c r="E70" s="56">
        <f>MAX(C70:D70)</f>
        <v>0.38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U47JMPN4QEAR-1806752177-30487</_dlc_DocId>
    <_dlc_DocIdUrl xmlns="ac3811b5-0f3e-49e2-ba69-f2ffa0c782af">
      <Url>https://michiganphi.sharepoint.com/sites/CMDMC/_layouts/15/DocIdRedir.aspx?ID=U47JMPN4QEAR-1806752177-30487</Url>
      <Description>U47JMPN4QEAR-1806752177-30487</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053BE12-3867-4B07-919C-5D7EED9F3D71}">
  <ds:schemaRefs>
    <ds:schemaRef ds:uri="http://schemas.microsoft.com/sharepoint/v3/contenttype/forms"/>
  </ds:schemaRefs>
</ds:datastoreItem>
</file>

<file path=customXml/itemProps2.xml><?xml version="1.0" encoding="utf-8"?>
<ds:datastoreItem xmlns:ds="http://schemas.openxmlformats.org/officeDocument/2006/customXml" ds:itemID="{F9027DDC-C6C3-47A1-8C44-4924BADAEDAE}">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343E5CE7-D6E1-4563-9A6B-891975DB9054}"/>
</file>

<file path=customXml/itemProps4.xml><?xml version="1.0" encoding="utf-8"?>
<ds:datastoreItem xmlns:ds="http://schemas.openxmlformats.org/officeDocument/2006/customXml" ds:itemID="{19A5408C-D4EA-46BB-8E89-E3E9AC2993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2023-09-01T16:34:09Z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e873a14c-8546-4e1e-8813-448c722ee7e2</vt:lpwstr>
  </property>
</Properties>
</file>