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8856BDD2-5A23-47FE-8F63-CD19A49824E0}"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48" i="3"/>
  <c r="G54" i="3"/>
  <c r="G60" i="3" s="1"/>
  <c r="G66" i="3" s="1"/>
  <c r="L48" i="3"/>
  <c r="G51" i="3"/>
  <c r="G57" i="3" s="1"/>
  <c r="G63" i="3" s="1"/>
  <c r="G69" i="3" s="1"/>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9" i="8" s="1"/>
  <c r="G55" i="8" s="1"/>
  <c r="G61" i="8" s="1"/>
  <c r="G67" i="8" s="1"/>
  <c r="G44" i="8"/>
  <c r="G50" i="8" s="1"/>
  <c r="G56" i="8" s="1"/>
  <c r="G62" i="8" s="1"/>
  <c r="G68" i="8" s="1"/>
  <c r="G45" i="8"/>
  <c r="G46" i="8"/>
  <c r="G52" i="8" s="1"/>
  <c r="G58" i="8" s="1"/>
  <c r="G64" i="8" s="1"/>
  <c r="G70"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5"/>
  <c r="M66" i="5"/>
  <c r="F27" i="2"/>
  <c r="M66" i="2"/>
  <c r="M66" i="7"/>
  <c r="F27" i="7"/>
  <c r="F27" i="4"/>
  <c r="M66" i="4"/>
  <c r="F27" i="6"/>
  <c r="M66" i="6"/>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L52" i="7" s="1"/>
  <c r="E43" i="7"/>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1" i="2" l="1"/>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D64" i="5" l="1"/>
  <c r="E64" i="5" s="1"/>
  <c r="L64" i="3"/>
  <c r="L56" i="8"/>
  <c r="L64" i="5"/>
  <c r="B56" i="8"/>
  <c r="C57" i="8"/>
  <c r="C64" i="8" s="1"/>
  <c r="B57" i="8"/>
  <c r="B64" i="8" s="1"/>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C63" i="3"/>
  <c r="E57" i="8"/>
  <c r="L63" i="8" s="1"/>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6" l="1"/>
  <c r="C70" i="3"/>
  <c r="D14" i="3" s="1"/>
  <c r="C70" i="6"/>
  <c r="D13" i="6" s="1"/>
  <c r="L70" i="8"/>
  <c r="B70" i="3"/>
  <c r="M70" i="3" s="1"/>
  <c r="L69" i="7"/>
  <c r="C69" i="7"/>
  <c r="D12" i="7" s="1"/>
  <c r="D70" i="6"/>
  <c r="F13" i="6" s="1"/>
  <c r="E63" i="3"/>
  <c r="C69" i="3" s="1"/>
  <c r="D15" i="3" s="1"/>
  <c r="D63" i="8"/>
  <c r="B63" i="8"/>
  <c r="B70" i="8" s="1"/>
  <c r="M70" i="8" s="1"/>
  <c r="C63" i="8"/>
  <c r="C70"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Q14" i="6"/>
  <c r="M69" i="7"/>
  <c r="E64" i="2"/>
  <c r="L70" i="2" s="1"/>
  <c r="L67" i="6"/>
  <c r="F10" i="3"/>
  <c r="F11" i="3"/>
  <c r="D67" i="6"/>
  <c r="F8" i="6" s="1"/>
  <c r="Q13" i="3"/>
  <c r="M70" i="5"/>
  <c r="E70" i="5"/>
  <c r="Q13" i="5"/>
  <c r="D13" i="5"/>
  <c r="Q14" i="5"/>
  <c r="D14" i="5"/>
  <c r="O13" i="5"/>
  <c r="O14" i="5"/>
  <c r="F35" i="7"/>
  <c r="Q14" i="3"/>
  <c r="F34" i="5"/>
  <c r="B70" i="7"/>
  <c r="F33" i="7" s="1"/>
  <c r="D14"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3" i="6" l="1"/>
  <c r="Q13" i="8"/>
  <c r="B69" i="6"/>
  <c r="M69" i="6" s="1"/>
  <c r="F14" i="6"/>
  <c r="E70" i="6"/>
  <c r="O14" i="6"/>
  <c r="R14" i="6" s="1"/>
  <c r="S14" i="6" s="1"/>
  <c r="O13" i="6"/>
  <c r="T13" i="6" s="1"/>
  <c r="L69" i="3"/>
  <c r="Q12" i="3" s="1"/>
  <c r="D12" i="3"/>
  <c r="D69" i="3"/>
  <c r="E69" i="3" s="1"/>
  <c r="F34" i="3"/>
  <c r="F33" i="3"/>
  <c r="Q12" i="7"/>
  <c r="C69" i="6"/>
  <c r="D12" i="6" s="1"/>
  <c r="E69" i="7"/>
  <c r="D15" i="7"/>
  <c r="Q15" i="7"/>
  <c r="B69" i="3"/>
  <c r="M69" i="3" s="1"/>
  <c r="O13" i="3"/>
  <c r="T13" i="3" s="1"/>
  <c r="F14" i="3"/>
  <c r="E63" i="8"/>
  <c r="D69" i="8" s="1"/>
  <c r="F12" i="8" s="1"/>
  <c r="F12" i="7"/>
  <c r="O12" i="7"/>
  <c r="O15" i="7"/>
  <c r="E70" i="3"/>
  <c r="O14" i="3"/>
  <c r="T14" i="3" s="1"/>
  <c r="D69" i="6"/>
  <c r="F12" i="6" s="1"/>
  <c r="T10" i="3"/>
  <c r="K10" i="4"/>
  <c r="F8" i="7"/>
  <c r="T9" i="4"/>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4" i="4" l="1"/>
  <c r="J14" i="4" s="1"/>
  <c r="R13" i="8"/>
  <c r="S13" i="8" s="1"/>
  <c r="U13" i="8" s="1"/>
  <c r="J13" i="8" s="1"/>
  <c r="M13" i="8" s="1"/>
  <c r="G13" i="8" s="1"/>
  <c r="K14" i="16" s="1"/>
  <c r="F32" i="6"/>
  <c r="F35" i="6"/>
  <c r="F12" i="3"/>
  <c r="T14" i="6"/>
  <c r="F35" i="3"/>
  <c r="K14" i="6"/>
  <c r="R13" i="6"/>
  <c r="S13" i="6" s="1"/>
  <c r="U13" i="6" s="1"/>
  <c r="J13" i="6" s="1"/>
  <c r="M13" i="6" s="1"/>
  <c r="G13" i="6" s="1"/>
  <c r="M14" i="13" s="1"/>
  <c r="K13" i="6"/>
  <c r="U9" i="4"/>
  <c r="J9" i="4" s="1"/>
  <c r="M9" i="4" s="1"/>
  <c r="G9" i="4" s="1"/>
  <c r="G10" i="16" s="1"/>
  <c r="F15" i="8"/>
  <c r="K13" i="3"/>
  <c r="C69" i="8"/>
  <c r="E69" i="8" s="1"/>
  <c r="D15" i="6"/>
  <c r="F32" i="3"/>
  <c r="O15" i="3"/>
  <c r="R15" i="3" s="1"/>
  <c r="S15" i="3" s="1"/>
  <c r="U15" i="3" s="1"/>
  <c r="J15" i="3" s="1"/>
  <c r="M15" i="3" s="1"/>
  <c r="G15" i="3" s="1"/>
  <c r="I16" i="16" s="1"/>
  <c r="O12" i="3"/>
  <c r="R12" i="3" s="1"/>
  <c r="S12" i="3" s="1"/>
  <c r="U12" i="3" s="1"/>
  <c r="J12" i="3" s="1"/>
  <c r="F15" i="3"/>
  <c r="T15" i="7"/>
  <c r="R13" i="3"/>
  <c r="S13" i="3" s="1"/>
  <c r="U13" i="3" s="1"/>
  <c r="J13" i="3" s="1"/>
  <c r="M13" i="3" s="1"/>
  <c r="G13" i="3" s="1"/>
  <c r="R12" i="7"/>
  <c r="S12" i="7" s="1"/>
  <c r="R14" i="8"/>
  <c r="S14" i="8" s="1"/>
  <c r="T12" i="7"/>
  <c r="O12" i="6"/>
  <c r="R14" i="3"/>
  <c r="S14" i="3" s="1"/>
  <c r="U14" i="3" s="1"/>
  <c r="J14" i="3" s="1"/>
  <c r="M14" i="3" s="1"/>
  <c r="G14" i="3" s="1"/>
  <c r="I15" i="16" s="1"/>
  <c r="B69" i="8"/>
  <c r="M69" i="8" s="1"/>
  <c r="Q12" i="6"/>
  <c r="L69" i="8"/>
  <c r="O15" i="8" s="1"/>
  <c r="Q15" i="6"/>
  <c r="K15" i="7"/>
  <c r="U10" i="4"/>
  <c r="J10" i="4" s="1"/>
  <c r="M10" i="4" s="1"/>
  <c r="G10" i="4" s="1"/>
  <c r="G11" i="16" s="1"/>
  <c r="K12" i="7"/>
  <c r="T13" i="8"/>
  <c r="R15" i="7"/>
  <c r="S15" i="7" s="1"/>
  <c r="U15" i="7" s="1"/>
  <c r="J15" i="7" s="1"/>
  <c r="E69" i="6"/>
  <c r="K14" i="3"/>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Q14" i="13" l="1"/>
  <c r="L13" i="8"/>
  <c r="T14" i="16" s="1"/>
  <c r="I13" i="9"/>
  <c r="T15" i="6"/>
  <c r="L15" i="7"/>
  <c r="S16" i="16" s="1"/>
  <c r="U12" i="7"/>
  <c r="J12" i="7" s="1"/>
  <c r="M12" i="7" s="1"/>
  <c r="G13" i="9"/>
  <c r="L13" i="3"/>
  <c r="P14" i="16" s="1"/>
  <c r="L13" i="6"/>
  <c r="R14" i="16" s="1"/>
  <c r="D9" i="9"/>
  <c r="L9" i="4"/>
  <c r="O10" i="16" s="1"/>
  <c r="G10" i="13"/>
  <c r="K12" i="3"/>
  <c r="L12" i="3" s="1"/>
  <c r="P13" i="16" s="1"/>
  <c r="D15" i="8"/>
  <c r="D12" i="8"/>
  <c r="T12" i="3"/>
  <c r="T15" i="3"/>
  <c r="K12" i="6"/>
  <c r="K15" i="3"/>
  <c r="L15" i="3" s="1"/>
  <c r="P16" i="16" s="1"/>
  <c r="Q12" i="8"/>
  <c r="D10" i="9"/>
  <c r="G11" i="13"/>
  <c r="L10" i="4"/>
  <c r="O11" i="16" s="1"/>
  <c r="T12" i="6"/>
  <c r="M15" i="7"/>
  <c r="U14" i="8"/>
  <c r="J14" i="8" s="1"/>
  <c r="N30" i="8" s="1"/>
  <c r="O12" i="8"/>
  <c r="F32" i="8"/>
  <c r="F35" i="8"/>
  <c r="K15" i="6"/>
  <c r="L14" i="3"/>
  <c r="P15" i="16" s="1"/>
  <c r="I15" i="13"/>
  <c r="R12" i="6"/>
  <c r="S12" i="6" s="1"/>
  <c r="U12" i="6" s="1"/>
  <c r="J12" i="6" s="1"/>
  <c r="M12" i="6" s="1"/>
  <c r="G12" i="6" s="1"/>
  <c r="Q15" i="8"/>
  <c r="R15" i="8" s="1"/>
  <c r="S15" i="8" s="1"/>
  <c r="U15" i="8" s="1"/>
  <c r="J15" i="8" s="1"/>
  <c r="E14" i="9"/>
  <c r="N30" i="3"/>
  <c r="R15" i="6"/>
  <c r="S15" i="6" s="1"/>
  <c r="U15" i="6" s="1"/>
  <c r="J15" i="6" s="1"/>
  <c r="M15" i="6" s="1"/>
  <c r="G15" i="6" s="1"/>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W14" i="13"/>
  <c r="L13" i="7"/>
  <c r="S14" i="16" s="1"/>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Q15" i="9" l="1"/>
  <c r="R13" i="9"/>
  <c r="Z14" i="13"/>
  <c r="X14" i="13"/>
  <c r="N13" i="9"/>
  <c r="P13" i="9"/>
  <c r="L12" i="7"/>
  <c r="S13" i="16" s="1"/>
  <c r="V14" i="13"/>
  <c r="U10" i="13"/>
  <c r="M10" i="9"/>
  <c r="T12" i="8"/>
  <c r="T15" i="8"/>
  <c r="L12" i="6"/>
  <c r="R13" i="16" s="1"/>
  <c r="U11" i="13"/>
  <c r="V15" i="13"/>
  <c r="N14" i="9"/>
  <c r="L15" i="6"/>
  <c r="R16" i="16" s="1"/>
  <c r="U14" i="2"/>
  <c r="J14" i="2" s="1"/>
  <c r="M14" i="2" s="1"/>
  <c r="G14" i="2" s="1"/>
  <c r="E15" i="16" s="1"/>
  <c r="K12" i="8"/>
  <c r="R12" i="8"/>
  <c r="S12" i="8" s="1"/>
  <c r="M14" i="8"/>
  <c r="G14" i="8" s="1"/>
  <c r="K15" i="16" s="1"/>
  <c r="L14" i="8"/>
  <c r="T15" i="16" s="1"/>
  <c r="U11" i="7"/>
  <c r="J11" i="7" s="1"/>
  <c r="M11" i="7" s="1"/>
  <c r="K15" i="8"/>
  <c r="L15" i="8" s="1"/>
  <c r="T16" i="16" s="1"/>
  <c r="U10" i="7"/>
  <c r="J10" i="7" s="1"/>
  <c r="L10" i="7" s="1"/>
  <c r="S11"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Y13" i="13" l="1"/>
  <c r="Q12" i="9"/>
  <c r="U12" i="8"/>
  <c r="J12" i="8" s="1"/>
  <c r="M12" i="8" s="1"/>
  <c r="G12" i="8" s="1"/>
  <c r="K13" i="16" s="1"/>
  <c r="M10" i="7"/>
  <c r="P15" i="9"/>
  <c r="X13" i="13"/>
  <c r="X16" i="13"/>
  <c r="P12" i="9"/>
  <c r="L11" i="7"/>
  <c r="S12" i="16" s="1"/>
  <c r="N30" i="2"/>
  <c r="L14" i="2"/>
  <c r="N15" i="16" s="1"/>
  <c r="E15" i="13"/>
  <c r="C14" i="9"/>
  <c r="I14" i="9"/>
  <c r="R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3" i="13" l="1"/>
  <c r="L12" i="8"/>
  <c r="T13" i="16" s="1"/>
  <c r="I12" i="9"/>
  <c r="Y12" i="13"/>
  <c r="Q11" i="9"/>
  <c r="T15" i="13"/>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<sst xmlns="http://schemas.openxmlformats.org/spreadsheetml/2006/main" count="654" uniqueCount="141">
  <si>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</si>
  <si>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</si>
  <si>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</si>
  <si>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</si>
  <si>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</si>
  <si>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</si>
  <si>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</si>
  <si>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</si>
  <si>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</si>
  <si>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</si>
  <si>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</si>
  <si>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</si>
  <si>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</si>
  <si>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</si>
  <si>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</si>
  <si>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</si>
  <si>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</si>
  <si>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</si>
  <si>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</si>
  <si>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</si>
  <si>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</si>
  <si>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</si>
  <si>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</si>
  <si>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</si>
  <si>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</si>
  <si>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</si>
  <si>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</si>
  <si>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</si>
  <si>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</si>
  <si>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</si>
  <si>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</si>
  <si>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</si>
  <si>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</si>
  <si>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</si>
  <si>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</si>
  <si>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</si>
  <si>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</si>
  <si>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</si>
  <si>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</si>
  <si>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</si>
  <si>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</si>
  <si>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</si>
  <si>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</si>
  <si>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</si>
  <si>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</si>
  <si>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</si>
  <si>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</si>
  <si>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</si>
  <si>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</si>
  <si>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</si>
  <si>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</si>
  <si>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</si>
  <si>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</si>
  <si>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</si>
  <si>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</si>
  <si>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</si>
  <si>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</si>
  <si>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</si>
  <si>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</si>
  <si>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</si>
  <si>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</si>
  <si>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</si>
  <si>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</si>
  <si>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</si>
  <si>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</si>
  <si>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</si>
  <si>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</si>
  <si>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</si>
  <si>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</si>
  <si>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</si>
  <si>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</si>
  <si>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</si>
  <si>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</si>
  <si>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</si>
  <si>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</si>
  <si>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</si>
  <si>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</si>
  <si>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</si>
  <si>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</si>
  <si>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</si>
  <si>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</si>
  <si>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</si>
  <si>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</si>
  <si>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</si>
  <si>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</si>
  <si>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</si>
  <si>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</si>
  <si>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</si>
  <si>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</si>
  <si>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</si>
  <si>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</si>
  <si>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</si>
  <si>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</si>
  <si>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</si>
  <si>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</si>
  <si>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</si>
  <si>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</si>
  <si>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</si>
  <si>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</si>
  <si>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</si>
  <si>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</si>
  <si>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</si>
  <si>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</si>
  <si>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</si>
  <si>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</si>
  <si>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</si>
  <si>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</si>
  <si>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</si>
  <si>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</si>
  <si>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</si>
  <si>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</si>
  <si>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</si>
  <si>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</si>
  <si>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</si>
  <si>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</si>
  <si>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</si>
  <si>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</si>
  <si>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</si>
  <si>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</si>
  <si>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</si>
  <si>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</si>
  <si>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</si>
  <si>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</si>
  <si>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</si>
  <si>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</si>
  <si>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</si>
  <si>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</si>
  <si>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</si>
  <si>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</si>
  <si>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</si>
  <si>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</si>
  <si>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</si>
  <si>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</si>
  <si>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</si>
  <si>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</si>
  <si>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</si>
  <si>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</si>
  <si>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Monroe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</si>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</sst>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Monroe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N=35</c:v>
                </c:pt>
                <c:pt idx="3">
                  <c:v>Petitions, total N=51</c:v>
                </c:pt>
                <c:pt idx="4">
                  <c:v>Detentions, total N=14</c:v>
                </c:pt>
                <c:pt idx="5">
                  <c:v>Referrals, total N=187</c:v>
                </c:pt>
                <c:pt idx="6">
                  <c:v>Arrests, total N=9</c:v>
                </c:pt>
                <c:pt idx="7">
                  <c:v>Population, total N=13131</c:v>
                </c:pt>
              </c:strCache>
            </c:strRef>
          </c:cat>
          <c:val>
            <c:numRef>
              <c:f>'Stacked 100%'!$B$7:$B$14</c:f>
              <c:numCache>
                <c:formatCode>0%</c:formatCode>
                <c:ptCount val="8"/>
                <c:pt idx="0">
                  <c:v>0</c:v>
                </c:pt>
                <c:pt idx="1">
                  <c:v>0.25</c:v>
                </c:pt>
                <c:pt idx="2">
                  <c:v>0.25714285714285712</c:v>
                </c:pt>
                <c:pt idx="3">
                  <c:v>0.19607843137254902</c:v>
                </c:pt>
                <c:pt idx="4">
                  <c:v>0.21428571428571427</c:v>
                </c:pt>
                <c:pt idx="5">
                  <c:v>0.18716577540106952</c:v>
                </c:pt>
                <c:pt idx="6">
                  <c:v>0</c:v>
                </c:pt>
                <c:pt idx="7">
                  <c:v>4.4551062371487322E-2</c:v>
                </c:pt>
              </c:numCache>
            </c:numRef>
          </c:val>
          <c:extLst>
            <c:ext xmlns:c16="http://schemas.microsoft.com/office/drawing/2014/chart" uri="{C3380CC4-5D6E-409C-BE32-E72D297353CC}">
              <c16:uniqueId val="{00000000-CBF2-403A-89C6-0774F0A21B8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N=35</c:v>
                </c:pt>
                <c:pt idx="3">
                  <c:v>Petitions, total N=51</c:v>
                </c:pt>
                <c:pt idx="4">
                  <c:v>Detentions, total N=14</c:v>
                </c:pt>
                <c:pt idx="5">
                  <c:v>Referrals, total N=187</c:v>
                </c:pt>
                <c:pt idx="6">
                  <c:v>Arrests, total N=9</c:v>
                </c:pt>
                <c:pt idx="7">
                  <c:v>Population, total N=13131</c:v>
                </c:pt>
              </c:strCache>
            </c:strRef>
          </c:cat>
          <c:val>
            <c:numRef>
              <c:f>'Stacked 100%'!$C$7:$C$14</c:f>
              <c:numCache>
                <c:formatCode>0%</c:formatCode>
                <c:ptCount val="8"/>
                <c:pt idx="0">
                  <c:v>0</c:v>
                </c:pt>
                <c:pt idx="1">
                  <c:v>0</c:v>
                </c:pt>
                <c:pt idx="2">
                  <c:v>2.8571428571428571E-2</c:v>
                </c:pt>
                <c:pt idx="3">
                  <c:v>1.9607843137254902E-2</c:v>
                </c:pt>
                <c:pt idx="4">
                  <c:v>0</c:v>
                </c:pt>
                <c:pt idx="5">
                  <c:v>1.06951871657754E-2</c:v>
                </c:pt>
                <c:pt idx="6">
                  <c:v>0</c:v>
                </c:pt>
                <c:pt idx="7">
                  <c:v>5.8563704211408121E-2</c:v>
                </c:pt>
              </c:numCache>
            </c:numRef>
          </c:val>
          <c:extLst>
            <c:ext xmlns:c16="http://schemas.microsoft.com/office/drawing/2014/chart" uri="{C3380CC4-5D6E-409C-BE32-E72D297353CC}">
              <c16:uniqueId val="{00000001-CBF2-403A-89C6-0774F0A21B8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N=8</c:v>
                </c:pt>
                <c:pt idx="2">
                  <c:v>Delinquent Findings, total N=35</c:v>
                </c:pt>
                <c:pt idx="3">
                  <c:v>Petitions, total N=51</c:v>
                </c:pt>
                <c:pt idx="4">
                  <c:v>Detentions, total N=14</c:v>
                </c:pt>
                <c:pt idx="5">
                  <c:v>Referrals, total N=187</c:v>
                </c:pt>
                <c:pt idx="6">
                  <c:v>Arrests, total N=9</c:v>
                </c:pt>
                <c:pt idx="7">
                  <c:v>Population, total N=13131</c:v>
                </c:pt>
              </c:strCache>
            </c:strRef>
          </c:cat>
          <c:val>
            <c:numRef>
              <c:f>'Stacked 100%'!$H$7:$H$14</c:f>
              <c:numCache>
                <c:formatCode>0%</c:formatCode>
                <c:ptCount val="8"/>
                <c:pt idx="0">
                  <c:v>0</c:v>
                </c:pt>
                <c:pt idx="1">
                  <c:v>1.5625E-2</c:v>
                </c:pt>
                <c:pt idx="2">
                  <c:v>2.4489795918367346E-3</c:v>
                </c:pt>
                <c:pt idx="3">
                  <c:v>1.5378700499807767E-3</c:v>
                </c:pt>
                <c:pt idx="4">
                  <c:v>1.5306122448979591E-2</c:v>
                </c:pt>
                <c:pt idx="5">
                  <c:v>2.5737081414967539E-4</c:v>
                </c:pt>
                <c:pt idx="6">
                  <c:v>0</c:v>
                </c:pt>
                <c:pt idx="7">
                  <c:v>1.0381435937136078E-6</c:v>
                </c:pt>
              </c:numCache>
            </c:numRef>
          </c:val>
          <c:extLst>
            <c:ext xmlns:c16="http://schemas.microsoft.com/office/drawing/2014/chart" uri="{C3380CC4-5D6E-409C-BE32-E72D297353CC}">
              <c16:uniqueId val="{00000002-CBF2-403A-89C6-0774F0A21B8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N=35</c:v>
                </c:pt>
                <c:pt idx="3">
                  <c:v>Petitions, total N=51</c:v>
                </c:pt>
                <c:pt idx="4">
                  <c:v>Detentions, total N=14</c:v>
                </c:pt>
                <c:pt idx="5">
                  <c:v>Referrals, total N=187</c:v>
                </c:pt>
                <c:pt idx="6">
                  <c:v>Arrests, total N=9</c:v>
                </c:pt>
                <c:pt idx="7">
                  <c:v>Population, total N=13131</c:v>
                </c:pt>
              </c:strCache>
            </c:strRef>
          </c:cat>
          <c:val>
            <c:numRef>
              <c:f>'Stacked 100%'!$I$7:$I$14</c:f>
              <c:numCache>
                <c:formatCode>0%</c:formatCode>
                <c:ptCount val="8"/>
                <c:pt idx="0">
                  <c:v>0</c:v>
                </c:pt>
                <c:pt idx="1">
                  <c:v>0.625</c:v>
                </c:pt>
                <c:pt idx="2">
                  <c:v>0.62857142857142856</c:v>
                </c:pt>
                <c:pt idx="3">
                  <c:v>0.70588235294117652</c:v>
                </c:pt>
                <c:pt idx="4">
                  <c:v>0.5714285714285714</c:v>
                </c:pt>
                <c:pt idx="5">
                  <c:v>0.75401069518716579</c:v>
                </c:pt>
                <c:pt idx="6">
                  <c:v>0.88888888888888884</c:v>
                </c:pt>
                <c:pt idx="7">
                  <c:v>0.88325336988805114</c:v>
                </c:pt>
              </c:numCache>
            </c:numRef>
          </c:val>
          <c:extLst>
            <c:ext xmlns:c16="http://schemas.microsoft.com/office/drawing/2014/chart" uri="{C3380CC4-5D6E-409C-BE32-E72D297353CC}">
              <c16:uniqueId val="{00000003-CBF2-403A-89C6-0774F0A21B8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N=8</c:v>
                </c:pt>
                <c:pt idx="2">
                  <c:v>Delinquent Findings, total N=35</c:v>
                </c:pt>
                <c:pt idx="3">
                  <c:v>Petitions, total N=51</c:v>
                </c:pt>
                <c:pt idx="4">
                  <c:v>Detentions, total N=14</c:v>
                </c:pt>
                <c:pt idx="5">
                  <c:v>Referrals, total N=187</c:v>
                </c:pt>
                <c:pt idx="6">
                  <c:v>Arrests, total N=9</c:v>
                </c:pt>
                <c:pt idx="7">
                  <c:v>Population, total N=13131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BF2-403A-89C6-0774F0A21B8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13131</v>
      </c>
      <c r="C6" s="11">
        <v>11598</v>
      </c>
      <c r="D6" s="11">
        <v>585</v>
      </c>
      <c r="E6" s="11">
        <v>769</v>
      </c>
      <c r="F6" s="11">
        <v>139</v>
      </c>
      <c r="G6" s="11"/>
      <c r="H6" s="11">
        <v>40</v>
      </c>
      <c r="I6" s="11"/>
      <c r="J6" s="91">
        <f>SUM(D6:I6)</f>
        <v>1533</v>
      </c>
      <c r="K6" s="92"/>
    </row>
    <row r="7" spans="1:11" ht="15.75" customHeight="1" thickBot="1" x14ac:dyDescent="0.25">
      <c r="A7" s="10" t="s">
        <v>8</v>
      </c>
      <c r="B7" s="11">
        <f t="shared" ref="B7:B15" si="0">SUM(C7:I7)+K7</f>
        <v>9</v>
      </c>
      <c r="C7" s="11">
        <v>8</v>
      </c>
      <c r="D7" s="11"/>
      <c r="E7" s="11"/>
      <c r="F7" s="11"/>
      <c r="G7" s="11"/>
      <c r="H7" s="11"/>
      <c r="I7" s="11"/>
      <c r="J7" s="91">
        <f t="shared" ref="J7:J15" si="1">SUM(D7:I7)</f>
        <v>0</v>
      </c>
      <c r="K7" s="92">
        <v>1</v>
      </c>
    </row>
    <row r="8" spans="1:11" ht="15.75" customHeight="1" thickBot="1" x14ac:dyDescent="0.25">
      <c r="A8" s="10" t="s">
        <v>9</v>
      </c>
      <c r="B8" s="11">
        <f t="shared" si="0"/>
        <v>187</v>
      </c>
      <c r="C8" s="11">
        <v>141</v>
      </c>
      <c r="D8" s="11">
        <v>35</v>
      </c>
      <c r="E8" s="11">
        <v>2</v>
      </c>
      <c r="F8" s="11"/>
      <c r="G8" s="11"/>
      <c r="H8" s="11"/>
      <c r="I8" s="11">
        <v>9</v>
      </c>
      <c r="J8" s="91">
        <f t="shared" si="1"/>
        <v>46</v>
      </c>
      <c r="K8" s="92"/>
    </row>
    <row r="9" spans="1:11" ht="15.75" customHeight="1" thickBot="1" x14ac:dyDescent="0.25">
      <c r="A9" s="10" t="s">
        <v>10</v>
      </c>
      <c r="B9" s="11">
        <f t="shared" si="0"/>
        <v>112</v>
      </c>
      <c r="C9" s="11">
        <v>88</v>
      </c>
      <c r="D9" s="11">
        <v>20</v>
      </c>
      <c r="E9" s="11"/>
      <c r="F9" s="11"/>
      <c r="G9" s="11"/>
      <c r="H9" s="11"/>
      <c r="I9" s="11">
        <v>4</v>
      </c>
      <c r="J9" s="91">
        <f t="shared" si="1"/>
        <v>24</v>
      </c>
      <c r="K9" s="92"/>
    </row>
    <row r="10" spans="1:11" ht="15.75" customHeight="1" thickBot="1" x14ac:dyDescent="0.25">
      <c r="A10" s="10" t="s">
        <v>11</v>
      </c>
      <c r="B10" s="11">
        <f t="shared" si="0"/>
        <v>14</v>
      </c>
      <c r="C10" s="11">
        <v>8</v>
      </c>
      <c r="D10" s="11">
        <v>3</v>
      </c>
      <c r="E10" s="11"/>
      <c r="F10" s="11"/>
      <c r="G10" s="11"/>
      <c r="H10" s="11"/>
      <c r="I10" s="11">
        <v>3</v>
      </c>
      <c r="J10" s="91">
        <f t="shared" si="1"/>
        <v>6</v>
      </c>
      <c r="K10" s="92"/>
    </row>
    <row r="11" spans="1:11" ht="15.75" customHeight="1" thickBot="1" x14ac:dyDescent="0.25">
      <c r="A11" s="10" t="s">
        <v>12</v>
      </c>
      <c r="B11" s="11">
        <f t="shared" si="0"/>
        <v>51</v>
      </c>
      <c r="C11" s="11">
        <v>36</v>
      </c>
      <c r="D11" s="11">
        <v>10</v>
      </c>
      <c r="E11" s="11">
        <v>1</v>
      </c>
      <c r="F11" s="11"/>
      <c r="G11" s="11"/>
      <c r="H11" s="11"/>
      <c r="I11" s="11">
        <v>4</v>
      </c>
      <c r="J11" s="91">
        <f t="shared" si="1"/>
        <v>15</v>
      </c>
      <c r="K11" s="92"/>
    </row>
    <row r="12" spans="1:11" ht="15.75" customHeight="1" thickBot="1" x14ac:dyDescent="0.25">
      <c r="A12" s="10" t="s">
        <v>13</v>
      </c>
      <c r="B12" s="11">
        <f t="shared" si="0"/>
        <v>35</v>
      </c>
      <c r="C12" s="11">
        <v>22</v>
      </c>
      <c r="D12" s="11">
        <v>9</v>
      </c>
      <c r="E12" s="11">
        <v>1</v>
      </c>
      <c r="F12" s="11"/>
      <c r="G12" s="11"/>
      <c r="H12" s="11"/>
      <c r="I12" s="11">
        <v>3</v>
      </c>
      <c r="J12" s="91">
        <f t="shared" si="1"/>
        <v>13</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8</v>
      </c>
      <c r="C14" s="11">
        <v>5</v>
      </c>
      <c r="D14" s="11">
        <v>2</v>
      </c>
      <c r="E14" s="11"/>
      <c r="F14" s="11"/>
      <c r="G14" s="11"/>
      <c r="H14" s="11"/>
      <c r="I14" s="11">
        <v>1</v>
      </c>
      <c r="J14" s="91">
        <f t="shared" si="1"/>
        <v>3</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Monroe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11598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0.68977409898258313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11590</v>
      </c>
      <c r="R7" s="42">
        <f t="shared" ref="R7:R15" si="5">SUM(N7:Q7)</f>
        <v>11598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141</v>
      </c>
      <c r="D8" s="34">
        <f>IF((AND(C67&gt;0,C8&gt;0)),(C8/C67),0)</f>
        <v>1762.5</v>
      </c>
      <c r="E8" s="33">
        <f>'Data Entry'!I8</f>
        <v>9</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9</v>
      </c>
      <c r="O8" s="42">
        <f>((D67*L67)-E8)+0.05</f>
        <v>-8.9499999999999993</v>
      </c>
      <c r="P8" s="42">
        <f t="shared" si="4"/>
        <v>141</v>
      </c>
      <c r="Q8" s="42">
        <f>(C$67*L67)-C8</f>
        <v>-133</v>
      </c>
      <c r="R8" s="42">
        <f t="shared" si="5"/>
        <v>8.0500000000000114</v>
      </c>
      <c r="S8" s="30">
        <f t="shared" si="6"/>
        <v>33958.945124999853</v>
      </c>
      <c r="T8" s="30">
        <f t="shared" si="7"/>
        <v>-8517.0000000001201</v>
      </c>
      <c r="U8" s="31">
        <f t="shared" si="8"/>
        <v>-3.987195623458891</v>
      </c>
    </row>
    <row r="9" spans="2:21" ht="18" customHeight="1" x14ac:dyDescent="0.25">
      <c r="B9" s="32" t="str">
        <f>'Data Entry'!A9</f>
        <v xml:space="preserve">4. Cases Diverted </v>
      </c>
      <c r="C9" s="33">
        <f>'Data Entry'!C9</f>
        <v>88</v>
      </c>
      <c r="D9" s="34">
        <f>IF((AND(C68&gt;0,C9&gt;0)),((C9/C68)),0)</f>
        <v>62.411347517730498</v>
      </c>
      <c r="E9" s="33">
        <f>'Data Entry'!I9</f>
        <v>4</v>
      </c>
      <c r="F9" s="34">
        <f>IF((AND($E$9&gt;0,$D$68&gt;0)),(($E$9/$D$68)),0)</f>
        <v>44.444444444444443</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4</v>
      </c>
      <c r="O9" s="42">
        <f>(D$68*L68)-E9</f>
        <v>5</v>
      </c>
      <c r="P9" s="42">
        <f t="shared" si="4"/>
        <v>88</v>
      </c>
      <c r="Q9" s="42">
        <f>(C$68*L68)-C9</f>
        <v>53</v>
      </c>
      <c r="R9" s="42">
        <f t="shared" si="5"/>
        <v>150</v>
      </c>
      <c r="S9" s="30">
        <f t="shared" si="6"/>
        <v>7797600</v>
      </c>
      <c r="T9" s="30">
        <f t="shared" si="7"/>
        <v>6771384</v>
      </c>
      <c r="U9" s="31">
        <f t="shared" si="8"/>
        <v>1.1515518836326517</v>
      </c>
    </row>
    <row r="10" spans="2:21" ht="18" customHeight="1" x14ac:dyDescent="0.25">
      <c r="B10" s="32" t="str">
        <f>'Data Entry'!A10</f>
        <v>5. Cases Involving Secure Detention</v>
      </c>
      <c r="C10" s="33">
        <f>'Data Entry'!C10</f>
        <v>8</v>
      </c>
      <c r="D10" s="34">
        <f>IF(((AND(C68&gt;0,C10&gt;0))),(C10/(C68)),0)</f>
        <v>5.6737588652482271</v>
      </c>
      <c r="E10" s="33">
        <f>'Data Entry'!I10</f>
        <v>3</v>
      </c>
      <c r="F10" s="34">
        <f>IF(((AND($E$10&gt;0,$D$68&gt;0))),($E$10/($D$68)),0)</f>
        <v>33.333333333333336</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3</v>
      </c>
      <c r="O10" s="42">
        <f>(D$68*L68)-E10</f>
        <v>6</v>
      </c>
      <c r="P10" s="42">
        <f t="shared" si="4"/>
        <v>8</v>
      </c>
      <c r="Q10" s="42">
        <f>(C$68*L68)-C10</f>
        <v>133</v>
      </c>
      <c r="R10" s="42">
        <f t="shared" si="5"/>
        <v>150</v>
      </c>
      <c r="S10" s="30">
        <f t="shared" si="6"/>
        <v>18480150</v>
      </c>
      <c r="T10" s="30">
        <f t="shared" si="7"/>
        <v>1940301</v>
      </c>
      <c r="U10" s="31">
        <f t="shared" si="8"/>
        <v>9.5243727648442178</v>
      </c>
    </row>
    <row r="11" spans="2:21" ht="18" customHeight="1" x14ac:dyDescent="0.25">
      <c r="B11" s="32" t="str">
        <f>'Data Entry'!A11</f>
        <v>6. Cases Petitioned (Charge Filed)</v>
      </c>
      <c r="C11" s="33">
        <f>'Data Entry'!C11</f>
        <v>36</v>
      </c>
      <c r="D11" s="34">
        <f>IF(((AND(C68&gt;0,C11&gt;0))),(C11/(C68)),0)</f>
        <v>25.531914893617024</v>
      </c>
      <c r="E11" s="33">
        <f>'Data Entry'!I11</f>
        <v>4</v>
      </c>
      <c r="F11" s="34">
        <f>IF(((AND($E$11&gt;0,$D$68&gt;0))),($E$11/($D$68)),0)</f>
        <v>44.444444444444443</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4</v>
      </c>
      <c r="O11" s="42">
        <f>(D$68*L68)-E11</f>
        <v>5</v>
      </c>
      <c r="P11" s="42">
        <f t="shared" si="4"/>
        <v>36</v>
      </c>
      <c r="Q11" s="42">
        <f>(C$68*L68)-C11</f>
        <v>105</v>
      </c>
      <c r="R11" s="42">
        <f t="shared" si="5"/>
        <v>150</v>
      </c>
      <c r="S11" s="30">
        <f t="shared" si="6"/>
        <v>8640000</v>
      </c>
      <c r="T11" s="30">
        <f t="shared" si="7"/>
        <v>5583600</v>
      </c>
      <c r="U11" s="31">
        <f t="shared" si="8"/>
        <v>1.5473887814313345</v>
      </c>
    </row>
    <row r="12" spans="2:21" ht="18" customHeight="1" x14ac:dyDescent="0.25">
      <c r="B12" s="32" t="str">
        <f>'Data Entry'!A12</f>
        <v>7. Cases Resulting in Delinquent Findings</v>
      </c>
      <c r="C12" s="33">
        <f>'Data Entry'!C12</f>
        <v>22</v>
      </c>
      <c r="D12" s="34">
        <f>IF(((AND(C69&gt;0,C12&gt;0))),(C12/(C69)),0)</f>
        <v>61.111111111111114</v>
      </c>
      <c r="E12" s="33">
        <f>'Data Entry'!I12</f>
        <v>3</v>
      </c>
      <c r="F12" s="34">
        <f>IF(((AND($D$69&gt;0,$E$12&gt;0))),(E12/(D69)),0)</f>
        <v>75</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3</v>
      </c>
      <c r="O12" s="42">
        <f>(D69*L69)-E12</f>
        <v>1</v>
      </c>
      <c r="P12" s="42">
        <f t="shared" si="4"/>
        <v>22</v>
      </c>
      <c r="Q12" s="42">
        <f>(C69*L69)-C12</f>
        <v>14</v>
      </c>
      <c r="R12" s="42">
        <f t="shared" si="5"/>
        <v>40</v>
      </c>
      <c r="S12" s="30">
        <f t="shared" si="6"/>
        <v>16000</v>
      </c>
      <c r="T12" s="30">
        <f t="shared" si="7"/>
        <v>54000</v>
      </c>
      <c r="U12" s="31">
        <f t="shared" si="8"/>
        <v>0.29629629629629628</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22</v>
      </c>
      <c r="R13" s="42">
        <f t="shared" si="5"/>
        <v>25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22.727272727272727</v>
      </c>
      <c r="E14" s="33">
        <f>'Data Entry'!I14</f>
        <v>1</v>
      </c>
      <c r="F14" s="34">
        <f>IF(((AND($D$70&gt;0,$E$14&gt;0))), (($E$14/($D$70))),0)</f>
        <v>33.333333333333336</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1</v>
      </c>
      <c r="O14" s="42">
        <f>(D70*L70)-E14</f>
        <v>2</v>
      </c>
      <c r="P14" s="42">
        <f t="shared" si="4"/>
        <v>5</v>
      </c>
      <c r="Q14" s="42">
        <f>(C70*L70)-C14</f>
        <v>17</v>
      </c>
      <c r="R14" s="42">
        <f t="shared" si="5"/>
        <v>25</v>
      </c>
      <c r="S14" s="30">
        <f t="shared" si="6"/>
        <v>1225</v>
      </c>
      <c r="T14" s="30">
        <f t="shared" si="7"/>
        <v>7524</v>
      </c>
      <c r="U14" s="31">
        <f t="shared" si="8"/>
        <v>0.16281233386496544</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36</v>
      </c>
      <c r="R15" s="42">
        <f t="shared" si="5"/>
        <v>40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11.598000000000001</v>
      </c>
      <c r="D42" s="56">
        <f>E6/1000</f>
        <v>0</v>
      </c>
      <c r="E42" s="56">
        <f>MAX(C42:D42)</f>
        <v>11.598000000000001</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1.41</v>
      </c>
      <c r="D44" s="56">
        <f>E8/100</f>
        <v>0.09</v>
      </c>
      <c r="E44" s="56">
        <f>MAX(C44:D44,0)</f>
        <v>1.41</v>
      </c>
      <c r="G44" s="1" t="str">
        <f>B44</f>
        <v>per 100 referrals</v>
      </c>
      <c r="L44" s="57">
        <v>100</v>
      </c>
      <c r="M44" s="57"/>
      <c r="R44" s="49"/>
    </row>
    <row r="45" spans="2:18" ht="15" hidden="1" customHeight="1" x14ac:dyDescent="0.25">
      <c r="B45" s="49" t="s">
        <v>89</v>
      </c>
      <c r="C45" s="49">
        <f>C11/100</f>
        <v>0.36</v>
      </c>
      <c r="D45" s="49">
        <f>E11/100</f>
        <v>0.04</v>
      </c>
      <c r="E45" s="56">
        <f>MAX(C45:D45,0)</f>
        <v>0.36</v>
      </c>
      <c r="G45" s="1" t="str">
        <f>B45</f>
        <v>per 100 youth petitioned</v>
      </c>
      <c r="L45" s="57">
        <v>100</v>
      </c>
      <c r="M45" s="57"/>
      <c r="R45" s="49"/>
    </row>
    <row r="46" spans="2:18" ht="15" hidden="1" customHeight="1" x14ac:dyDescent="0.25">
      <c r="B46" s="49" t="s">
        <v>90</v>
      </c>
      <c r="C46" s="49">
        <f>C12/100</f>
        <v>0.22</v>
      </c>
      <c r="D46" s="49">
        <f>E12/100</f>
        <v>0.03</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11.598000000000001</v>
      </c>
      <c r="D48" s="56">
        <f>D42</f>
        <v>0</v>
      </c>
      <c r="E48" s="56">
        <f>MAX(C48:D48)</f>
        <v>11.598000000000001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1.41</v>
      </c>
      <c r="D50" s="49">
        <f t="shared" si="9"/>
        <v>0.09</v>
      </c>
      <c r="E50" s="49">
        <f>MAX(C50:D50)</f>
        <v>1.41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0.36</v>
      </c>
      <c r="D51" s="49">
        <f>IF(($E45&gt;0),D45,D44)</f>
        <v>0.04</v>
      </c>
      <c r="E51" s="49">
        <f>MAX(C51:D51)</f>
        <v>0.36</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0.03</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11.598000000000001</v>
      </c>
      <c r="D54" s="56">
        <f>D48</f>
        <v>0</v>
      </c>
      <c r="E54" s="56">
        <f>MAX(C54:D54)</f>
        <v>11.598000000000001</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referrals</v>
      </c>
      <c r="C56" s="49">
        <f t="shared" si="10"/>
        <v>1.41</v>
      </c>
      <c r="D56" s="49">
        <f t="shared" si="10"/>
        <v>0.09</v>
      </c>
      <c r="E56" s="49">
        <f>MAX(C56:D56)</f>
        <v>1.41</v>
      </c>
      <c r="G56" s="1" t="str">
        <f>G50</f>
        <v>per 100 referrals</v>
      </c>
      <c r="L56" s="58">
        <f>IF(($E50&gt;0),L50,L49)</f>
        <v>100</v>
      </c>
      <c r="M56" s="58"/>
    </row>
    <row r="57" spans="2:18" ht="15" hidden="1" customHeight="1" x14ac:dyDescent="0.25">
      <c r="B57" s="49" t="str">
        <f>IF(($E51&gt;0),B51,B49)</f>
        <v>per 100 youth petitioned</v>
      </c>
      <c r="C57" s="49">
        <f>IF(($E51&gt;0),C51,C50)</f>
        <v>0.36</v>
      </c>
      <c r="D57" s="49">
        <f>IF(($E51&gt;0),D51,D50)</f>
        <v>0.04</v>
      </c>
      <c r="E57" s="49">
        <f>MAX(C57:D57)</f>
        <v>0.36</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0.03</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11.598000000000001</v>
      </c>
      <c r="D60" s="56">
        <f>D54</f>
        <v>0</v>
      </c>
      <c r="E60" s="56">
        <f>MAX(C60:D60)</f>
        <v>11.598000000000001</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referrals</v>
      </c>
      <c r="C62" s="49">
        <f t="shared" si="11"/>
        <v>1.41</v>
      </c>
      <c r="D62" s="49">
        <f t="shared" si="11"/>
        <v>0.09</v>
      </c>
      <c r="E62" s="49">
        <f>MAX(C62:D62)</f>
        <v>1.41</v>
      </c>
      <c r="G62" s="1" t="str">
        <f>G56</f>
        <v>per 100 referrals</v>
      </c>
      <c r="L62" s="58">
        <f>IF(($E56&gt;0),L56,L55)</f>
        <v>100</v>
      </c>
      <c r="M62" s="58"/>
    </row>
    <row r="63" spans="2:18" ht="15" hidden="1" customHeight="1" x14ac:dyDescent="0.25">
      <c r="B63" s="49" t="str">
        <f>IF(($E57&gt;0),B57,B55)</f>
        <v>per 100 youth petitioned</v>
      </c>
      <c r="C63" s="49">
        <f>IF(($E57&gt;0),C57,C56)</f>
        <v>0.36</v>
      </c>
      <c r="D63" s="49">
        <f>IF(($E57&gt;0),D57,D56)</f>
        <v>0.04</v>
      </c>
      <c r="E63" s="49">
        <f>MAX(C63:D63)</f>
        <v>0.36</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0.03</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11.598000000000001</v>
      </c>
      <c r="D66" s="56">
        <f>D60</f>
        <v>0</v>
      </c>
      <c r="E66" s="56">
        <f>MAX(C66:D66)</f>
        <v>11.598000000000001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referrals</v>
      </c>
      <c r="C68" s="49">
        <f t="shared" si="12"/>
        <v>1.41</v>
      </c>
      <c r="D68" s="49">
        <f t="shared" si="12"/>
        <v>0.09</v>
      </c>
      <c r="E68" s="49">
        <f>MAX(C68:D68)</f>
        <v>1.41</v>
      </c>
      <c r="G68" s="1" t="str">
        <f>G62</f>
        <v>per 100 referrals</v>
      </c>
      <c r="L68" s="58">
        <f>IF(($E62&gt;0),L62,L61)</f>
        <v>100</v>
      </c>
      <c r="M68" s="58">
        <f>IF((B68=G68),1,2)</f>
        <v>1</v>
      </c>
    </row>
    <row r="69" spans="2:13" ht="15" hidden="1" customHeight="1" x14ac:dyDescent="0.25">
      <c r="B69" s="49" t="str">
        <f>IF(($E63&gt;0),B63,B61)</f>
        <v>per 100 youth petitioned</v>
      </c>
      <c r="C69" s="49">
        <f>IF(($E63&gt;0),C63,C62)</f>
        <v>0.36</v>
      </c>
      <c r="D69" s="49">
        <f>IF(($E63&gt;0),D63,D62)</f>
        <v>0.04</v>
      </c>
      <c r="E69" s="49">
        <f>MAX(C69:D69)</f>
        <v>0.36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0.03</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Monroe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11598</v>
      </c>
      <c r="D6" s="34"/>
      <c r="E6" s="33">
        <f>'Data Entry'!J6</f>
        <v>1533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0.68977409898258313</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1533</v>
      </c>
      <c r="P7" s="42">
        <f t="shared" ref="P7:P15" si="4">C7</f>
        <v>8</v>
      </c>
      <c r="Q7" s="42">
        <f>C6-C7</f>
        <v>11590</v>
      </c>
      <c r="R7" s="42">
        <f t="shared" ref="R7:R15" si="5">SUM(N7:Q7)</f>
        <v>13131</v>
      </c>
      <c r="S7" s="30">
        <f t="shared" ref="S7:S15" si="6">R7*((((N7*Q7)-(O7*P7))^2))</f>
        <v>1974977194176</v>
      </c>
      <c r="T7" s="30">
        <f t="shared" ref="T7:T15" si="7">(N7+O7)*(P7+Q7)*(N7+P7)*(O7+Q7)</f>
        <v>1866587594256</v>
      </c>
      <c r="U7" s="31">
        <f t="shared" ref="U7:U15" si="8">IF((S7&gt;0),S7/T7,"- -")</f>
        <v>1.0580683168866782</v>
      </c>
    </row>
    <row r="8" spans="2:21" ht="18" customHeight="1" x14ac:dyDescent="0.25">
      <c r="B8" s="32" t="str">
        <f>'Data Entry'!A8</f>
        <v>3. Refer to Juvenile Court</v>
      </c>
      <c r="C8" s="33">
        <f>'Data Entry'!C8</f>
        <v>141</v>
      </c>
      <c r="D8" s="34">
        <f>IF((AND(C67&gt;0,C8&gt;0)),(C8/C67),0)</f>
        <v>1762.5</v>
      </c>
      <c r="E8" s="33">
        <f>'Data Entry'!J8</f>
        <v>46</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46</v>
      </c>
      <c r="O8" s="42">
        <f>((D67*L67)-E8)+0.05</f>
        <v>-45.95</v>
      </c>
      <c r="P8" s="42">
        <f t="shared" si="4"/>
        <v>141</v>
      </c>
      <c r="Q8" s="42">
        <f>(C$67*L67)-C8</f>
        <v>-133</v>
      </c>
      <c r="R8" s="42">
        <f t="shared" si="5"/>
        <v>8.0500000000000114</v>
      </c>
      <c r="S8" s="30">
        <f t="shared" si="6"/>
        <v>1048793.4651250057</v>
      </c>
      <c r="T8" s="30">
        <f t="shared" si="7"/>
        <v>-13385.459999999239</v>
      </c>
      <c r="U8" s="31">
        <f t="shared" si="8"/>
        <v>-78.353188095520466</v>
      </c>
    </row>
    <row r="9" spans="2:21" ht="18" customHeight="1" x14ac:dyDescent="0.25">
      <c r="B9" s="32" t="str">
        <f>'Data Entry'!A9</f>
        <v xml:space="preserve">4. Cases Diverted </v>
      </c>
      <c r="C9" s="33">
        <f>'Data Entry'!C9</f>
        <v>88</v>
      </c>
      <c r="D9" s="34">
        <f>IF((AND(C68&gt;0,C9&gt;0)),((C9/C68)),0)</f>
        <v>62.411347517730498</v>
      </c>
      <c r="E9" s="33">
        <f>'Data Entry'!J9</f>
        <v>24</v>
      </c>
      <c r="F9" s="34">
        <f>IF((AND($E$9&gt;0,$D$68&gt;0)),(($E$9/$D$68)),0)</f>
        <v>52.173913043478258</v>
      </c>
      <c r="G9" s="39">
        <f t="shared" si="0"/>
        <v>0.83596837944664026</v>
      </c>
      <c r="H9" s="40"/>
      <c r="I9" s="41"/>
      <c r="J9" s="40">
        <f>IF((ABS($U9)&gt;Defaults!D$7),1,2)</f>
        <v>2</v>
      </c>
      <c r="K9" s="39">
        <f>IF((AND(N9&gt;Defaults!B$12,(N9+O9)&gt;Defaults!B$13, P9 &gt; Defaults!B$12, (P9+Q9) &gt; Defaults!B$13)),1,20)</f>
        <v>1</v>
      </c>
      <c r="L9" s="1">
        <f t="shared" si="1"/>
        <v>2</v>
      </c>
      <c r="M9" s="1" t="b">
        <f t="shared" si="2"/>
        <v>1</v>
      </c>
      <c r="N9" s="42">
        <f t="shared" si="3"/>
        <v>24</v>
      </c>
      <c r="O9" s="42">
        <f>(D$68*L68)-E9</f>
        <v>22</v>
      </c>
      <c r="P9" s="42">
        <f t="shared" si="4"/>
        <v>88</v>
      </c>
      <c r="Q9" s="42">
        <f>(C$68*L68)-C9</f>
        <v>53</v>
      </c>
      <c r="R9" s="42">
        <f t="shared" si="5"/>
        <v>187</v>
      </c>
      <c r="S9" s="30">
        <f t="shared" si="6"/>
        <v>82447552</v>
      </c>
      <c r="T9" s="30">
        <f t="shared" si="7"/>
        <v>54482400</v>
      </c>
      <c r="U9" s="31">
        <f t="shared" si="8"/>
        <v>1.513287814046371</v>
      </c>
    </row>
    <row r="10" spans="2:21" ht="18" customHeight="1" x14ac:dyDescent="0.25">
      <c r="B10" s="32" t="str">
        <f>'Data Entry'!A10</f>
        <v>5. Cases Involving Secure Detention</v>
      </c>
      <c r="C10" s="33">
        <f>'Data Entry'!C10</f>
        <v>8</v>
      </c>
      <c r="D10" s="34">
        <f>IF(((AND(C68&gt;0,C10&gt;0))),(C10/(C68)),0)</f>
        <v>5.6737588652482271</v>
      </c>
      <c r="E10" s="33">
        <f>'Data Entry'!J10</f>
        <v>6</v>
      </c>
      <c r="F10" s="34">
        <f>IF(((AND($E$10&gt;0,$D$68&gt;0))),($E$10/($D$68)),0)</f>
        <v>13.043478260869565</v>
      </c>
      <c r="G10" s="39">
        <f t="shared" si="0"/>
        <v>2.2989130434782608</v>
      </c>
      <c r="H10" s="40"/>
      <c r="I10" s="41"/>
      <c r="J10" s="40">
        <f>IF((ABS($U10)&gt;Defaults!D$7),1,2)</f>
        <v>2</v>
      </c>
      <c r="K10" s="39">
        <f>IF((AND(N10&gt;Defaults!B$12,(N10+O10)&gt;Defaults!B$13, P10 &gt; Defaults!B$12, (P10+Q10) &gt; Defaults!B$13)),1,20)</f>
        <v>1</v>
      </c>
      <c r="L10" s="1">
        <f t="shared" si="1"/>
        <v>2</v>
      </c>
      <c r="M10" s="1" t="b">
        <f t="shared" si="2"/>
        <v>1</v>
      </c>
      <c r="N10" s="42">
        <f t="shared" si="3"/>
        <v>6</v>
      </c>
      <c r="O10" s="42">
        <f>(D$68*L68)-E10</f>
        <v>40</v>
      </c>
      <c r="P10" s="42">
        <f t="shared" si="4"/>
        <v>8</v>
      </c>
      <c r="Q10" s="42">
        <f>(C$68*L68)-C10</f>
        <v>133</v>
      </c>
      <c r="R10" s="42">
        <f t="shared" si="5"/>
        <v>187</v>
      </c>
      <c r="S10" s="30">
        <f t="shared" si="6"/>
        <v>42726508</v>
      </c>
      <c r="T10" s="30">
        <f t="shared" si="7"/>
        <v>15709092</v>
      </c>
      <c r="U10" s="31">
        <f t="shared" si="8"/>
        <v>2.7198585379727866</v>
      </c>
    </row>
    <row r="11" spans="2:21" ht="18" customHeight="1" x14ac:dyDescent="0.25">
      <c r="B11" s="32" t="str">
        <f>'Data Entry'!A11</f>
        <v>6. Cases Petitioned (Charge Filed)</v>
      </c>
      <c r="C11" s="33">
        <f>'Data Entry'!C11</f>
        <v>36</v>
      </c>
      <c r="D11" s="34">
        <f>IF(((AND(C68&gt;0,C11&gt;0))),(C11/(C68)),0)</f>
        <v>25.531914893617024</v>
      </c>
      <c r="E11" s="33">
        <f>'Data Entry'!J11</f>
        <v>15</v>
      </c>
      <c r="F11" s="34">
        <f>IF(((AND($E$11&gt;0,$D$68&gt;0))),($E$11/($D$68)),0)</f>
        <v>32.608695652173914</v>
      </c>
      <c r="G11" s="39">
        <f t="shared" si="0"/>
        <v>1.277173913043478</v>
      </c>
      <c r="H11" s="40"/>
      <c r="I11" s="41"/>
      <c r="J11" s="40">
        <f>IF((ABS($U11)&gt;Defaults!D$7),1,2)</f>
        <v>2</v>
      </c>
      <c r="K11" s="39">
        <f>IF((AND(N11&gt;Defaults!B$12,(N11+O11)&gt;Defaults!B$13, P11 &gt; Defaults!B$12, (P11+Q11) &gt; Defaults!B$13)),1,20)</f>
        <v>1</v>
      </c>
      <c r="L11" s="1">
        <f t="shared" si="1"/>
        <v>2</v>
      </c>
      <c r="M11" s="1" t="b">
        <f t="shared" si="2"/>
        <v>1</v>
      </c>
      <c r="N11" s="42">
        <f t="shared" si="3"/>
        <v>15</v>
      </c>
      <c r="O11" s="42">
        <f>(D$68*L68)-E11</f>
        <v>31</v>
      </c>
      <c r="P11" s="42">
        <f t="shared" si="4"/>
        <v>36</v>
      </c>
      <c r="Q11" s="42">
        <f>(C$68*L68)-C11</f>
        <v>105</v>
      </c>
      <c r="R11" s="42">
        <f t="shared" si="5"/>
        <v>187</v>
      </c>
      <c r="S11" s="30">
        <f t="shared" si="6"/>
        <v>39397347</v>
      </c>
      <c r="T11" s="30">
        <f t="shared" si="7"/>
        <v>44986896</v>
      </c>
      <c r="U11" s="31">
        <f t="shared" si="8"/>
        <v>0.87575161887141539</v>
      </c>
    </row>
    <row r="12" spans="2:21" ht="18" customHeight="1" x14ac:dyDescent="0.25">
      <c r="B12" s="32" t="str">
        <f>'Data Entry'!A12</f>
        <v>7. Cases Resulting in Delinquent Findings</v>
      </c>
      <c r="C12" s="33">
        <f>'Data Entry'!C12</f>
        <v>22</v>
      </c>
      <c r="D12" s="34">
        <f>IF(((AND(C69&gt;0,C12&gt;0))),(C12/(C69)),0)</f>
        <v>61.111111111111114</v>
      </c>
      <c r="E12" s="33">
        <f>'Data Entry'!J12</f>
        <v>13</v>
      </c>
      <c r="F12" s="34">
        <f>IF(((AND($D$69&gt;0,$E$12&gt;0))),(E12/(D69)),0)</f>
        <v>86.666666666666671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13</v>
      </c>
      <c r="O12" s="42">
        <f>(D69*L69)-E12</f>
        <v>2</v>
      </c>
      <c r="P12" s="42">
        <f t="shared" si="4"/>
        <v>22</v>
      </c>
      <c r="Q12" s="42">
        <f>(C69*L69)-C12</f>
        <v>14</v>
      </c>
      <c r="R12" s="42">
        <f t="shared" si="5"/>
        <v>51</v>
      </c>
      <c r="S12" s="30">
        <f t="shared" si="6"/>
        <v>971244</v>
      </c>
      <c r="T12" s="30">
        <f t="shared" si="7"/>
        <v>302400</v>
      </c>
      <c r="U12" s="31">
        <f t="shared" si="8"/>
        <v>3.2117857142857145</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13</v>
      </c>
      <c r="P13" s="42">
        <f t="shared" si="4"/>
        <v>0</v>
      </c>
      <c r="Q13" s="42">
        <f>(C70*L70)-C13</f>
        <v>22</v>
      </c>
      <c r="R13" s="42">
        <f t="shared" si="5"/>
        <v>35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22.727272727272727</v>
      </c>
      <c r="E14" s="33">
        <f>'Data Entry'!J14</f>
        <v>3</v>
      </c>
      <c r="F14" s="34">
        <f>IF(((AND($D$70&gt;0,$E$14&gt;0))), (($E$14/($D$70))),0)</f>
        <v>23.076923076923077</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3</v>
      </c>
      <c r="O14" s="42">
        <f>(D70*L70)-E14</f>
        <v>10</v>
      </c>
      <c r="P14" s="42">
        <f t="shared" si="4"/>
        <v>5</v>
      </c>
      <c r="Q14" s="42">
        <f>(C70*L70)-C14</f>
        <v>17</v>
      </c>
      <c r="R14" s="42">
        <f t="shared" si="5"/>
        <v>35</v>
      </c>
      <c r="S14" s="30">
        <f t="shared" si="6"/>
        <v>35</v>
      </c>
      <c r="T14" s="30">
        <f t="shared" si="7"/>
        <v>61776</v>
      </c>
      <c r="U14" s="31">
        <f t="shared" si="8"/>
        <v>5.6656306656306654E-4</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15</v>
      </c>
      <c r="P15" s="42">
        <f t="shared" si="4"/>
        <v>0</v>
      </c>
      <c r="Q15" s="42">
        <f>(C69*L69)-C15</f>
        <v>36</v>
      </c>
      <c r="R15" s="42">
        <f t="shared" si="5"/>
        <v>51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11.598000000000001</v>
      </c>
      <c r="D42" s="56">
        <f>E6/1000</f>
        <v>1.5329999999999999</v>
      </c>
      <c r="E42" s="56">
        <f>MAX(C42:D42)</f>
        <v>11.598000000000001</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1.41</v>
      </c>
      <c r="D44" s="56">
        <f>E8/100</f>
        <v>0.46</v>
      </c>
      <c r="E44" s="56">
        <f>MAX(C44:D44,0)</f>
        <v>1.41</v>
      </c>
      <c r="G44" s="1" t="str">
        <f>B44</f>
        <v>per 100 referrals</v>
      </c>
      <c r="L44" s="57">
        <v>100</v>
      </c>
      <c r="M44" s="57"/>
      <c r="R44" s="49"/>
    </row>
    <row r="45" spans="2:18" ht="15" hidden="1" customHeight="1" x14ac:dyDescent="0.25">
      <c r="B45" s="49" t="s">
        <v>89</v>
      </c>
      <c r="C45" s="49">
        <f>C11/100</f>
        <v>0.36</v>
      </c>
      <c r="D45" s="49">
        <f>E11/100</f>
        <v>0.15</v>
      </c>
      <c r="E45" s="56">
        <f>MAX(C45:D45,0)</f>
        <v>0.36</v>
      </c>
      <c r="G45" s="1" t="str">
        <f>B45</f>
        <v>per 100 youth petitioned</v>
      </c>
      <c r="L45" s="57">
        <v>100</v>
      </c>
      <c r="M45" s="57"/>
      <c r="R45" s="49"/>
    </row>
    <row r="46" spans="2:18" ht="15" hidden="1" customHeight="1" x14ac:dyDescent="0.25">
      <c r="B46" s="49" t="s">
        <v>90</v>
      </c>
      <c r="C46" s="49">
        <f>C12/100</f>
        <v>0.22</v>
      </c>
      <c r="D46" s="49">
        <f>E12/100</f>
        <v>0.13</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11.598000000000001</v>
      </c>
      <c r="D48" s="56">
        <f>D42</f>
        <v>1.5329999999999999</v>
      </c>
      <c r="E48" s="56">
        <f>MAX(C48:D48)</f>
        <v>11.598000000000001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1.41</v>
      </c>
      <c r="D50" s="49">
        <f t="shared" si="9"/>
        <v>0.46</v>
      </c>
      <c r="E50" s="49">
        <f>MAX(C50:D50)</f>
        <v>1.41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0.36</v>
      </c>
      <c r="D51" s="49">
        <f>IF(($E45&gt;0),D45,D44)</f>
        <v>0.15</v>
      </c>
      <c r="E51" s="49">
        <f>MAX(C51:D51)</f>
        <v>0.36</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0.13</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11.598000000000001</v>
      </c>
      <c r="D54" s="56">
        <f>D48</f>
        <v>1.5329999999999999</v>
      </c>
      <c r="E54" s="56">
        <f>MAX(C54:D54)</f>
        <v>11.598000000000001</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referrals</v>
      </c>
      <c r="C56" s="49">
        <f t="shared" si="10"/>
        <v>1.41</v>
      </c>
      <c r="D56" s="49">
        <f t="shared" si="10"/>
        <v>0.46</v>
      </c>
      <c r="E56" s="49">
        <f>MAX(C56:D56)</f>
        <v>1.41</v>
      </c>
      <c r="G56" s="1" t="str">
        <f>G50</f>
        <v>per 100 referrals</v>
      </c>
      <c r="L56" s="58">
        <f>IF(($E50&gt;0),L50,L49)</f>
        <v>100</v>
      </c>
      <c r="M56" s="58"/>
    </row>
    <row r="57" spans="2:18" ht="15" hidden="1" customHeight="1" x14ac:dyDescent="0.25">
      <c r="B57" s="49" t="str">
        <f>IF(($E51&gt;0),B51,B49)</f>
        <v>per 100 youth petitioned</v>
      </c>
      <c r="C57" s="49">
        <f>IF(($E51&gt;0),C51,C50)</f>
        <v>0.36</v>
      </c>
      <c r="D57" s="49">
        <f>IF(($E51&gt;0),D51,D50)</f>
        <v>0.15</v>
      </c>
      <c r="E57" s="49">
        <f>MAX(C57:D57)</f>
        <v>0.36</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0.13</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11.598000000000001</v>
      </c>
      <c r="D60" s="56">
        <f>D54</f>
        <v>1.5329999999999999</v>
      </c>
      <c r="E60" s="56">
        <f>MAX(C60:D60)</f>
        <v>11.598000000000001</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referrals</v>
      </c>
      <c r="C62" s="49">
        <f t="shared" si="11"/>
        <v>1.41</v>
      </c>
      <c r="D62" s="49">
        <f t="shared" si="11"/>
        <v>0.46</v>
      </c>
      <c r="E62" s="49">
        <f>MAX(C62:D62)</f>
        <v>1.41</v>
      </c>
      <c r="G62" s="1" t="str">
        <f>G56</f>
        <v>per 100 referrals</v>
      </c>
      <c r="L62" s="58">
        <f>IF(($E56&gt;0),L56,L55)</f>
        <v>100</v>
      </c>
      <c r="M62" s="58"/>
    </row>
    <row r="63" spans="2:18" ht="15" hidden="1" customHeight="1" x14ac:dyDescent="0.25">
      <c r="B63" s="49" t="str">
        <f>IF(($E57&gt;0),B57,B55)</f>
        <v>per 100 youth petitioned</v>
      </c>
      <c r="C63" s="49">
        <f>IF(($E57&gt;0),C57,C56)</f>
        <v>0.36</v>
      </c>
      <c r="D63" s="49">
        <f>IF(($E57&gt;0),D57,D56)</f>
        <v>0.15</v>
      </c>
      <c r="E63" s="49">
        <f>MAX(C63:D63)</f>
        <v>0.36</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0.13</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11.598000000000001</v>
      </c>
      <c r="D66" s="56">
        <f>D60</f>
        <v>1.5329999999999999</v>
      </c>
      <c r="E66" s="56">
        <f>MAX(C66:D66)</f>
        <v>11.598000000000001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referrals</v>
      </c>
      <c r="C68" s="49">
        <f t="shared" si="12"/>
        <v>1.41</v>
      </c>
      <c r="D68" s="49">
        <f t="shared" si="12"/>
        <v>0.46</v>
      </c>
      <c r="E68" s="49">
        <f>MAX(C68:D68)</f>
        <v>1.41</v>
      </c>
      <c r="G68" s="1" t="str">
        <f>G62</f>
        <v>per 100 referrals</v>
      </c>
      <c r="L68" s="58">
        <f>IF(($E62&gt;0),L62,L61)</f>
        <v>100</v>
      </c>
      <c r="M68" s="58">
        <f>IF((B68=G68),1,2)</f>
        <v>1</v>
      </c>
    </row>
    <row r="69" spans="2:13" ht="15" hidden="1" customHeight="1" x14ac:dyDescent="0.25">
      <c r="B69" s="49" t="str">
        <f>IF(($E63&gt;0),B63,B61)</f>
        <v>per 100 youth petitioned</v>
      </c>
      <c r="C69" s="49">
        <f>IF(($E63&gt;0),C63,C62)</f>
        <v>0.36</v>
      </c>
      <c r="D69" s="49">
        <f>IF(($E63&gt;0),D63,D62)</f>
        <v>0.15</v>
      </c>
      <c r="E69" s="49">
        <f>MAX(C69:D69)</f>
        <v>0.36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0.13</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Monroe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119</v>
      </c>
      <c r="R8" s="1">
        <f>'All Minorities'!L8</f>
        <v>20</v>
      </c>
    </row>
    <row r="9" spans="2:18" ht="15" customHeight="1" x14ac:dyDescent="0.25">
      <c r="B9" s="71" t="s">
        <v>10</v>
      </c>
      <c r="C9" s="72">
        <f>'Black or African-American'!$G9</f>
        <v>0.91558441558441561</v>
      </c>
      <c r="D9" s="72" t="str">
        <f>Hispanic!G9</f>
        <v>**</v>
      </c>
      <c r="E9" s="72" t="str">
        <f>Asian!G9</f>
        <v>--</v>
      </c>
      <c r="F9" s="72" t="str">
        <f>Hawaiian!G9</f>
        <v>*</v>
      </c>
      <c r="G9" s="72" t="str">
        <f>'Am Indian'!G9</f>
        <v>*</v>
      </c>
      <c r="H9" s="72" t="str">
        <f>'Other - Mixed'!G9</f>
        <v>*</v>
      </c>
      <c r="I9" s="73">
        <f>'All Minorities'!G9</f>
        <v>0.83596837944664026</v>
      </c>
      <c r="L9" s="1">
        <f>'Black or African-American'!L9</f>
        <v>2</v>
      </c>
      <c r="M9" s="1">
        <f>Hispanic!L9</f>
        <v>40</v>
      </c>
      <c r="N9" s="1" t="e">
        <f>Asian!L9</f>
        <v>#VALUE!</v>
      </c>
      <c r="O9" s="1" t="e">
        <f>Hawaiian!L9</f>
        <v>#VALUE!</v>
      </c>
      <c r="P9" s="1" t="e">
        <f>'Am Indian'!L9</f>
        <v>#VALUE!</v>
      </c>
      <c r="Q9" s="1">
        <f>'Other - Mixed'!L9</f>
        <v>139</v>
      </c>
      <c r="R9" s="1">
        <f>'All Minorities'!L9</f>
        <v>2</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f>'All Minorities'!G10</f>
        <v>2.2989130434782608</v>
      </c>
      <c r="L10" s="1">
        <f>'Black or African-American'!L10</f>
        <v>40</v>
      </c>
      <c r="M10" s="1">
        <f>Hispanic!L10</f>
        <v>40</v>
      </c>
      <c r="N10" s="1" t="e">
        <f>Asian!L10</f>
        <v>#VALUE!</v>
      </c>
      <c r="O10" s="1" t="e">
        <f>Hawaiian!L10</f>
        <v>#VALUE!</v>
      </c>
      <c r="P10" s="1" t="e">
        <f>'Am Indian'!L10</f>
        <v>#VALUE!</v>
      </c>
      <c r="Q10" s="1">
        <f>'Other - Mixed'!L10</f>
        <v>119</v>
      </c>
      <c r="R10" s="1">
        <f>'All Minorities'!L10</f>
        <v>2</v>
      </c>
    </row>
    <row r="11" spans="2:18" ht="15" customHeight="1" x14ac:dyDescent="0.25">
      <c r="B11" s="71" t="s">
        <v>95</v>
      </c>
      <c r="C11" s="72">
        <f>'Black or African-American'!$G11</f>
        <v>1.1190476190476191</v>
      </c>
      <c r="D11" s="72" t="str">
        <f>Hispanic!G11</f>
        <v>**</v>
      </c>
      <c r="E11" s="72" t="str">
        <f>Asian!G11</f>
        <v>--</v>
      </c>
      <c r="F11" s="72" t="str">
        <f>Hawaiian!G11</f>
        <v>*</v>
      </c>
      <c r="G11" s="72" t="str">
        <f>'Am Indian'!G11</f>
        <v>*</v>
      </c>
      <c r="H11" s="72" t="str">
        <f>'Other - Mixed'!G11</f>
        <v>*</v>
      </c>
      <c r="I11" s="73">
        <f>'All Minorities'!G11</f>
        <v>1.277173913043478</v>
      </c>
      <c r="L11" s="1">
        <f>'Black or African-American'!L11</f>
        <v>2</v>
      </c>
      <c r="M11" s="1">
        <f>Hispanic!L11</f>
        <v>40</v>
      </c>
      <c r="N11" s="1" t="e">
        <f>Asian!L11</f>
        <v>#VALUE!</v>
      </c>
      <c r="O11" s="1" t="e">
        <f>Hawaiian!L11</f>
        <v>#VALUE!</v>
      </c>
      <c r="P11" s="1" t="e">
        <f>'Am Indian'!L11</f>
        <v>#VALUE!</v>
      </c>
      <c r="Q11" s="1">
        <f>'Other - Mixed'!L11</f>
        <v>139</v>
      </c>
      <c r="R11" s="1">
        <f>'All Minorities'!L11</f>
        <v>2</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13131</v>
      </c>
      <c r="D3" s="57">
        <f>'Data Entry'!C6</f>
        <v>11598</v>
      </c>
      <c r="E3" s="57">
        <f>'Data Entry'!D6</f>
        <v>585</v>
      </c>
      <c r="F3" s="57">
        <f>'Data Entry'!E6</f>
        <v>769</v>
      </c>
      <c r="G3" s="57">
        <f>'Data Entry'!F6</f>
        <v>139</v>
      </c>
      <c r="H3" s="57">
        <f>'Data Entry'!G6</f>
        <v>0</v>
      </c>
      <c r="I3" s="57">
        <f>'Data Entry'!H6</f>
        <v>40</v>
      </c>
      <c r="J3" s="57">
        <f>'Data Entry'!I6</f>
        <v>0</v>
      </c>
      <c r="K3" s="57">
        <f>'Data Entry'!J6</f>
        <v>1533</v>
      </c>
    </row>
    <row r="4" spans="2:11" ht="15" customHeight="1" x14ac:dyDescent="0.25">
      <c r="B4" s="16" t="s">
        <v>8</v>
      </c>
      <c r="C4" s="1">
        <f>IF((C$3&gt;0),(1000*('Data Entry'!B7/'Data Entry'!B$6)), 0)</f>
        <v>0.68540095956134339</v>
      </c>
      <c r="D4" s="1">
        <f>IF((D$3&gt;0),(1000*('Data Entry'!C7/'Data Entry'!C$6)), 0)</f>
        <v>0.68977409898258313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14.241108826441247</v>
      </c>
      <c r="D5" s="1">
        <f>IF((D$3&gt;0),(1000*('Data Entry'!C8/'Data Entry'!C$6)), 0)</f>
        <v>12.157268494568029</v>
      </c>
      <c r="E5" s="1">
        <f>IF((E$3&gt;0),(1000*('Data Entry'!D8/'Data Entry'!D$6)), 0)</f>
        <v>59.82905982905983</v>
      </c>
      <c r="F5" s="1">
        <f>IF((F$3&gt;0),(1000*('Data Entry'!E8/'Data Entry'!E$6)), 0)</f>
        <v>2.6007802340702213</v>
      </c>
      <c r="G5" s="1">
        <f>IF((G$3&gt;0),(1000*('Data Entry'!F8/'Data Entry'!F$6)), 0)</f>
        <v>0</v>
      </c>
      <c r="H5" s="1">
        <f>IF((H$3&gt;0),(1000*('Data Entry'!G8/'Data Entry'!G$6)), 0)</f>
        <v>0</v>
      </c>
      <c r="I5" s="1">
        <f>IF((I$3&gt;0),(1000*('Data Entry'!H8/'Data Entry'!H$6)), 0)</f>
        <v>0</v>
      </c>
      <c r="J5" s="1">
        <f>IF((J$3&gt;0),(1000*('Data Entry'!I8/'Data Entry'!I$6)), 0)</f>
        <v>0</v>
      </c>
      <c r="K5" s="1">
        <f>IF((K$3&gt;0),(1000*('Data Entry'!J8/'Data Entry'!J$6)), 0)</f>
        <v>30.006523157208086</v>
      </c>
    </row>
    <row r="6" spans="2:11" ht="15" customHeight="1" x14ac:dyDescent="0.25">
      <c r="B6" s="16" t="s">
        <v>10</v>
      </c>
      <c r="C6" s="1">
        <f>IF((C$3&gt;0),(1000*('Data Entry'!B9/'Data Entry'!B$6)), 0)</f>
        <v>8.5294341634300519</v>
      </c>
      <c r="D6" s="1">
        <f>IF((D$3&gt;0),(1000*('Data Entry'!C9/'Data Entry'!C$6)), 0)</f>
        <v>7.5875150888084146</v>
      </c>
      <c r="E6" s="1">
        <f>IF((E$3&gt;0),(1000*('Data Entry'!D9/'Data Entry'!D$6)), 0)</f>
        <v>34.188034188034194</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15.655577299412915</v>
      </c>
    </row>
    <row r="7" spans="2:11" ht="15" customHeight="1" x14ac:dyDescent="0.25">
      <c r="B7" s="16" t="s">
        <v>11</v>
      </c>
      <c r="C7" s="1">
        <f>IF((C$3&gt;0),(1000*('Data Entry'!B10/'Data Entry'!B$6)), 0)</f>
        <v>1.0661792704287565</v>
      </c>
      <c r="D7" s="1">
        <f>IF((D$3&gt;0),(1000*('Data Entry'!C10/'Data Entry'!C$6)), 0)</f>
        <v>0.68977409898258313</v>
      </c>
      <c r="E7" s="1">
        <f>IF((E$3&gt;0),(1000*('Data Entry'!D10/'Data Entry'!D$6)), 0)</f>
        <v>5.1282051282051286</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3.9138943248532287</v>
      </c>
    </row>
    <row r="8" spans="2:11" ht="15" customHeight="1" x14ac:dyDescent="0.25">
      <c r="B8" s="16" t="s">
        <v>95</v>
      </c>
      <c r="C8" s="1">
        <f>IF((C$3&gt;0),(1000*('Data Entry'!B11/'Data Entry'!B$6)), 0)</f>
        <v>3.8839387708476125</v>
      </c>
      <c r="D8" s="1">
        <f>IF((D$3&gt;0),(1000*('Data Entry'!C11/'Data Entry'!C$6)), 0)</f>
        <v>3.1039834454216244</v>
      </c>
      <c r="E8" s="1">
        <f>IF((E$3&gt;0),(1000*('Data Entry'!D11/'Data Entry'!D$6)), 0)</f>
        <v>17.094017094017097</v>
      </c>
      <c r="F8" s="1">
        <f>IF((F$3&gt;0),(1000*('Data Entry'!E11/'Data Entry'!E$6)), 0)</f>
        <v>1.3003901170351106</v>
      </c>
      <c r="G8" s="1">
        <f>IF((G$3&gt;0),(1000*('Data Entry'!F11/'Data Entry'!F$6)), 0)</f>
        <v>0</v>
      </c>
      <c r="H8" s="1">
        <f>IF((H$3&gt;0),(1000*('Data Entry'!G11/'Data Entry'!G$6)), 0)</f>
        <v>0</v>
      </c>
      <c r="I8" s="1">
        <f>IF((I$3&gt;0),(1000*('Data Entry'!H11/'Data Entry'!H$6)), 0)</f>
        <v>0</v>
      </c>
      <c r="J8" s="1">
        <f>IF((J$3&gt;0),(1000*('Data Entry'!I11/'Data Entry'!I$6)), 0)</f>
        <v>0</v>
      </c>
      <c r="K8" s="1">
        <f>IF((K$3&gt;0),(1000*('Data Entry'!J11/'Data Entry'!J$6)), 0)</f>
        <v>9.7847358121330714</v>
      </c>
    </row>
    <row r="9" spans="2:11" ht="15" customHeight="1" x14ac:dyDescent="0.25">
      <c r="B9" s="16" t="s">
        <v>13</v>
      </c>
      <c r="C9" s="1">
        <f>IF((C$3&gt;0),(1000*('Data Entry'!B12/'Data Entry'!B$6)), 0)</f>
        <v>2.6654481760718909</v>
      </c>
      <c r="D9" s="1">
        <f>IF((D$3&gt;0),(1000*('Data Entry'!C12/'Data Entry'!C$6)), 0)</f>
        <v>1.8968787722021037</v>
      </c>
      <c r="E9" s="1">
        <f>IF((E$3&gt;0),(1000*('Data Entry'!D12/'Data Entry'!D$6)), 0)</f>
        <v>15.384615384615385</v>
      </c>
      <c r="F9" s="1">
        <f>IF((F$3&gt;0),(1000*('Data Entry'!E12/'Data Entry'!E$6)), 0)</f>
        <v>1.3003901170351106</v>
      </c>
      <c r="G9" s="1">
        <f>IF((G$3&gt;0),(1000*('Data Entry'!F12/'Data Entry'!F$6)), 0)</f>
        <v>0</v>
      </c>
      <c r="H9" s="1">
        <f>IF((H$3&gt;0),(1000*('Data Entry'!G12/'Data Entry'!G$6)), 0)</f>
        <v>0</v>
      </c>
      <c r="I9" s="1">
        <f>IF((I$3&gt;0),(1000*('Data Entry'!H12/'Data Entry'!H$6)), 0)</f>
        <v>0</v>
      </c>
      <c r="J9" s="1">
        <f>IF((J$3&gt;0),(1000*('Data Entry'!I12/'Data Entry'!I$6)), 0)</f>
        <v>0</v>
      </c>
      <c r="K9" s="1">
        <f>IF((K$3&gt;0),(1000*('Data Entry'!J12/'Data Entry'!J$6)), 0)</f>
        <v>8.4801043705153294</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0.60924529738786082</v>
      </c>
      <c r="D11" s="1">
        <f>IF((D$3&gt;0),(1000*('Data Entry'!C14/'Data Entry'!C$6)), 0)</f>
        <v>0.43110881186411448</v>
      </c>
      <c r="E11" s="1">
        <f>IF((E$3&gt;0),(1000*('Data Entry'!D14/'Data Entry'!D$6)), 0)</f>
        <v>3.4188034188034186</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1.9569471624266144</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Monroe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4.9212584106201129</v>
      </c>
      <c r="E20" s="72">
        <f t="shared" si="2"/>
        <v>0.21392800818969096</v>
      </c>
      <c r="F20" s="72" t="str">
        <f t="shared" si="2"/>
        <v>--</v>
      </c>
      <c r="G20" s="72" t="str">
        <f t="shared" si="2"/>
        <v>--</v>
      </c>
      <c r="H20" s="72" t="str">
        <f t="shared" si="2"/>
        <v>--</v>
      </c>
      <c r="I20" s="72" t="str">
        <f t="shared" si="2"/>
        <v>--</v>
      </c>
      <c r="J20" s="73">
        <f t="shared" si="2"/>
        <v>2.4681961388460949</v>
      </c>
    </row>
    <row r="21" spans="2:10" ht="15" customHeight="1" x14ac:dyDescent="0.25">
      <c r="B21" s="71" t="s">
        <v>10</v>
      </c>
      <c r="C21" s="72">
        <f t="shared" si="2"/>
        <v>1</v>
      </c>
      <c r="D21" s="72">
        <f t="shared" si="2"/>
        <v>4.505827505827507</v>
      </c>
      <c r="E21" s="72" t="str">
        <f t="shared" si="2"/>
        <v>--</v>
      </c>
      <c r="F21" s="72" t="str">
        <f t="shared" si="2"/>
        <v>--</v>
      </c>
      <c r="G21" s="72" t="str">
        <f t="shared" si="2"/>
        <v>--</v>
      </c>
      <c r="H21" s="72" t="str">
        <f t="shared" si="2"/>
        <v>--</v>
      </c>
      <c r="I21" s="72" t="str">
        <f t="shared" si="2"/>
        <v>--</v>
      </c>
      <c r="J21" s="73">
        <f t="shared" si="2"/>
        <v>2.0633339263476249</v>
      </c>
    </row>
    <row r="22" spans="2:10" ht="15" customHeight="1" x14ac:dyDescent="0.25">
      <c r="B22" s="71" t="s">
        <v>11</v>
      </c>
      <c r="C22" s="72">
        <f t="shared" si="2"/>
        <v>1</v>
      </c>
      <c r="D22" s="72">
        <f t="shared" si="2"/>
        <v>7.4346153846153857</v>
      </c>
      <c r="E22" s="72" t="str">
        <f t="shared" si="2"/>
        <v>--</v>
      </c>
      <c r="F22" s="72" t="str">
        <f t="shared" si="2"/>
        <v>--</v>
      </c>
      <c r="G22" s="72" t="str">
        <f t="shared" si="2"/>
        <v>--</v>
      </c>
      <c r="H22" s="72" t="str">
        <f t="shared" si="2"/>
        <v>--</v>
      </c>
      <c r="I22" s="72" t="str">
        <f t="shared" si="2"/>
        <v>--</v>
      </c>
      <c r="J22" s="73">
        <f t="shared" si="2"/>
        <v>5.6741682974559691</v>
      </c>
    </row>
    <row r="23" spans="2:10" ht="15" customHeight="1" x14ac:dyDescent="0.25">
      <c r="B23" s="71" t="s">
        <v>95</v>
      </c>
      <c r="C23" s="72">
        <f t="shared" si="2"/>
        <v>1</v>
      </c>
      <c r="D23" s="72">
        <f t="shared" si="2"/>
        <v>5.5071225071225083</v>
      </c>
      <c r="E23" s="72">
        <f t="shared" si="2"/>
        <v>0.41894234937147817</v>
      </c>
      <c r="F23" s="72" t="str">
        <f t="shared" si="2"/>
        <v>--</v>
      </c>
      <c r="G23" s="72" t="str">
        <f t="shared" si="2"/>
        <v>--</v>
      </c>
      <c r="H23" s="72" t="str">
        <f t="shared" si="2"/>
        <v>--</v>
      </c>
      <c r="I23" s="72" t="str">
        <f t="shared" si="2"/>
        <v>--</v>
      </c>
      <c r="J23" s="73">
        <f t="shared" si="2"/>
        <v>3.152315720808871</v>
      </c>
    </row>
    <row r="24" spans="2:10" ht="15" customHeight="1" x14ac:dyDescent="0.25">
      <c r="B24" s="71" t="s">
        <v>13</v>
      </c>
      <c r="C24" s="72">
        <f t="shared" si="2"/>
        <v>1</v>
      </c>
      <c r="D24" s="72">
        <f t="shared" si="2"/>
        <v>8.1104895104895114</v>
      </c>
      <c r="E24" s="72">
        <f t="shared" si="2"/>
        <v>0.68554202624423699</v>
      </c>
      <c r="F24" s="72" t="str">
        <f t="shared" si="2"/>
        <v>--</v>
      </c>
      <c r="G24" s="72" t="str">
        <f t="shared" si="2"/>
        <v>--</v>
      </c>
      <c r="H24" s="72" t="str">
        <f t="shared" si="2"/>
        <v>--</v>
      </c>
      <c r="I24" s="72" t="str">
        <f t="shared" si="2"/>
        <v>--</v>
      </c>
      <c r="J24" s="73">
        <f t="shared" si="2"/>
        <v>4.4705568404198548</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f t="shared" si="2"/>
        <v>7.9302564102564101</v>
      </c>
      <c r="E26" s="72" t="str">
        <f t="shared" si="2"/>
        <v>--</v>
      </c>
      <c r="F26" s="72" t="str">
        <f t="shared" si="2"/>
        <v>--</v>
      </c>
      <c r="G26" s="72" t="str">
        <f t="shared" si="2"/>
        <v>--</v>
      </c>
      <c r="H26" s="72" t="str">
        <f t="shared" si="2"/>
        <v>--</v>
      </c>
      <c r="I26" s="72" t="str">
        <f t="shared" si="2"/>
        <v>--</v>
      </c>
      <c r="J26" s="73">
        <f t="shared" si="2"/>
        <v>4.5393346379647745</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Monroe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11598</v>
      </c>
      <c r="D7" s="105">
        <f>'Data Entry'!D6</f>
        <v>585</v>
      </c>
      <c r="E7" s="106"/>
      <c r="F7" s="107">
        <f>'Data Entry'!E6</f>
        <v>769</v>
      </c>
      <c r="G7" s="106"/>
      <c r="H7" s="107">
        <f>'Data Entry'!F6</f>
        <v>139</v>
      </c>
      <c r="I7" s="106"/>
      <c r="J7" s="107">
        <f>'Data Entry'!G6</f>
        <v>0</v>
      </c>
      <c r="K7" s="106"/>
      <c r="L7" s="107">
        <f>'Data Entry'!H6</f>
        <v>40</v>
      </c>
      <c r="M7" s="106"/>
      <c r="N7" s="107">
        <f>'Data Entry'!I6</f>
        <v>0</v>
      </c>
      <c r="O7" s="106"/>
      <c r="P7" s="107">
        <f>'Data Entry'!J6</f>
        <v>1533</v>
      </c>
      <c r="Q7" s="108"/>
    </row>
    <row r="8" spans="2:26" s="1" customFormat="1" ht="15" customHeight="1" x14ac:dyDescent="0.3">
      <c r="B8" s="149" t="s">
        <v>8</v>
      </c>
      <c r="C8" s="104">
        <f>'Data Entry'!C7</f>
        <v>8</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x14ac:dyDescent="0.3">
      <c r="B9" s="149" t="s">
        <v>134</v>
      </c>
      <c r="C9" s="104">
        <f>'Data Entry'!C8</f>
        <v>141</v>
      </c>
      <c r="D9" s="109">
        <f>'Data Entry'!D8</f>
        <v>35</v>
      </c>
      <c r="E9" s="110" t="str">
        <f>'Black or African-American'!$G8</f>
        <v>**</v>
      </c>
      <c r="F9" s="111">
        <f>'Data Entry'!E8</f>
        <v>2</v>
      </c>
      <c r="G9" s="110" t="str">
        <f>Hispanic!G8</f>
        <v>**</v>
      </c>
      <c r="H9" s="111">
        <f>'Data Entry'!F8</f>
        <v>0</v>
      </c>
      <c r="I9" s="110" t="str">
        <f>Asian!G8</f>
        <v>**</v>
      </c>
      <c r="J9" s="111">
        <f>'Data Entry'!G8</f>
        <v>0</v>
      </c>
      <c r="K9" s="110" t="str">
        <f>Hawaiian!G8</f>
        <v>*</v>
      </c>
      <c r="L9" s="111">
        <f>'Data Entry'!H8</f>
        <v>0</v>
      </c>
      <c r="M9" s="110" t="str">
        <f>'Am Indian'!G8</f>
        <v>*</v>
      </c>
      <c r="N9" s="111">
        <f>'Data Entry'!I8</f>
        <v>9</v>
      </c>
      <c r="O9" s="110" t="str">
        <f>'Other - Mixed'!G8</f>
        <v>*</v>
      </c>
      <c r="P9" s="111">
        <f>'Data Entry'!J8</f>
        <v>46</v>
      </c>
      <c r="Q9" s="112" t="str">
        <f>'All Minorities'!G8</f>
        <v>**</v>
      </c>
      <c r="R9"/>
      <c r="T9" s="1">
        <f>'Black or African-American'!L8</f>
        <v>20</v>
      </c>
      <c r="U9" s="1">
        <f>Hispanic!L8</f>
        <v>40</v>
      </c>
      <c r="V9" s="1">
        <f>Asian!L8</f>
        <v>40</v>
      </c>
      <c r="W9" s="1">
        <f>Hawaiian!L8</f>
        <v>139</v>
      </c>
      <c r="X9" s="1">
        <f>'Am Indian'!L8</f>
        <v>139</v>
      </c>
      <c r="Y9" s="1">
        <f>'Other - Mixed'!L8</f>
        <v>119</v>
      </c>
      <c r="Z9" s="1">
        <f>'All Minorities'!L8</f>
        <v>20</v>
      </c>
    </row>
    <row r="10" spans="2:26" s="1" customFormat="1" ht="15" customHeight="1" x14ac:dyDescent="0.3">
      <c r="B10" s="149" t="s">
        <v>10</v>
      </c>
      <c r="C10" s="104">
        <f>'Data Entry'!C9</f>
        <v>88</v>
      </c>
      <c r="D10" s="113">
        <f>'Data Entry'!D9</f>
        <v>20</v>
      </c>
      <c r="E10" s="114">
        <f>'Black or African-American'!$G9</f>
        <v>0.91558441558441561</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4</v>
      </c>
      <c r="O10" s="114" t="str">
        <f>'Other - Mixed'!G9</f>
        <v>*</v>
      </c>
      <c r="P10" s="115">
        <f>'Data Entry'!J9</f>
        <v>24</v>
      </c>
      <c r="Q10" s="116">
        <f>'All Minorities'!G9</f>
        <v>0.83596837944664026</v>
      </c>
      <c r="R10"/>
      <c r="T10" s="1">
        <f>'Black or African-American'!L9</f>
        <v>2</v>
      </c>
      <c r="U10" s="1">
        <f>Hispanic!L9</f>
        <v>40</v>
      </c>
      <c r="V10" s="1" t="e">
        <f>Asian!L9</f>
        <v>#VALUE!</v>
      </c>
      <c r="W10" s="1" t="e">
        <f>Hawaiian!L9</f>
        <v>#VALUE!</v>
      </c>
      <c r="X10" s="1" t="e">
        <f>'Am Indian'!L9</f>
        <v>#VALUE!</v>
      </c>
      <c r="Y10" s="1">
        <f>'Other - Mixed'!L9</f>
        <v>139</v>
      </c>
      <c r="Z10" s="1">
        <f>'All Minorities'!L9</f>
        <v>2</v>
      </c>
    </row>
    <row r="11" spans="2:26" s="1" customFormat="1" ht="15" customHeight="1" x14ac:dyDescent="0.3">
      <c r="B11" s="149" t="s">
        <v>11</v>
      </c>
      <c r="C11" s="104">
        <f>'Data Entry'!C10</f>
        <v>8</v>
      </c>
      <c r="D11" s="109">
        <f>'Data Entry'!D10</f>
        <v>3</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3</v>
      </c>
      <c r="O11" s="110" t="str">
        <f>'Other - Mixed'!G10</f>
        <v>*</v>
      </c>
      <c r="P11" s="111">
        <f>'Data Entry'!J10</f>
        <v>6</v>
      </c>
      <c r="Q11" s="112">
        <f>'All Minorities'!G10</f>
        <v>2.2989130434782608</v>
      </c>
      <c r="R11"/>
      <c r="T11" s="1">
        <f>'Black or African-American'!L10</f>
        <v>40</v>
      </c>
      <c r="U11" s="1">
        <f>Hispanic!L10</f>
        <v>40</v>
      </c>
      <c r="V11" s="1" t="e">
        <f>Asian!L10</f>
        <v>#VALUE!</v>
      </c>
      <c r="W11" s="1" t="e">
        <f>Hawaiian!L10</f>
        <v>#VALUE!</v>
      </c>
      <c r="X11" s="1" t="e">
        <f>'Am Indian'!L10</f>
        <v>#VALUE!</v>
      </c>
      <c r="Y11" s="1">
        <f>'Other - Mixed'!L10</f>
        <v>119</v>
      </c>
      <c r="Z11" s="1">
        <f>'All Minorities'!L10</f>
        <v>2</v>
      </c>
    </row>
    <row r="12" spans="2:26" s="1" customFormat="1" ht="15" customHeight="1" x14ac:dyDescent="0.3">
      <c r="B12" s="149" t="s">
        <v>95</v>
      </c>
      <c r="C12" s="104">
        <f>'Data Entry'!C11</f>
        <v>36</v>
      </c>
      <c r="D12" s="113">
        <f>'Data Entry'!D11</f>
        <v>10</v>
      </c>
      <c r="E12" s="114">
        <f>'Black or African-American'!$G11</f>
        <v>1.1190476190476191</v>
      </c>
      <c r="F12" s="115">
        <f>'Data Entry'!E11</f>
        <v>1</v>
      </c>
      <c r="G12" s="114" t="str">
        <f>Hispanic!G11</f>
        <v>**</v>
      </c>
      <c r="H12" s="115">
        <f>'Data Entry'!F11</f>
        <v>0</v>
      </c>
      <c r="I12" s="114" t="str">
        <f>Asian!G11</f>
        <v>--</v>
      </c>
      <c r="J12" s="115">
        <f>'Data Entry'!G11</f>
        <v>0</v>
      </c>
      <c r="K12" s="114" t="str">
        <f>Hawaiian!G11</f>
        <v>*</v>
      </c>
      <c r="L12" s="115">
        <f>'Data Entry'!H11</f>
        <v>0</v>
      </c>
      <c r="M12" s="114" t="str">
        <f>'Am Indian'!G11</f>
        <v>*</v>
      </c>
      <c r="N12" s="115">
        <f>'Data Entry'!I11</f>
        <v>4</v>
      </c>
      <c r="O12" s="114" t="str">
        <f>'Other - Mixed'!G11</f>
        <v>*</v>
      </c>
      <c r="P12" s="115">
        <f>'Data Entry'!J11</f>
        <v>15</v>
      </c>
      <c r="Q12" s="116">
        <f>'All Minorities'!G11</f>
        <v>1.277173913043478</v>
      </c>
      <c r="R12"/>
      <c r="T12" s="1">
        <f>'Black or African-American'!L11</f>
        <v>2</v>
      </c>
      <c r="U12" s="1">
        <f>Hispanic!L11</f>
        <v>40</v>
      </c>
      <c r="V12" s="1" t="e">
        <f>Asian!L11</f>
        <v>#VALUE!</v>
      </c>
      <c r="W12" s="1" t="e">
        <f>Hawaiian!L11</f>
        <v>#VALUE!</v>
      </c>
      <c r="X12" s="1" t="e">
        <f>'Am Indian'!L11</f>
        <v>#VALUE!</v>
      </c>
      <c r="Y12" s="1">
        <f>'Other - Mixed'!L11</f>
        <v>139</v>
      </c>
      <c r="Z12" s="1">
        <f>'All Minorities'!L11</f>
        <v>2</v>
      </c>
    </row>
    <row r="13" spans="2:26" s="1" customFormat="1" ht="15" customHeight="1" x14ac:dyDescent="0.3">
      <c r="B13" s="149" t="s">
        <v>13</v>
      </c>
      <c r="C13" s="104">
        <f>'Data Entry'!C12</f>
        <v>22</v>
      </c>
      <c r="D13" s="109">
        <f>'Data Entry'!D12</f>
        <v>9</v>
      </c>
      <c r="E13" s="110" t="str">
        <f>'Black or African-American'!$G12</f>
        <v>**</v>
      </c>
      <c r="F13" s="111">
        <f>'Data Entry'!E12</f>
        <v>1</v>
      </c>
      <c r="G13" s="110" t="str">
        <f>Hispanic!G12</f>
        <v>**</v>
      </c>
      <c r="H13" s="111">
        <f>'Data Entry'!F12</f>
        <v>0</v>
      </c>
      <c r="I13" s="110" t="str">
        <f>Asian!G12</f>
        <v>--</v>
      </c>
      <c r="J13" s="111">
        <f>'Data Entry'!G12</f>
        <v>0</v>
      </c>
      <c r="K13" s="110" t="str">
        <f>Hawaiian!G12</f>
        <v>*</v>
      </c>
      <c r="L13" s="111">
        <f>'Data Entry'!H12</f>
        <v>0</v>
      </c>
      <c r="M13" s="110" t="str">
        <f>'Am Indian'!G12</f>
        <v>*</v>
      </c>
      <c r="N13" s="111">
        <f>'Data Entry'!I12</f>
        <v>3</v>
      </c>
      <c r="O13" s="110" t="str">
        <f>'Other - Mixed'!G12</f>
        <v>*</v>
      </c>
      <c r="P13" s="111">
        <f>'Data Entry'!J12</f>
        <v>13</v>
      </c>
      <c r="Q13" s="112"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40</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5</v>
      </c>
      <c r="D15" s="109">
        <f>'Data Entry'!D14</f>
        <v>2</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1</v>
      </c>
      <c r="O15" s="110" t="str">
        <f>'Other - Mixed'!G14</f>
        <v>*</v>
      </c>
      <c r="P15" s="111">
        <f>'Data Entry'!J14</f>
        <v>3</v>
      </c>
      <c r="Q15" s="112"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Monroe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Monroe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7.5655577299412897</v>
      </c>
    </row>
    <row r="8" spans="1:12" ht="25.5" customHeight="1" x14ac:dyDescent="0.2">
      <c r="A8" s="158" t="str">
        <f>CONCATENATE("Confinement, total N=", 'Data Entry'!B14)</f>
        <v>Confinement, total N=8</v>
      </c>
      <c r="B8" s="157">
        <f>'Data Entry'!D14/'Data Entry'!B14</f>
        <v>0.25</v>
      </c>
      <c r="C8" s="157">
        <f>'Data Entry'!E14/'Data Entry'!B14</f>
        <v>0</v>
      </c>
      <c r="D8" s="157">
        <f>'Data Entry'!F14/'Data Entry'!B14</f>
        <v>0</v>
      </c>
      <c r="E8" s="157">
        <f>'Data Entry'!G14/'Data Entry'!B14</f>
        <v>0</v>
      </c>
      <c r="F8" s="157">
        <f>'Data Entry'!H14/'Data Entry'!B14</f>
        <v>0</v>
      </c>
      <c r="G8" s="157">
        <f>'Data Entry'!I14/'Data Entry'!B14</f>
        <v>0.125</v>
      </c>
      <c r="H8" s="157">
        <f>SUM(D8:G8)/'Data Entry'!B14</f>
        <v>1.5625E-2</v>
      </c>
      <c r="I8" s="157">
        <f>'Data Entry'!C14/'Data Entry'!B14</f>
        <v>0.625</v>
      </c>
      <c r="K8" s="97" t="str">
        <f>A8</f>
        <v>Confinement, total N=8</v>
      </c>
      <c r="L8">
        <f>I14/(SUM(B14:G14))</f>
        <v>7.5655577299412897</v>
      </c>
    </row>
    <row r="9" spans="1:12" x14ac:dyDescent="0.2">
      <c r="A9" s="132" t="str">
        <f>CONCATENATE("Delinquent Findings, total N=", 'Data Entry'!B12)</f>
        <v>Delinquent Findings, total N=35</v>
      </c>
      <c r="B9" s="157">
        <f>'Data Entry'!D12/'Data Entry'!B12</f>
        <v>0.25714285714285712</v>
      </c>
      <c r="C9" s="157">
        <f>'Data Entry'!E12/'Data Entry'!B12</f>
        <v>2.8571428571428571E-2</v>
      </c>
      <c r="D9" s="157">
        <f>'Data Entry'!F12/'Data Entry'!B12</f>
        <v>0</v>
      </c>
      <c r="E9" s="157">
        <f>'Data Entry'!G12/'Data Entry'!B12</f>
        <v>0</v>
      </c>
      <c r="F9" s="157">
        <f>'Data Entry'!H12/'Data Entry'!B12</f>
        <v>0</v>
      </c>
      <c r="G9" s="157">
        <f>'Data Entry'!I12/'Data Entry'!B12</f>
        <v>8.5714285714285715E-2</v>
      </c>
      <c r="H9" s="157">
        <f>SUM(D9:G9)/'Data Entry'!B12</f>
        <v>2.4489795918367346E-3</v>
      </c>
      <c r="I9" s="157">
        <f>'Data Entry'!C12/'Data Entry'!B12</f>
        <v>0.62857142857142856</v>
      </c>
      <c r="K9" s="97" t="str">
        <f t="shared" si="0"/>
        <v>Delinquent Findings, total N=35</v>
      </c>
      <c r="L9">
        <f>I14/(SUM(B14:G14))</f>
        <v>7.5655577299412897</v>
      </c>
    </row>
    <row r="10" spans="1:12" x14ac:dyDescent="0.2">
      <c r="A10" s="132" t="str">
        <f>CONCATENATE("Petitions, total N=", 'Data Entry'!B11)</f>
        <v>Petitions, total N=51</v>
      </c>
      <c r="B10" s="157">
        <f>'Data Entry'!D11/'Data Entry'!B11</f>
        <v>0.19607843137254902</v>
      </c>
      <c r="C10" s="157">
        <f>'Data Entry'!E11/'Data Entry'!B11</f>
        <v>1.9607843137254902E-2</v>
      </c>
      <c r="D10" s="157">
        <f>'Data Entry'!F11/'Data Entry'!B11</f>
        <v>0</v>
      </c>
      <c r="E10" s="157">
        <f>'Data Entry'!G11/'Data Entry'!B11</f>
        <v>0</v>
      </c>
      <c r="F10" s="157">
        <f>'Data Entry'!H11/'Data Entry'!B11</f>
        <v>0</v>
      </c>
      <c r="G10" s="157">
        <f>'Data Entry'!I11/'Data Entry'!B11</f>
        <v>7.8431372549019607E-2</v>
      </c>
      <c r="H10" s="157">
        <f>SUM(D10:G10)/'Data Entry'!B11</f>
        <v>1.5378700499807767E-3</v>
      </c>
      <c r="I10" s="157">
        <f>'Data Entry'!C11/'Data Entry'!B11</f>
        <v>0.70588235294117652</v>
      </c>
      <c r="K10" s="97" t="str">
        <f t="shared" si="0"/>
        <v>Petitions, total N=51</v>
      </c>
      <c r="L10">
        <f>I14/(SUM(B14:G14))</f>
        <v>7.5655577299412897</v>
      </c>
    </row>
    <row r="11" spans="1:12" x14ac:dyDescent="0.2">
      <c r="A11" s="132" t="str">
        <f>CONCATENATE("Detentions, total N=", 'Data Entry'!B10)</f>
        <v>Detentions, total N=14</v>
      </c>
      <c r="B11" s="157">
        <f>'Data Entry'!D10/'Data Entry'!B10</f>
        <v>0.21428571428571427</v>
      </c>
      <c r="C11" s="157">
        <f>'Data Entry'!E10/'Data Entry'!B10</f>
        <v>0</v>
      </c>
      <c r="D11" s="157">
        <f>'Data Entry'!F10/'Data Entry'!B10</f>
        <v>0</v>
      </c>
      <c r="E11" s="157">
        <f>'Data Entry'!G10/'Data Entry'!B10</f>
        <v>0</v>
      </c>
      <c r="F11" s="157">
        <f>'Data Entry'!H10/'Data Entry'!B10</f>
        <v>0</v>
      </c>
      <c r="G11" s="157">
        <f>'Data Entry'!I10/'Data Entry'!B10</f>
        <v>0.21428571428571427</v>
      </c>
      <c r="H11" s="157">
        <f>SUM(D11:G11)/'Data Entry'!B10</f>
        <v>1.5306122448979591E-2</v>
      </c>
      <c r="I11" s="157">
        <f>'Data Entry'!C10/'Data Entry'!B10</f>
        <v>0.5714285714285714</v>
      </c>
      <c r="K11" s="97" t="str">
        <f t="shared" si="0"/>
        <v>Detentions, total N=14</v>
      </c>
      <c r="L11">
        <f>I14/(SUM(B14:G14))</f>
        <v>7.5655577299412897</v>
      </c>
    </row>
    <row r="12" spans="1:12" x14ac:dyDescent="0.2">
      <c r="A12" s="132" t="str">
        <f>CONCATENATE("Referrals, total N=", 'Data Entry'!B8)</f>
        <v>Referrals, total N=187</v>
      </c>
      <c r="B12" s="157">
        <f>'Data Entry'!D8/'Data Entry'!B8</f>
        <v>0.18716577540106952</v>
      </c>
      <c r="C12" s="157">
        <f>'Data Entry'!E8/'Data Entry'!B8</f>
        <v>1.06951871657754E-2</v>
      </c>
      <c r="D12" s="157">
        <f>'Data Entry'!F8/'Data Entry'!B8</f>
        <v>0</v>
      </c>
      <c r="E12" s="157">
        <f>'Data Entry'!G8/'Data Entry'!B8</f>
        <v>0</v>
      </c>
      <c r="F12" s="157">
        <f>'Data Entry'!H8/'Data Entry'!B8</f>
        <v>0</v>
      </c>
      <c r="G12" s="157">
        <f>'Data Entry'!I8/'Data Entry'!B8</f>
        <v>4.8128342245989303E-2</v>
      </c>
      <c r="H12" s="157">
        <f>SUM(D12:G12)/'Data Entry'!B8</f>
        <v>2.5737081414967539E-4</v>
      </c>
      <c r="I12" s="157">
        <f>'Data Entry'!C8/'Data Entry'!B8</f>
        <v>0.75401069518716579</v>
      </c>
      <c r="K12" s="97" t="str">
        <f t="shared" si="0"/>
        <v>Referrals, total N=187</v>
      </c>
      <c r="L12">
        <f>I14/(SUM(B14:G14))</f>
        <v>7.5655577299412897</v>
      </c>
    </row>
    <row r="13" spans="1:12" x14ac:dyDescent="0.2">
      <c r="A13" s="132" t="str">
        <f>CONCATENATE("Arrests, total N=", 'Data Entry'!B7)</f>
        <v>Arrests, total N=9</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0.88888888888888884</v>
      </c>
      <c r="K13" s="97" t="str">
        <f t="shared" si="0"/>
        <v>Arrests, total N=9</v>
      </c>
      <c r="L13">
        <f>I14/(SUM(B14:G14))</f>
        <v>7.5655577299412897</v>
      </c>
    </row>
    <row r="14" spans="1:12" x14ac:dyDescent="0.2">
      <c r="A14" s="132" t="str">
        <f>CONCATENATE("Population, total N=", 'Data Entry'!B6)</f>
        <v>Population, total N=13131</v>
      </c>
      <c r="B14" s="157">
        <f>'Data Entry'!D6/'Data Entry'!B6</f>
        <v>4.4551062371487322E-2</v>
      </c>
      <c r="C14" s="157">
        <f>'Data Entry'!E6/'Data Entry'!B6</f>
        <v>5.8563704211408121E-2</v>
      </c>
      <c r="D14" s="157">
        <f>'Data Entry'!F6/'Data Entry'!B6</f>
        <v>1.0585637042114081E-2</v>
      </c>
      <c r="E14" s="157">
        <f>'Data Entry'!G6/'Data Entry'!B6</f>
        <v>0</v>
      </c>
      <c r="F14" s="157">
        <f>'Data Entry'!H6/'Data Entry'!B6</f>
        <v>3.046226486939304E-3</v>
      </c>
      <c r="G14" s="157">
        <f>'Data Entry'!I6/'Data Entry'!B6</f>
        <v>0</v>
      </c>
      <c r="H14" s="157">
        <f>SUM(D14:G14)/'Data Entry'!B6</f>
        <v>1.0381435937136078E-6</v>
      </c>
      <c r="I14" s="157">
        <f>'Data Entry'!C6/'Data Entry'!B6</f>
        <v>0.88325336988805114</v>
      </c>
      <c r="K14" s="97" t="str">
        <f t="shared" si="0"/>
        <v>Population, total N=13131</v>
      </c>
      <c r="L14">
        <f>I14/(SUM(B14:G14))</f>
        <v>7.5655577299412897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Monroe</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11598</v>
      </c>
      <c r="D7" s="105">
        <f>'Data Entry'!D6</f>
        <v>585</v>
      </c>
      <c r="E7" s="106"/>
      <c r="F7" s="107">
        <f>'Data Entry'!E6</f>
        <v>769</v>
      </c>
      <c r="G7" s="106"/>
      <c r="H7" s="107">
        <f>'Data Entry'!F6</f>
        <v>139</v>
      </c>
      <c r="I7" s="106"/>
      <c r="J7" s="107">
        <f>'Data Entry'!J6</f>
        <v>1533</v>
      </c>
      <c r="K7" s="108"/>
    </row>
    <row r="8" spans="2:30" s="1" customFormat="1" ht="15" customHeight="1" x14ac:dyDescent="0.3">
      <c r="B8" s="125" t="s">
        <v>8</v>
      </c>
      <c r="C8" s="104">
        <f>'Data Entry'!C7</f>
        <v>8</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x14ac:dyDescent="0.3">
      <c r="B9" s="125" t="s">
        <v>134</v>
      </c>
      <c r="C9" s="104">
        <f>'Data Entry'!C8</f>
        <v>141</v>
      </c>
      <c r="D9" s="109">
        <f>'Data Entry'!D8</f>
        <v>35</v>
      </c>
      <c r="E9" s="110" t="str">
        <f>'Black or African-American'!$G8</f>
        <v>**</v>
      </c>
      <c r="F9" s="111">
        <f>'Data Entry'!E8</f>
        <v>2</v>
      </c>
      <c r="G9" s="110" t="str">
        <f>Hispanic!G8</f>
        <v>**</v>
      </c>
      <c r="H9" s="111">
        <f>'Data Entry'!F8</f>
        <v>0</v>
      </c>
      <c r="I9" s="110" t="str">
        <f>Asian!G8</f>
        <v>**</v>
      </c>
      <c r="J9" s="111">
        <f>'Data Entry'!J8</f>
        <v>46</v>
      </c>
      <c r="K9" s="112" t="str">
        <f>'All Minorities'!G8</f>
        <v>**</v>
      </c>
      <c r="L9"/>
      <c r="N9" s="1">
        <f>'Black or African-American'!L8</f>
        <v>20</v>
      </c>
      <c r="O9" s="1">
        <f>Hispanic!L8</f>
        <v>40</v>
      </c>
      <c r="P9" s="1">
        <f>Asian!L8</f>
        <v>40</v>
      </c>
      <c r="Q9" s="1">
        <f>Hawaiian!L8</f>
        <v>139</v>
      </c>
      <c r="R9" s="1">
        <f>'Am Indian'!L8</f>
        <v>139</v>
      </c>
      <c r="S9" s="1">
        <f>'Other - Mixed'!L8</f>
        <v>119</v>
      </c>
      <c r="T9" s="1">
        <f>'All Minorities'!L8</f>
        <v>20</v>
      </c>
    </row>
    <row r="10" spans="2:30" s="1" customFormat="1" ht="15" customHeight="1" x14ac:dyDescent="0.3">
      <c r="B10" s="125" t="s">
        <v>10</v>
      </c>
      <c r="C10" s="104">
        <f>'Data Entry'!C9</f>
        <v>88</v>
      </c>
      <c r="D10" s="113">
        <f>'Data Entry'!D9</f>
        <v>20</v>
      </c>
      <c r="E10" s="114">
        <f>'Black or African-American'!$G9</f>
        <v>0.91558441558441561</v>
      </c>
      <c r="F10" s="115">
        <f>'Data Entry'!E9</f>
        <v>0</v>
      </c>
      <c r="G10" s="114" t="str">
        <f>Hispanic!G9</f>
        <v>**</v>
      </c>
      <c r="H10" s="115">
        <f>'Data Entry'!F9</f>
        <v>0</v>
      </c>
      <c r="I10" s="114" t="str">
        <f>Asian!G9</f>
        <v>--</v>
      </c>
      <c r="J10" s="115">
        <f>'Data Entry'!J9</f>
        <v>24</v>
      </c>
      <c r="K10" s="116">
        <f>'All Minorities'!G9</f>
        <v>0.83596837944664026</v>
      </c>
      <c r="L10"/>
      <c r="N10" s="1">
        <f>'Black or African-American'!L9</f>
        <v>2</v>
      </c>
      <c r="O10" s="1">
        <f>Hispanic!L9</f>
        <v>40</v>
      </c>
      <c r="P10" s="1" t="e">
        <f>Asian!L9</f>
        <v>#VALUE!</v>
      </c>
      <c r="Q10" s="1" t="e">
        <f>Hawaiian!L9</f>
        <v>#VALUE!</v>
      </c>
      <c r="R10" s="1" t="e">
        <f>'Am Indian'!L9</f>
        <v>#VALUE!</v>
      </c>
      <c r="S10" s="1">
        <f>'Other - Mixed'!L9</f>
        <v>139</v>
      </c>
      <c r="T10" s="1">
        <f>'All Minorities'!L9</f>
        <v>2</v>
      </c>
    </row>
    <row r="11" spans="2:30" s="1" customFormat="1" ht="15" customHeight="1" x14ac:dyDescent="0.3">
      <c r="B11" s="125" t="s">
        <v>11</v>
      </c>
      <c r="C11" s="104">
        <f>'Data Entry'!C10</f>
        <v>8</v>
      </c>
      <c r="D11" s="109">
        <f>'Data Entry'!D10</f>
        <v>3</v>
      </c>
      <c r="E11" s="110" t="str">
        <f>'Black or African-American'!$G10</f>
        <v>**</v>
      </c>
      <c r="F11" s="111">
        <f>'Data Entry'!E10</f>
        <v>0</v>
      </c>
      <c r="G11" s="110" t="str">
        <f>Hispanic!G10</f>
        <v>**</v>
      </c>
      <c r="H11" s="111">
        <f>'Data Entry'!F10</f>
        <v>0</v>
      </c>
      <c r="I11" s="110" t="str">
        <f>Asian!G10</f>
        <v>--</v>
      </c>
      <c r="J11" s="111">
        <f>'Data Entry'!J10</f>
        <v>6</v>
      </c>
      <c r="K11" s="112">
        <f>'All Minorities'!G10</f>
        <v>2.2989130434782608</v>
      </c>
      <c r="L11"/>
      <c r="N11" s="1">
        <f>'Black or African-American'!L10</f>
        <v>40</v>
      </c>
      <c r="O11" s="1">
        <f>Hispanic!L10</f>
        <v>40</v>
      </c>
      <c r="P11" s="1" t="e">
        <f>Asian!L10</f>
        <v>#VALUE!</v>
      </c>
      <c r="Q11" s="1" t="e">
        <f>Hawaiian!L10</f>
        <v>#VALUE!</v>
      </c>
      <c r="R11" s="1" t="e">
        <f>'Am Indian'!L10</f>
        <v>#VALUE!</v>
      </c>
      <c r="S11" s="1">
        <f>'Other - Mixed'!L10</f>
        <v>119</v>
      </c>
      <c r="T11" s="1">
        <f>'All Minorities'!L10</f>
        <v>2</v>
      </c>
    </row>
    <row r="12" spans="2:30" s="1" customFormat="1" ht="15" customHeight="1" x14ac:dyDescent="0.3">
      <c r="B12" s="125" t="s">
        <v>95</v>
      </c>
      <c r="C12" s="104">
        <f>'Data Entry'!C11</f>
        <v>36</v>
      </c>
      <c r="D12" s="113">
        <f>'Data Entry'!D11</f>
        <v>10</v>
      </c>
      <c r="E12" s="114">
        <f>'Black or African-American'!$G11</f>
        <v>1.1190476190476191</v>
      </c>
      <c r="F12" s="115">
        <f>'Data Entry'!E11</f>
        <v>1</v>
      </c>
      <c r="G12" s="114" t="str">
        <f>Hispanic!G11</f>
        <v>**</v>
      </c>
      <c r="H12" s="115">
        <f>'Data Entry'!F11</f>
        <v>0</v>
      </c>
      <c r="I12" s="114" t="str">
        <f>Asian!G11</f>
        <v>--</v>
      </c>
      <c r="J12" s="115">
        <f>'Data Entry'!J11</f>
        <v>15</v>
      </c>
      <c r="K12" s="116">
        <f>'All Minorities'!G11</f>
        <v>1.277173913043478</v>
      </c>
      <c r="L12"/>
      <c r="N12" s="1">
        <f>'Black or African-American'!L11</f>
        <v>2</v>
      </c>
      <c r="O12" s="1">
        <f>Hispanic!L11</f>
        <v>40</v>
      </c>
      <c r="P12" s="1" t="e">
        <f>Asian!L11</f>
        <v>#VALUE!</v>
      </c>
      <c r="Q12" s="1" t="e">
        <f>Hawaiian!L11</f>
        <v>#VALUE!</v>
      </c>
      <c r="R12" s="1" t="e">
        <f>'Am Indian'!L11</f>
        <v>#VALUE!</v>
      </c>
      <c r="S12" s="1">
        <f>'Other - Mixed'!L11</f>
        <v>139</v>
      </c>
      <c r="T12" s="1">
        <f>'All Minorities'!L11</f>
        <v>2</v>
      </c>
    </row>
    <row r="13" spans="2:30" s="1" customFormat="1" ht="15" customHeight="1" x14ac:dyDescent="0.3">
      <c r="B13" s="125" t="s">
        <v>13</v>
      </c>
      <c r="C13" s="104">
        <f>'Data Entry'!C12</f>
        <v>22</v>
      </c>
      <c r="D13" s="109">
        <f>'Data Entry'!D12</f>
        <v>9</v>
      </c>
      <c r="E13" s="110" t="str">
        <f>'Black or African-American'!$G12</f>
        <v>**</v>
      </c>
      <c r="F13" s="111">
        <f>'Data Entry'!E12</f>
        <v>1</v>
      </c>
      <c r="G13" s="110" t="str">
        <f>Hispanic!G12</f>
        <v>**</v>
      </c>
      <c r="H13" s="111">
        <f>'Data Entry'!F12</f>
        <v>0</v>
      </c>
      <c r="I13" s="110" t="str">
        <f>Asian!G12</f>
        <v>--</v>
      </c>
      <c r="J13" s="111">
        <f>'Data Entry'!J12</f>
        <v>13</v>
      </c>
      <c r="K13" s="112"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5</v>
      </c>
      <c r="D15" s="109">
        <f>'Data Entry'!D14</f>
        <v>2</v>
      </c>
      <c r="E15" s="110" t="str">
        <f>'Black or African-American'!$G14</f>
        <v>**</v>
      </c>
      <c r="F15" s="111">
        <f>'Data Entry'!E14</f>
        <v>0</v>
      </c>
      <c r="G15" s="110" t="str">
        <f>Hispanic!G14</f>
        <v>**</v>
      </c>
      <c r="H15" s="111">
        <f>'Data Entry'!F14</f>
        <v>0</v>
      </c>
      <c r="I15" s="110" t="str">
        <f>Asian!G14</f>
        <v>--</v>
      </c>
      <c r="J15" s="111">
        <f>'Data Entry'!J14</f>
        <v>3</v>
      </c>
      <c r="K15" s="112"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Monroe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11598</v>
      </c>
      <c r="D6" s="34"/>
      <c r="E6" s="33">
        <f>'Data Entry'!D6</f>
        <v>585</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0.68977409898258313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585</v>
      </c>
      <c r="P7" s="42">
        <f t="shared" ref="P7:P15" si="2">C7</f>
        <v>8</v>
      </c>
      <c r="Q7" s="42">
        <f>C6-C7</f>
        <v>11590</v>
      </c>
      <c r="R7" s="42">
        <f t="shared" ref="R7:R15" si="3">SUM(N7:Q7)</f>
        <v>12183</v>
      </c>
      <c r="S7" s="30">
        <f t="shared" ref="S7:S15" si="4">R7*((((N7*Q7)-(O7*P7))^2))</f>
        <v>266836939200</v>
      </c>
      <c r="T7" s="30">
        <f t="shared" ref="T7:T15" si="5">(N7+O7)*(P7+Q7)*(N7+P7)*(O7+Q7)</f>
        <v>660842442000</v>
      </c>
      <c r="U7" s="31">
        <f t="shared" ref="U7:U15" si="6">IF((S7&gt;0),S7/T7,"- -")</f>
        <v>0.40378299310261312</v>
      </c>
    </row>
    <row r="8" spans="2:21" ht="18" customHeight="1" x14ac:dyDescent="0.25">
      <c r="B8" s="32" t="str">
        <f>'Data Entry'!A8</f>
        <v>3. Refer to Juvenile Court</v>
      </c>
      <c r="C8" s="33">
        <f>'Data Entry'!C8</f>
        <v>141</v>
      </c>
      <c r="D8" s="34">
        <f>IF((AND(C67&gt;0,C8&gt;0)),(C8/C67),0)</f>
        <v>1762.5</v>
      </c>
      <c r="E8" s="33">
        <f>'Data Entry'!D8</f>
        <v>35</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35</v>
      </c>
      <c r="O8" s="42">
        <f>((D67*L67)-E8)+0.05</f>
        <v>-34.950000000000003</v>
      </c>
      <c r="P8" s="42">
        <f t="shared" si="2"/>
        <v>141</v>
      </c>
      <c r="Q8" s="42">
        <f>(C$67*L67)-C8</f>
        <v>-133</v>
      </c>
      <c r="R8" s="42">
        <f t="shared" si="3"/>
        <v>8.0500000000000114</v>
      </c>
      <c r="S8" s="30">
        <f t="shared" si="4"/>
        <v>599738.70512500405</v>
      </c>
      <c r="T8" s="30">
        <f t="shared" si="5"/>
        <v>-11823.679999999327</v>
      </c>
      <c r="U8" s="31">
        <f t="shared" si="6"/>
        <v>-50.723523059236904</v>
      </c>
    </row>
    <row r="9" spans="2:21" ht="18" customHeight="1" x14ac:dyDescent="0.25">
      <c r="B9" s="32" t="str">
        <f>'Data Entry'!A9</f>
        <v xml:space="preserve">4. Cases Diverted </v>
      </c>
      <c r="C9" s="33">
        <f>'Data Entry'!C9</f>
        <v>88</v>
      </c>
      <c r="D9" s="34">
        <f>IF((AND(C68&gt;0,C9&gt;0)),((C9/C68)),0)</f>
        <v>62.411347517730498</v>
      </c>
      <c r="E9" s="33">
        <f>'Data Entry'!D9</f>
        <v>20</v>
      </c>
      <c r="F9" s="34">
        <f>IF((AND($E$9&gt;0,$D$68&gt;0)),(($E$9/$D$68)),0)</f>
        <v>57.142857142857146</v>
      </c>
      <c r="G9" s="39">
        <f t="shared" si="7"/>
        <v>0.91558441558441561</v>
      </c>
      <c r="H9" s="40"/>
      <c r="I9" s="41"/>
      <c r="J9" s="40">
        <f>IF((ABS($U9)&gt;Defaults!D$7),1,2)</f>
        <v>2</v>
      </c>
      <c r="K9" s="39">
        <f>IF((AND(N9&gt;Defaults!B$12,(N9+O9)&gt;Defaults!B$13, P9 &gt; Defaults!B$12, (P9+Q9) &gt; Defaults!B$13)),1,20)</f>
        <v>1</v>
      </c>
      <c r="L9" s="1">
        <f t="shared" si="8"/>
        <v>2</v>
      </c>
      <c r="M9" s="1" t="b">
        <f t="shared" si="0"/>
        <v>1</v>
      </c>
      <c r="N9" s="42">
        <f t="shared" si="1"/>
        <v>20</v>
      </c>
      <c r="O9" s="42">
        <f>(D$68*L68)-E9</f>
        <v>15</v>
      </c>
      <c r="P9" s="42">
        <f t="shared" si="2"/>
        <v>88</v>
      </c>
      <c r="Q9" s="42">
        <f>(C$68*L68)-C9</f>
        <v>53</v>
      </c>
      <c r="R9" s="42">
        <f t="shared" si="3"/>
        <v>176</v>
      </c>
      <c r="S9" s="30">
        <f t="shared" si="4"/>
        <v>11897600</v>
      </c>
      <c r="T9" s="30">
        <f t="shared" si="5"/>
        <v>36242640</v>
      </c>
      <c r="U9" s="31">
        <f t="shared" si="6"/>
        <v>0.32827630658252266</v>
      </c>
    </row>
    <row r="10" spans="2:21" ht="18" customHeight="1" x14ac:dyDescent="0.25">
      <c r="B10" s="32" t="str">
        <f>'Data Entry'!A10</f>
        <v>5. Cases Involving Secure Detention</v>
      </c>
      <c r="C10" s="33">
        <f>'Data Entry'!C10</f>
        <v>8</v>
      </c>
      <c r="D10" s="34">
        <f>IF(((AND(C68&gt;0,C10&gt;0))),(C10/(C68)),0)</f>
        <v>5.6737588652482271</v>
      </c>
      <c r="E10" s="33">
        <f>'Data Entry'!D10</f>
        <v>3</v>
      </c>
      <c r="F10" s="34">
        <f>IF(((AND($E$10&gt;0,$D$68&gt;0))),($E$10/($D$68)),0)</f>
        <v>8.5714285714285712</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3</v>
      </c>
      <c r="O10" s="42">
        <f>(D$68*L68)-E10</f>
        <v>32</v>
      </c>
      <c r="P10" s="42">
        <f t="shared" si="2"/>
        <v>8</v>
      </c>
      <c r="Q10" s="42">
        <f>(C$68*L68)-C10</f>
        <v>133</v>
      </c>
      <c r="R10" s="42">
        <f t="shared" si="3"/>
        <v>176</v>
      </c>
      <c r="S10" s="30">
        <f t="shared" si="4"/>
        <v>3599024</v>
      </c>
      <c r="T10" s="30">
        <f t="shared" si="5"/>
        <v>8957025</v>
      </c>
      <c r="U10" s="31">
        <f t="shared" si="6"/>
        <v>0.40181019925700778</v>
      </c>
    </row>
    <row r="11" spans="2:21" ht="18" customHeight="1" x14ac:dyDescent="0.25">
      <c r="B11" s="32" t="str">
        <f>'Data Entry'!A11</f>
        <v>6. Cases Petitioned (Charge Filed)</v>
      </c>
      <c r="C11" s="33">
        <f>'Data Entry'!C11</f>
        <v>36</v>
      </c>
      <c r="D11" s="34">
        <f>IF(((AND(C68&gt;0,C11&gt;0))),(C11/(C68)),0)</f>
        <v>25.531914893617024</v>
      </c>
      <c r="E11" s="33">
        <f>'Data Entry'!D11</f>
        <v>10</v>
      </c>
      <c r="F11" s="34">
        <f>IF(((AND($E$11&gt;0,$D$68&gt;0))),($E$11/($D$68)),0)</f>
        <v>28.571428571428573</v>
      </c>
      <c r="G11" s="39">
        <f t="shared" si="7"/>
        <v>1.1190476190476191</v>
      </c>
      <c r="H11" s="40"/>
      <c r="I11" s="41"/>
      <c r="J11" s="40">
        <f>IF((ABS($U11)&gt;Defaults!D$7),1,2)</f>
        <v>2</v>
      </c>
      <c r="K11" s="39">
        <f>IF((AND(N11&gt;Defaults!B$12,(N11+O11)&gt;Defaults!B$13, P11 &gt; Defaults!B$12, (P11+Q11) &gt; Defaults!B$13)),1,20)</f>
        <v>1</v>
      </c>
      <c r="L11" s="1">
        <f t="shared" si="8"/>
        <v>2</v>
      </c>
      <c r="M11" s="1" t="b">
        <f t="shared" si="0"/>
        <v>1</v>
      </c>
      <c r="N11" s="42">
        <f t="shared" si="1"/>
        <v>10</v>
      </c>
      <c r="O11" s="42">
        <f>(D$68*L68)-E11</f>
        <v>25</v>
      </c>
      <c r="P11" s="42">
        <f t="shared" si="2"/>
        <v>36</v>
      </c>
      <c r="Q11" s="42">
        <f>(C$68*L68)-C11</f>
        <v>105</v>
      </c>
      <c r="R11" s="42">
        <f t="shared" si="3"/>
        <v>176</v>
      </c>
      <c r="S11" s="30">
        <f t="shared" si="4"/>
        <v>3960000</v>
      </c>
      <c r="T11" s="30">
        <f t="shared" si="5"/>
        <v>29511300</v>
      </c>
      <c r="U11" s="31">
        <f t="shared" si="6"/>
        <v>0.13418588811743298</v>
      </c>
    </row>
    <row r="12" spans="2:21" ht="18" customHeight="1" x14ac:dyDescent="0.25">
      <c r="B12" s="32" t="str">
        <f>'Data Entry'!A12</f>
        <v>7. Cases Resulting in Delinquent Findings</v>
      </c>
      <c r="C12" s="33">
        <f>'Data Entry'!C12</f>
        <v>22</v>
      </c>
      <c r="D12" s="34">
        <f>IF(((AND(C69&gt;0,C12&gt;0))),(C12/(C69)),0)</f>
        <v>61.111111111111114</v>
      </c>
      <c r="E12" s="33">
        <f>'Data Entry'!D12</f>
        <v>9</v>
      </c>
      <c r="F12" s="34">
        <f>IF(((AND($D$69&gt;0,$E$12&gt;0))),(E12/(D69)),0)</f>
        <v>90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9</v>
      </c>
      <c r="O12" s="42">
        <f>(D69*L69)-E12</f>
        <v>1</v>
      </c>
      <c r="P12" s="42">
        <f t="shared" si="2"/>
        <v>22</v>
      </c>
      <c r="Q12" s="42">
        <f>(C69*L69)-C12</f>
        <v>14</v>
      </c>
      <c r="R12" s="42">
        <f t="shared" si="3"/>
        <v>46</v>
      </c>
      <c r="S12" s="30">
        <f t="shared" si="4"/>
        <v>497536</v>
      </c>
      <c r="T12" s="30">
        <f t="shared" si="5"/>
        <v>167400</v>
      </c>
      <c r="U12" s="31">
        <f t="shared" si="6"/>
        <v>2.9721385902031061</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9</v>
      </c>
      <c r="P13" s="42">
        <f t="shared" si="2"/>
        <v>0</v>
      </c>
      <c r="Q13" s="42">
        <f>(C70*L70)-C13</f>
        <v>22</v>
      </c>
      <c r="R13" s="42">
        <f t="shared" si="3"/>
        <v>31</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5</v>
      </c>
      <c r="D14" s="34">
        <f>IF(((AND(C70&gt;0,C14&gt;0))), ((C14/(C70))),0)</f>
        <v>22.727272727272727</v>
      </c>
      <c r="E14" s="33">
        <f>'Data Entry'!D14</f>
        <v>2</v>
      </c>
      <c r="F14" s="34">
        <f>IF(((AND($D$70&gt;0,$E$14&gt;0))), (($E$14/($D$70))),0)</f>
        <v>22.222222222222221</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2</v>
      </c>
      <c r="O14" s="42">
        <f>(D70*L70)-E14</f>
        <v>7</v>
      </c>
      <c r="P14" s="42">
        <f t="shared" si="2"/>
        <v>5</v>
      </c>
      <c r="Q14" s="42">
        <f>(C70*L70)-C14</f>
        <v>17</v>
      </c>
      <c r="R14" s="42">
        <f t="shared" si="3"/>
        <v>31</v>
      </c>
      <c r="S14" s="30">
        <f t="shared" si="4"/>
        <v>31</v>
      </c>
      <c r="T14" s="30">
        <f t="shared" si="5"/>
        <v>33264</v>
      </c>
      <c r="U14" s="31">
        <f t="shared" si="6"/>
        <v>9.3193843193843196E-4</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10</v>
      </c>
      <c r="P15" s="42">
        <f t="shared" si="2"/>
        <v>0</v>
      </c>
      <c r="Q15" s="42">
        <f>(C69*L69)-C15</f>
        <v>36</v>
      </c>
      <c r="R15" s="42">
        <f t="shared" si="3"/>
        <v>46</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11.598000000000001</v>
      </c>
      <c r="D42" s="56">
        <f>E6/1000</f>
        <v>0.58499999999999996</v>
      </c>
      <c r="E42" s="56">
        <f>MAX(C42:D42)</f>
        <v>11.598000000000001</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1.41</v>
      </c>
      <c r="D44" s="56">
        <f>E8/100</f>
        <v>0.35</v>
      </c>
      <c r="E44" s="56">
        <f>MAX(C44:D44,0)</f>
        <v>1.41</v>
      </c>
      <c r="G44" s="1" t="str">
        <f>B44</f>
        <v>per 100 referrals</v>
      </c>
      <c r="L44" s="57">
        <v>100</v>
      </c>
      <c r="M44" s="57"/>
      <c r="R44" s="49"/>
    </row>
    <row r="45" spans="2:18" ht="15" hidden="1" customHeight="1" x14ac:dyDescent="0.25">
      <c r="B45" s="49" t="s">
        <v>89</v>
      </c>
      <c r="C45" s="49">
        <f>C11/100</f>
        <v>0.36</v>
      </c>
      <c r="D45" s="49">
        <f>E11/100</f>
        <v>0.1</v>
      </c>
      <c r="E45" s="56">
        <f>MAX(C45:D45,0)</f>
        <v>0.36</v>
      </c>
      <c r="G45" s="1" t="str">
        <f>B45</f>
        <v>per 100 youth petitioned</v>
      </c>
      <c r="L45" s="57">
        <v>100</v>
      </c>
      <c r="M45" s="57"/>
      <c r="R45" s="49"/>
    </row>
    <row r="46" spans="2:18" ht="15" hidden="1" customHeight="1" x14ac:dyDescent="0.25">
      <c r="B46" s="49" t="s">
        <v>90</v>
      </c>
      <c r="C46" s="49">
        <f>C12/100</f>
        <v>0.22</v>
      </c>
      <c r="D46" s="49">
        <f>E12/100</f>
        <v>0.09</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11.598000000000001</v>
      </c>
      <c r="D48" s="56">
        <f>D42</f>
        <v>0.58499999999999996</v>
      </c>
      <c r="E48" s="56">
        <f>MAX(C48:D48)</f>
        <v>11.598000000000001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1.41</v>
      </c>
      <c r="D50" s="49">
        <f t="shared" si="9"/>
        <v>0.35</v>
      </c>
      <c r="E50" s="49">
        <f>MAX(C50:D50)</f>
        <v>1.41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0.36</v>
      </c>
      <c r="D51" s="49">
        <f>IF(($E45&gt;0),D45,D44)</f>
        <v>0.1</v>
      </c>
      <c r="E51" s="49">
        <f>MAX(C51:D51)</f>
        <v>0.36</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0.09</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11.598000000000001</v>
      </c>
      <c r="D54" s="56">
        <f>D48</f>
        <v>0.58499999999999996</v>
      </c>
      <c r="E54" s="56">
        <f>MAX(C54:D54)</f>
        <v>11.598000000000001</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referrals</v>
      </c>
      <c r="C56" s="49">
        <f t="shared" si="10"/>
        <v>1.41</v>
      </c>
      <c r="D56" s="49">
        <f t="shared" si="10"/>
        <v>0.35</v>
      </c>
      <c r="E56" s="49">
        <f>MAX(C56:D56)</f>
        <v>1.41</v>
      </c>
      <c r="G56" s="1" t="str">
        <f>G50</f>
        <v>per 100 referrals</v>
      </c>
      <c r="L56" s="58">
        <f>IF(($E50&gt;0),L50,L49)</f>
        <v>100</v>
      </c>
      <c r="M56" s="58"/>
    </row>
    <row r="57" spans="2:18" ht="15" hidden="1" customHeight="1" x14ac:dyDescent="0.25">
      <c r="B57" s="49" t="str">
        <f>IF(($E51&gt;0),B51,B49)</f>
        <v>per 100 youth petitioned</v>
      </c>
      <c r="C57" s="49">
        <f>IF(($E51&gt;0),C51,C50)</f>
        <v>0.36</v>
      </c>
      <c r="D57" s="49">
        <f>IF(($E51&gt;0),D51,D50)</f>
        <v>0.1</v>
      </c>
      <c r="E57" s="49">
        <f>MAX(C57:D57)</f>
        <v>0.36</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0.09</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11.598000000000001</v>
      </c>
      <c r="D60" s="56">
        <f>D54</f>
        <v>0.58499999999999996</v>
      </c>
      <c r="E60" s="56">
        <f>MAX(C60:D60)</f>
        <v>11.598000000000001</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referrals</v>
      </c>
      <c r="C62" s="49">
        <f t="shared" si="11"/>
        <v>1.41</v>
      </c>
      <c r="D62" s="49">
        <f t="shared" si="11"/>
        <v>0.35</v>
      </c>
      <c r="E62" s="49">
        <f>MAX(C62:D62)</f>
        <v>1.41</v>
      </c>
      <c r="G62" s="1" t="str">
        <f>G56</f>
        <v>per 100 referrals</v>
      </c>
      <c r="L62" s="58">
        <f>IF(($E56&gt;0),L56,L55)</f>
        <v>100</v>
      </c>
      <c r="M62" s="58"/>
    </row>
    <row r="63" spans="2:18" ht="15" hidden="1" customHeight="1" x14ac:dyDescent="0.25">
      <c r="B63" s="49" t="str">
        <f>IF(($E57&gt;0),B57,B55)</f>
        <v>per 100 youth petitioned</v>
      </c>
      <c r="C63" s="49">
        <f>IF(($E57&gt;0),C57,C56)</f>
        <v>0.36</v>
      </c>
      <c r="D63" s="49">
        <f>IF(($E57&gt;0),D57,D56)</f>
        <v>0.1</v>
      </c>
      <c r="E63" s="49">
        <f>MAX(C63:D63)</f>
        <v>0.36</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0.09</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11.598000000000001</v>
      </c>
      <c r="D66" s="56">
        <f>D60</f>
        <v>0.58499999999999996</v>
      </c>
      <c r="E66" s="56">
        <f>MAX(C66:D66)</f>
        <v>11.598000000000001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referrals</v>
      </c>
      <c r="C68" s="49">
        <f t="shared" si="12"/>
        <v>1.41</v>
      </c>
      <c r="D68" s="49">
        <f t="shared" si="12"/>
        <v>0.35</v>
      </c>
      <c r="E68" s="49">
        <f>MAX(C68:D68)</f>
        <v>1.41</v>
      </c>
      <c r="G68" s="1" t="str">
        <f>G62</f>
        <v>per 100 referrals</v>
      </c>
      <c r="L68" s="58">
        <f>IF(($E62&gt;0),L62,L61)</f>
        <v>100</v>
      </c>
      <c r="M68" s="58">
        <f>IF((B68=G68),1,2)</f>
        <v>1</v>
      </c>
    </row>
    <row r="69" spans="2:13" ht="15" hidden="1" customHeight="1" x14ac:dyDescent="0.25">
      <c r="B69" s="49" t="str">
        <f>IF(($E63&gt;0),B63,B61)</f>
        <v>per 100 youth petitioned</v>
      </c>
      <c r="C69" s="49">
        <f>IF(($E63&gt;0),C63,C62)</f>
        <v>0.36</v>
      </c>
      <c r="D69" s="49">
        <f>IF(($E63&gt;0),D63,D62)</f>
        <v>0.1</v>
      </c>
      <c r="E69" s="49">
        <f>MAX(C69:D69)</f>
        <v>0.36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0.09</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Monroe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11598</v>
      </c>
      <c r="D6" s="34"/>
      <c r="E6" s="33">
        <f>'Data Entry'!F6</f>
        <v>139</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0.68977409898258313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139</v>
      </c>
      <c r="P7" s="42">
        <f t="shared" ref="P7:P15" si="4">C7</f>
        <v>8</v>
      </c>
      <c r="Q7" s="42">
        <f>C6-C7</f>
        <v>11590</v>
      </c>
      <c r="R7" s="42">
        <f t="shared" ref="R7:R15" si="5">SUM(N7:Q7)</f>
        <v>11737</v>
      </c>
      <c r="S7" s="30">
        <f t="shared" ref="S7:S15" si="6">R7*((((N7*Q7)-(O7*P7))^2))</f>
        <v>14513316928</v>
      </c>
      <c r="T7" s="30">
        <f t="shared" ref="T7:T15" si="7">(N7+O7)*(P7+Q7)*(N7+P7)*(O7+Q7)</f>
        <v>151268631504</v>
      </c>
      <c r="U7" s="31">
        <f t="shared" ref="U7:U15" si="8">IF((S7&gt;0),S7/T7,"- -")</f>
        <v>9.5943995683045652E-2</v>
      </c>
    </row>
    <row r="8" spans="2:21" ht="18" customHeight="1" x14ac:dyDescent="0.25">
      <c r="B8" s="32" t="str">
        <f>'Data Entry'!A8</f>
        <v>3. Refer to Juvenile Court</v>
      </c>
      <c r="C8" s="33">
        <f>'Data Entry'!C8</f>
        <v>141</v>
      </c>
      <c r="D8" s="34">
        <f>IF((AND(C67&gt;0,C8&gt;0)),(C8/C67),0)</f>
        <v>1762.5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141</v>
      </c>
      <c r="Q8" s="42">
        <f>(C$67*L67)-C8</f>
        <v>-133</v>
      </c>
      <c r="R8" s="42">
        <f t="shared" si="5"/>
        <v>8.0500000000000114</v>
      </c>
      <c r="S8" s="30">
        <f t="shared" si="6"/>
        <v>400.10512500000061</v>
      </c>
      <c r="T8" s="30">
        <f t="shared" si="7"/>
        <v>-7498.38</v>
      </c>
      <c r="U8" s="31">
        <f t="shared" si="8"/>
        <v>-5.3358875517111777E-2</v>
      </c>
    </row>
    <row r="9" spans="2:21" ht="18" customHeight="1" x14ac:dyDescent="0.25">
      <c r="B9" s="32" t="str">
        <f>'Data Entry'!A9</f>
        <v xml:space="preserve">4. Cases Diverted </v>
      </c>
      <c r="C9" s="33">
        <f>'Data Entry'!C9</f>
        <v>88</v>
      </c>
      <c r="D9" s="34">
        <f>IF((AND(C68&gt;0,C9&gt;0)),((C9/C68)),0)</f>
        <v>62.411347517730498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88</v>
      </c>
      <c r="Q9" s="42">
        <f>(C$68*L68)-C9</f>
        <v>53</v>
      </c>
      <c r="R9" s="42">
        <f t="shared" si="5"/>
        <v>141</v>
      </c>
      <c r="S9" s="30">
        <f t="shared" si="6"/>
        <v>0</v>
      </c>
      <c r="T9" s="30">
        <f t="shared" si="7"/>
        <v>0</v>
      </c>
      <c r="U9" s="31" t="str">
        <f t="shared" si="8"/>
        <v>- -</v>
      </c>
    </row>
    <row r="10" spans="2:21" ht="18" customHeight="1" x14ac:dyDescent="0.25">
      <c r="B10" s="32" t="str">
        <f>'Data Entry'!A10</f>
        <v>5. Cases Involving Secure Detention</v>
      </c>
      <c r="C10" s="33">
        <f>'Data Entry'!C10</f>
        <v>8</v>
      </c>
      <c r="D10" s="34">
        <f>IF(((AND(C68&gt;0,C10&gt;0))),(C10/(C68)),0)</f>
        <v>5.6737588652482271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133</v>
      </c>
      <c r="R10" s="42">
        <f t="shared" si="5"/>
        <v>141</v>
      </c>
      <c r="S10" s="30">
        <f t="shared" si="6"/>
        <v>0</v>
      </c>
      <c r="T10" s="30">
        <f t="shared" si="7"/>
        <v>0</v>
      </c>
      <c r="U10" s="31" t="str">
        <f t="shared" si="8"/>
        <v>- -</v>
      </c>
    </row>
    <row r="11" spans="2:21" ht="18" customHeight="1" x14ac:dyDescent="0.25">
      <c r="B11" s="32" t="str">
        <f>'Data Entry'!A11</f>
        <v>6. Cases Petitioned (Charge Filed)</v>
      </c>
      <c r="C11" s="33">
        <f>'Data Entry'!C11</f>
        <v>36</v>
      </c>
      <c r="D11" s="34">
        <f>IF(((AND(C68&gt;0,C11&gt;0))),(C11/(C68)),0)</f>
        <v>25.531914893617024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105</v>
      </c>
      <c r="R11" s="42">
        <f t="shared" si="5"/>
        <v>141</v>
      </c>
      <c r="S11" s="30">
        <f t="shared" si="6"/>
        <v>0</v>
      </c>
      <c r="T11" s="30">
        <f t="shared" si="7"/>
        <v>0</v>
      </c>
      <c r="U11" s="31" t="str">
        <f t="shared" si="8"/>
        <v>- -</v>
      </c>
    </row>
    <row r="12" spans="2:21" ht="18" customHeight="1" x14ac:dyDescent="0.25">
      <c r="B12" s="32" t="str">
        <f>'Data Entry'!A12</f>
        <v>7. Cases Resulting in Delinquent Findings</v>
      </c>
      <c r="C12" s="33">
        <f>'Data Entry'!C12</f>
        <v>22</v>
      </c>
      <c r="D12" s="34">
        <f>IF(((AND(C69&gt;0,C12&gt;0))),(C12/(C69)),0)</f>
        <v>61.111111111111114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22</v>
      </c>
      <c r="Q12" s="42">
        <f>(C69*L69)-C12</f>
        <v>14</v>
      </c>
      <c r="R12" s="42">
        <f t="shared" si="5"/>
        <v>36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22</v>
      </c>
      <c r="R13" s="42">
        <f t="shared" si="5"/>
        <v>22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22.727272727272727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17</v>
      </c>
      <c r="R14" s="42">
        <f t="shared" si="5"/>
        <v>22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11.598000000000001</v>
      </c>
      <c r="D42" s="56">
        <f>E6/1000</f>
        <v>0.13900000000000001</v>
      </c>
      <c r="E42" s="56">
        <f>MAX(C42:D42)</f>
        <v>11.598000000000001</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1.41</v>
      </c>
      <c r="D44" s="56">
        <f>E8/100</f>
        <v>0</v>
      </c>
      <c r="E44" s="56">
        <f>MAX(C44:D44,0)</f>
        <v>1.41</v>
      </c>
      <c r="G44" s="1" t="str">
        <f>B44</f>
        <v>per 100 referrals</v>
      </c>
      <c r="L44" s="57">
        <v>100</v>
      </c>
      <c r="M44" s="57"/>
      <c r="R44" s="49"/>
    </row>
    <row r="45" spans="2:18" ht="15" hidden="1" customHeight="1" x14ac:dyDescent="0.25">
      <c r="B45" s="49" t="s">
        <v>89</v>
      </c>
      <c r="C45" s="49">
        <f>C11/100</f>
        <v>0.36</v>
      </c>
      <c r="D45" s="49">
        <f>E11/100</f>
        <v>0</v>
      </c>
      <c r="E45" s="56">
        <f>MAX(C45:D45,0)</f>
        <v>0.36</v>
      </c>
      <c r="G45" s="1" t="str">
        <f>B45</f>
        <v>per 100 youth petitioned</v>
      </c>
      <c r="L45" s="57">
        <v>100</v>
      </c>
      <c r="M45" s="57"/>
      <c r="R45" s="49"/>
    </row>
    <row r="46" spans="2:18" ht="15" hidden="1" customHeight="1" x14ac:dyDescent="0.25">
      <c r="B46" s="49" t="s">
        <v>90</v>
      </c>
      <c r="C46" s="49">
        <f>C12/100</f>
        <v>0.22</v>
      </c>
      <c r="D46" s="49">
        <f>E12/100</f>
        <v>0</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11.598000000000001</v>
      </c>
      <c r="D48" s="56">
        <f>D42</f>
        <v>0.13900000000000001</v>
      </c>
      <c r="E48" s="56">
        <f>MAX(C48:D48)</f>
        <v>11.598000000000001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1.41</v>
      </c>
      <c r="D50" s="49">
        <f t="shared" si="9"/>
        <v>0</v>
      </c>
      <c r="E50" s="49">
        <f>MAX(C50:D50)</f>
        <v>1.41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11.598000000000001</v>
      </c>
      <c r="D54" s="56">
        <f>D48</f>
        <v>0.13900000000000001</v>
      </c>
      <c r="E54" s="56">
        <f>MAX(C54:D54)</f>
        <v>11.598000000000001</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referrals</v>
      </c>
      <c r="C56" s="49">
        <f t="shared" si="10"/>
        <v>1.41</v>
      </c>
      <c r="D56" s="49">
        <f t="shared" si="10"/>
        <v>0</v>
      </c>
      <c r="E56" s="49">
        <f>MAX(C56:D56)</f>
        <v>1.41</v>
      </c>
      <c r="G56" s="1" t="str">
        <f>G50</f>
        <v>per 100 referrals</v>
      </c>
      <c r="L56" s="58">
        <f>IF(($E50&gt;0),L50,L49)</f>
        <v>100</v>
      </c>
      <c r="M56" s="58"/>
    </row>
    <row r="57" spans="2:18" ht="15" hidden="1" customHeight="1" x14ac:dyDescent="0.25">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11.598000000000001</v>
      </c>
      <c r="D60" s="56">
        <f>D54</f>
        <v>0.13900000000000001</v>
      </c>
      <c r="E60" s="56">
        <f>MAX(C60:D60)</f>
        <v>11.598000000000001</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referrals</v>
      </c>
      <c r="C62" s="49">
        <f t="shared" si="11"/>
        <v>1.41</v>
      </c>
      <c r="D62" s="49">
        <f t="shared" si="11"/>
        <v>0</v>
      </c>
      <c r="E62" s="49">
        <f>MAX(C62:D62)</f>
        <v>1.41</v>
      </c>
      <c r="G62" s="1" t="str">
        <f>G56</f>
        <v>per 100 referrals</v>
      </c>
      <c r="L62" s="58">
        <f>IF(($E56&gt;0),L56,L55)</f>
        <v>100</v>
      </c>
      <c r="M62" s="58"/>
    </row>
    <row r="63" spans="2:18" ht="15" hidden="1" customHeight="1" x14ac:dyDescent="0.25">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11.598000000000001</v>
      </c>
      <c r="D66" s="56">
        <f>D60</f>
        <v>0.13900000000000001</v>
      </c>
      <c r="E66" s="56">
        <f>MAX(C66:D66)</f>
        <v>11.598000000000001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referrals</v>
      </c>
      <c r="C68" s="49">
        <f t="shared" si="12"/>
        <v>1.41</v>
      </c>
      <c r="D68" s="49">
        <f t="shared" si="12"/>
        <v>0</v>
      </c>
      <c r="E68" s="49">
        <f>MAX(C68:D68)</f>
        <v>1.41</v>
      </c>
      <c r="G68" s="1" t="str">
        <f>G62</f>
        <v>per 100 referrals</v>
      </c>
      <c r="L68" s="58">
        <f>IF(($E62&gt;0),L62,L61)</f>
        <v>100</v>
      </c>
      <c r="M68" s="58">
        <f>IF((B68=G68),1,2)</f>
        <v>1</v>
      </c>
    </row>
    <row r="69" spans="2:13" ht="15" hidden="1" customHeight="1" x14ac:dyDescent="0.25">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Monroe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11598</v>
      </c>
      <c r="D6" s="34"/>
      <c r="E6" s="33">
        <f>'Data Entry'!E6</f>
        <v>769</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0.68977409898258313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769</v>
      </c>
      <c r="P7" s="42">
        <f t="shared" ref="P7:P15" si="4">C7</f>
        <v>8</v>
      </c>
      <c r="Q7" s="42">
        <f>C6-C7</f>
        <v>11590</v>
      </c>
      <c r="R7" s="42">
        <f t="shared" ref="R7:R15" si="5">SUM(N7:Q7)</f>
        <v>12367</v>
      </c>
      <c r="S7" s="30">
        <f t="shared" ref="S7:S15" si="6">R7*((((N7*Q7)-(O7*P7))^2))</f>
        <v>468055135168</v>
      </c>
      <c r="T7" s="30">
        <f t="shared" ref="T7:T15" si="7">(N7+O7)*(P7+Q7)*(N7+P7)*(O7+Q7)</f>
        <v>881825723664</v>
      </c>
      <c r="U7" s="31">
        <f t="shared" ref="U7:U15" si="8">IF((S7&gt;0),S7/T7,"- -")</f>
        <v>0.53077963435135844</v>
      </c>
    </row>
    <row r="8" spans="2:21" ht="18" customHeight="1" x14ac:dyDescent="0.25">
      <c r="B8" s="32" t="str">
        <f>'Data Entry'!A8</f>
        <v>3. Refer to Juvenile Court</v>
      </c>
      <c r="C8" s="33">
        <f>'Data Entry'!C8</f>
        <v>141</v>
      </c>
      <c r="D8" s="34">
        <f>IF((AND(C67&gt;0,C8&gt;0)),(C8/C67),0)</f>
        <v>1762.5</v>
      </c>
      <c r="E8" s="33">
        <f>'Data Entry'!E8</f>
        <v>2</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-1.95</v>
      </c>
      <c r="P8" s="42">
        <f t="shared" si="4"/>
        <v>141</v>
      </c>
      <c r="Q8" s="42">
        <f>(C$67*L67)-C8</f>
        <v>-133</v>
      </c>
      <c r="R8" s="42">
        <f t="shared" si="5"/>
        <v>8.0500000000000114</v>
      </c>
      <c r="S8" s="30">
        <f t="shared" si="6"/>
        <v>644.82512499999928</v>
      </c>
      <c r="T8" s="30">
        <f t="shared" si="7"/>
        <v>-7719.1400000000067</v>
      </c>
      <c r="U8" s="31">
        <f t="shared" si="8"/>
        <v>-8.3535876405920695E-2</v>
      </c>
    </row>
    <row r="9" spans="2:21" ht="18" customHeight="1" x14ac:dyDescent="0.25">
      <c r="B9" s="32" t="str">
        <f>'Data Entry'!A9</f>
        <v xml:space="preserve">4. Cases Diverted </v>
      </c>
      <c r="C9" s="33">
        <f>'Data Entry'!C9</f>
        <v>88</v>
      </c>
      <c r="D9" s="34">
        <f>IF((AND(C68&gt;0,C9&gt;0)),((C9/C68)),0)</f>
        <v>62.411347517730498</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88</v>
      </c>
      <c r="Q9" s="42">
        <f>(C$68*L68)-C9</f>
        <v>53</v>
      </c>
      <c r="R9" s="42">
        <f t="shared" si="5"/>
        <v>143</v>
      </c>
      <c r="S9" s="30">
        <f t="shared" si="6"/>
        <v>4429568</v>
      </c>
      <c r="T9" s="30">
        <f t="shared" si="7"/>
        <v>1364880</v>
      </c>
      <c r="U9" s="31">
        <f t="shared" si="8"/>
        <v>3.2453900709219856</v>
      </c>
    </row>
    <row r="10" spans="2:21" ht="18" customHeight="1" x14ac:dyDescent="0.25">
      <c r="B10" s="32" t="str">
        <f>'Data Entry'!A10</f>
        <v>5. Cases Involving Secure Detention</v>
      </c>
      <c r="C10" s="33">
        <f>'Data Entry'!C10</f>
        <v>8</v>
      </c>
      <c r="D10" s="34">
        <f>IF(((AND(C68&gt;0,C10&gt;0))),(C10/(C68)),0)</f>
        <v>5.6737588652482271</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8</v>
      </c>
      <c r="Q10" s="42">
        <f>(C$68*L68)-C10</f>
        <v>133</v>
      </c>
      <c r="R10" s="42">
        <f t="shared" si="5"/>
        <v>143</v>
      </c>
      <c r="S10" s="30">
        <f t="shared" si="6"/>
        <v>36608</v>
      </c>
      <c r="T10" s="30">
        <f t="shared" si="7"/>
        <v>304560</v>
      </c>
      <c r="U10" s="31">
        <f t="shared" si="8"/>
        <v>0.12019963225636984</v>
      </c>
    </row>
    <row r="11" spans="2:21" ht="18" customHeight="1" x14ac:dyDescent="0.25">
      <c r="B11" s="32" t="str">
        <f>'Data Entry'!A11</f>
        <v>6. Cases Petitioned (Charge Filed)</v>
      </c>
      <c r="C11" s="33">
        <f>'Data Entry'!C11</f>
        <v>36</v>
      </c>
      <c r="D11" s="34">
        <f>IF(((AND(C68&gt;0,C11&gt;0))),(C11/(C68)),0)</f>
        <v>25.531914893617024</v>
      </c>
      <c r="E11" s="33">
        <f>'Data Entry'!E11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v>
      </c>
      <c r="P11" s="42">
        <f t="shared" si="4"/>
        <v>36</v>
      </c>
      <c r="Q11" s="42">
        <f>(C$68*L68)-C11</f>
        <v>105</v>
      </c>
      <c r="R11" s="42">
        <f t="shared" si="5"/>
        <v>143</v>
      </c>
      <c r="S11" s="30">
        <f t="shared" si="6"/>
        <v>680823</v>
      </c>
      <c r="T11" s="30">
        <f t="shared" si="7"/>
        <v>1106004</v>
      </c>
      <c r="U11" s="31">
        <f t="shared" si="8"/>
        <v>0.61557010643722809</v>
      </c>
    </row>
    <row r="12" spans="2:21" ht="18" customHeight="1" x14ac:dyDescent="0.25">
      <c r="B12" s="32" t="str">
        <f>'Data Entry'!A12</f>
        <v>7. Cases Resulting in Delinquent Findings</v>
      </c>
      <c r="C12" s="33">
        <f>'Data Entry'!C12</f>
        <v>22</v>
      </c>
      <c r="D12" s="34">
        <f>IF(((AND(C69&gt;0,C12&gt;0))),(C12/(C69)),0)</f>
        <v>61.111111111111114</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22</v>
      </c>
      <c r="Q12" s="42">
        <f>(C69*L69)-C12</f>
        <v>14</v>
      </c>
      <c r="R12" s="42">
        <f t="shared" si="5"/>
        <v>37</v>
      </c>
      <c r="S12" s="30">
        <f t="shared" si="6"/>
        <v>7252</v>
      </c>
      <c r="T12" s="30">
        <f t="shared" si="7"/>
        <v>11592</v>
      </c>
      <c r="U12" s="31">
        <f t="shared" si="8"/>
        <v>0.62560386473429952</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22</v>
      </c>
      <c r="R13" s="42">
        <f t="shared" si="5"/>
        <v>23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22.727272727272727</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5</v>
      </c>
      <c r="Q14" s="42">
        <f>(C70*L70)-C14</f>
        <v>17</v>
      </c>
      <c r="R14" s="42">
        <f t="shared" si="5"/>
        <v>23</v>
      </c>
      <c r="S14" s="30">
        <f t="shared" si="6"/>
        <v>575</v>
      </c>
      <c r="T14" s="30">
        <f t="shared" si="7"/>
        <v>1980</v>
      </c>
      <c r="U14" s="31">
        <f t="shared" si="8"/>
        <v>0.29040404040404039</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36</v>
      </c>
      <c r="R15" s="42">
        <f t="shared" si="5"/>
        <v>37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11.598000000000001</v>
      </c>
      <c r="D42" s="56">
        <f>E6/1000</f>
        <v>0.76900000000000002</v>
      </c>
      <c r="E42" s="56">
        <f>MAX(C42:D42)</f>
        <v>11.598000000000001</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1.41</v>
      </c>
      <c r="D44" s="56">
        <f>E8/100</f>
        <v>0.02</v>
      </c>
      <c r="E44" s="56">
        <f>MAX(C44:D44,0)</f>
        <v>1.41</v>
      </c>
      <c r="G44" s="1" t="str">
        <f>B44</f>
        <v>per 100 referrals</v>
      </c>
      <c r="L44" s="57">
        <v>100</v>
      </c>
      <c r="M44" s="57"/>
      <c r="R44" s="49"/>
    </row>
    <row r="45" spans="2:18" ht="15" hidden="1" customHeight="1" x14ac:dyDescent="0.25">
      <c r="B45" s="49" t="s">
        <v>89</v>
      </c>
      <c r="C45" s="49">
        <f>C11/100</f>
        <v>0.36</v>
      </c>
      <c r="D45" s="49">
        <f>E11/100</f>
        <v>0.01</v>
      </c>
      <c r="E45" s="56">
        <f>MAX(C45:D45,0)</f>
        <v>0.36</v>
      </c>
      <c r="G45" s="1" t="str">
        <f>B45</f>
        <v>per 100 youth petitioned</v>
      </c>
      <c r="L45" s="57">
        <v>100</v>
      </c>
      <c r="M45" s="57"/>
      <c r="R45" s="49"/>
    </row>
    <row r="46" spans="2:18" ht="15" hidden="1" customHeight="1" x14ac:dyDescent="0.25">
      <c r="B46" s="49" t="s">
        <v>90</v>
      </c>
      <c r="C46" s="49">
        <f>C12/100</f>
        <v>0.22</v>
      </c>
      <c r="D46" s="49">
        <f>E12/100</f>
        <v>0.01</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11.598000000000001</v>
      </c>
      <c r="D48" s="56">
        <f>D42</f>
        <v>0.76900000000000002</v>
      </c>
      <c r="E48" s="56">
        <f>MAX(C48:D48)</f>
        <v>11.598000000000001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1.41</v>
      </c>
      <c r="D50" s="49">
        <f t="shared" si="9"/>
        <v>0.02</v>
      </c>
      <c r="E50" s="49">
        <f>MAX(C50:D50)</f>
        <v>1.41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0.36</v>
      </c>
      <c r="D51" s="49">
        <f>IF(($E45&gt;0),D45,D44)</f>
        <v>0.01</v>
      </c>
      <c r="E51" s="49">
        <f>MAX(C51:D51)</f>
        <v>0.36</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0.01</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11.598000000000001</v>
      </c>
      <c r="D54" s="56">
        <f>D48</f>
        <v>0.76900000000000002</v>
      </c>
      <c r="E54" s="56">
        <f>MAX(C54:D54)</f>
        <v>11.598000000000001</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referrals</v>
      </c>
      <c r="C56" s="49">
        <f t="shared" si="10"/>
        <v>1.41</v>
      </c>
      <c r="D56" s="49">
        <f t="shared" si="10"/>
        <v>0.02</v>
      </c>
      <c r="E56" s="49">
        <f>MAX(C56:D56)</f>
        <v>1.41</v>
      </c>
      <c r="G56" s="1" t="str">
        <f>G50</f>
        <v>per 100 referrals</v>
      </c>
      <c r="L56" s="58">
        <f>IF(($E50&gt;0),L50,L49)</f>
        <v>100</v>
      </c>
      <c r="M56" s="58"/>
    </row>
    <row r="57" spans="2:18" ht="15" hidden="1" customHeight="1" x14ac:dyDescent="0.25">
      <c r="B57" s="49" t="str">
        <f>IF(($E51&gt;0),B51,B49)</f>
        <v>per 100 youth petitioned</v>
      </c>
      <c r="C57" s="49">
        <f>IF(($E51&gt;0),C51,C50)</f>
        <v>0.36</v>
      </c>
      <c r="D57" s="49">
        <f>IF(($E51&gt;0),D51,D50)</f>
        <v>0.01</v>
      </c>
      <c r="E57" s="49">
        <f>MAX(C57:D57)</f>
        <v>0.36</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0.01</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11.598000000000001</v>
      </c>
      <c r="D60" s="56">
        <f>D54</f>
        <v>0.76900000000000002</v>
      </c>
      <c r="E60" s="56">
        <f>MAX(C60:D60)</f>
        <v>11.598000000000001</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referrals</v>
      </c>
      <c r="C62" s="49">
        <f t="shared" si="11"/>
        <v>1.41</v>
      </c>
      <c r="D62" s="49">
        <f t="shared" si="11"/>
        <v>0.02</v>
      </c>
      <c r="E62" s="49">
        <f>MAX(C62:D62)</f>
        <v>1.41</v>
      </c>
      <c r="G62" s="1" t="str">
        <f>G56</f>
        <v>per 100 referrals</v>
      </c>
      <c r="L62" s="58">
        <f>IF(($E56&gt;0),L56,L55)</f>
        <v>100</v>
      </c>
      <c r="M62" s="58"/>
    </row>
    <row r="63" spans="2:18" ht="15" hidden="1" customHeight="1" x14ac:dyDescent="0.25">
      <c r="B63" s="49" t="str">
        <f>IF(($E57&gt;0),B57,B55)</f>
        <v>per 100 youth petitioned</v>
      </c>
      <c r="C63" s="49">
        <f>IF(($E57&gt;0),C57,C56)</f>
        <v>0.36</v>
      </c>
      <c r="D63" s="49">
        <f>IF(($E57&gt;0),D57,D56)</f>
        <v>0.01</v>
      </c>
      <c r="E63" s="49">
        <f>MAX(C63:D63)</f>
        <v>0.36</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0.01</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11.598000000000001</v>
      </c>
      <c r="D66" s="56">
        <f>D60</f>
        <v>0.76900000000000002</v>
      </c>
      <c r="E66" s="56">
        <f>MAX(C66:D66)</f>
        <v>11.598000000000001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referrals</v>
      </c>
      <c r="C68" s="49">
        <f t="shared" si="12"/>
        <v>1.41</v>
      </c>
      <c r="D68" s="49">
        <f t="shared" si="12"/>
        <v>0.02</v>
      </c>
      <c r="E68" s="49">
        <f>MAX(C68:D68)</f>
        <v>1.41</v>
      </c>
      <c r="G68" s="1" t="str">
        <f>G62</f>
        <v>per 100 referrals</v>
      </c>
      <c r="L68" s="58">
        <f>IF(($E62&gt;0),L62,L61)</f>
        <v>100</v>
      </c>
      <c r="M68" s="58">
        <f>IF((B68=G68),1,2)</f>
        <v>1</v>
      </c>
    </row>
    <row r="69" spans="2:13" ht="15" hidden="1" customHeight="1" x14ac:dyDescent="0.25">
      <c r="B69" s="49" t="str">
        <f>IF(($E63&gt;0),B63,B61)</f>
        <v>per 100 youth petitioned</v>
      </c>
      <c r="C69" s="49">
        <f>IF(($E63&gt;0),C63,C62)</f>
        <v>0.36</v>
      </c>
      <c r="D69" s="49">
        <f>IF(($E63&gt;0),D63,D62)</f>
        <v>0.01</v>
      </c>
      <c r="E69" s="49">
        <f>MAX(C69:D69)</f>
        <v>0.36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0.01</v>
      </c>
      <c r="E70" s="56">
        <f>MAX(C70:D70)</f>
        <v>0.22</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Monroe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11598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0.68977409898258313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11590</v>
      </c>
      <c r="R7" s="42">
        <f t="shared" ref="R7:R15" si="5">SUM(N7:Q7)</f>
        <v>11598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141</v>
      </c>
      <c r="D8" s="34">
        <f>IF((AND(C67&gt;0,C8&gt;0)),(C8/C67),0)</f>
        <v>1762.5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141</v>
      </c>
      <c r="Q8" s="42">
        <f>(C$67*L67)-C8</f>
        <v>-133</v>
      </c>
      <c r="R8" s="42">
        <f t="shared" si="5"/>
        <v>8.0500000000000114</v>
      </c>
      <c r="S8" s="30">
        <f t="shared" si="6"/>
        <v>400.10512500000061</v>
      </c>
      <c r="T8" s="30">
        <f t="shared" si="7"/>
        <v>-7498.38</v>
      </c>
      <c r="U8" s="31">
        <f t="shared" si="8"/>
        <v>-5.3358875517111777E-2</v>
      </c>
    </row>
    <row r="9" spans="2:21" ht="18" customHeight="1" x14ac:dyDescent="0.25">
      <c r="B9" s="32" t="str">
        <f>'Data Entry'!A9</f>
        <v xml:space="preserve">4. Cases Diverted </v>
      </c>
      <c r="C9" s="33">
        <f>'Data Entry'!C9</f>
        <v>88</v>
      </c>
      <c r="D9" s="34">
        <f>IF((AND(C68&gt;0,C9&gt;0)),((C9/C68)),0)</f>
        <v>62.411347517730498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88</v>
      </c>
      <c r="Q9" s="42">
        <f>(C$68*L68)-C9</f>
        <v>53</v>
      </c>
      <c r="R9" s="42">
        <f t="shared" si="5"/>
        <v>141</v>
      </c>
      <c r="S9" s="30">
        <f t="shared" si="6"/>
        <v>0</v>
      </c>
      <c r="T9" s="30">
        <f t="shared" si="7"/>
        <v>0</v>
      </c>
      <c r="U9" s="31" t="str">
        <f t="shared" si="8"/>
        <v>- -</v>
      </c>
    </row>
    <row r="10" spans="2:21" ht="18" customHeight="1" x14ac:dyDescent="0.25">
      <c r="B10" s="32" t="str">
        <f>'Data Entry'!A10</f>
        <v>5. Cases Involving Secure Detention</v>
      </c>
      <c r="C10" s="33">
        <f>'Data Entry'!C10</f>
        <v>8</v>
      </c>
      <c r="D10" s="34">
        <f>IF(((AND(C68&gt;0,C10&gt;0))),(C10/(C68)),0)</f>
        <v>5.6737588652482271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133</v>
      </c>
      <c r="R10" s="42">
        <f t="shared" si="5"/>
        <v>141</v>
      </c>
      <c r="S10" s="30">
        <f t="shared" si="6"/>
        <v>0</v>
      </c>
      <c r="T10" s="30">
        <f t="shared" si="7"/>
        <v>0</v>
      </c>
      <c r="U10" s="31" t="str">
        <f t="shared" si="8"/>
        <v>- -</v>
      </c>
    </row>
    <row r="11" spans="2:21" ht="18" customHeight="1" x14ac:dyDescent="0.25">
      <c r="B11" s="32" t="str">
        <f>'Data Entry'!A11</f>
        <v>6. Cases Petitioned (Charge Filed)</v>
      </c>
      <c r="C11" s="33">
        <f>'Data Entry'!C11</f>
        <v>36</v>
      </c>
      <c r="D11" s="34">
        <f>IF(((AND(C68&gt;0,C11&gt;0))),(C11/(C68)),0)</f>
        <v>25.531914893617024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105</v>
      </c>
      <c r="R11" s="42">
        <f t="shared" si="5"/>
        <v>141</v>
      </c>
      <c r="S11" s="30">
        <f t="shared" si="6"/>
        <v>0</v>
      </c>
      <c r="T11" s="30">
        <f t="shared" si="7"/>
        <v>0</v>
      </c>
      <c r="U11" s="31" t="str">
        <f t="shared" si="8"/>
        <v>- -</v>
      </c>
    </row>
    <row r="12" spans="2:21" ht="18" customHeight="1" x14ac:dyDescent="0.25">
      <c r="B12" s="32" t="str">
        <f>'Data Entry'!A12</f>
        <v>7. Cases Resulting in Delinquent Findings</v>
      </c>
      <c r="C12" s="33">
        <f>'Data Entry'!C12</f>
        <v>22</v>
      </c>
      <c r="D12" s="34">
        <f>IF(((AND(C69&gt;0,C12&gt;0))),(C12/(C69)),0)</f>
        <v>61.111111111111114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22</v>
      </c>
      <c r="Q12" s="42">
        <f>(C69*L69)-C12</f>
        <v>14</v>
      </c>
      <c r="R12" s="42">
        <f t="shared" si="5"/>
        <v>36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22</v>
      </c>
      <c r="R13" s="42">
        <f t="shared" si="5"/>
        <v>22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22.727272727272727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17</v>
      </c>
      <c r="R14" s="42">
        <f t="shared" si="5"/>
        <v>22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11.598000000000001</v>
      </c>
      <c r="D42" s="56">
        <f>E6/1000</f>
        <v>0</v>
      </c>
      <c r="E42" s="56">
        <f>MAX(C42:D42)</f>
        <v>11.598000000000001</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1.41</v>
      </c>
      <c r="D44" s="56">
        <f>E8/100</f>
        <v>0</v>
      </c>
      <c r="E44" s="56">
        <f>MAX(C44:D44,0)</f>
        <v>1.41</v>
      </c>
      <c r="G44" s="1" t="str">
        <f>B44</f>
        <v>per 100 referrals</v>
      </c>
      <c r="L44" s="57">
        <v>100</v>
      </c>
      <c r="M44" s="57"/>
      <c r="R44" s="49"/>
    </row>
    <row r="45" spans="2:18" ht="15" hidden="1" customHeight="1" x14ac:dyDescent="0.25">
      <c r="B45" s="49" t="s">
        <v>89</v>
      </c>
      <c r="C45" s="49">
        <f>C11/100</f>
        <v>0.36</v>
      </c>
      <c r="D45" s="49">
        <f>E11/100</f>
        <v>0</v>
      </c>
      <c r="E45" s="56">
        <f>MAX(C45:D45,0)</f>
        <v>0.36</v>
      </c>
      <c r="G45" s="1" t="str">
        <f>B45</f>
        <v>per 100 youth petitioned</v>
      </c>
      <c r="L45" s="57">
        <v>100</v>
      </c>
      <c r="M45" s="57"/>
      <c r="R45" s="49"/>
    </row>
    <row r="46" spans="2:18" ht="15" hidden="1" customHeight="1" x14ac:dyDescent="0.25">
      <c r="B46" s="49" t="s">
        <v>90</v>
      </c>
      <c r="C46" s="49">
        <f>C12/100</f>
        <v>0.22</v>
      </c>
      <c r="D46" s="49">
        <f>E12/100</f>
        <v>0</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11.598000000000001</v>
      </c>
      <c r="D48" s="56">
        <f>D42</f>
        <v>0</v>
      </c>
      <c r="E48" s="56">
        <f>MAX(C48:D48)</f>
        <v>11.598000000000001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1.41</v>
      </c>
      <c r="D50" s="49">
        <f t="shared" si="9"/>
        <v>0</v>
      </c>
      <c r="E50" s="49">
        <f>MAX(C50:D50)</f>
        <v>1.41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11.598000000000001</v>
      </c>
      <c r="D54" s="56">
        <f>D48</f>
        <v>0</v>
      </c>
      <c r="E54" s="56">
        <f>MAX(C54:D54)</f>
        <v>11.598000000000001</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referrals</v>
      </c>
      <c r="C56" s="49">
        <f t="shared" si="10"/>
        <v>1.41</v>
      </c>
      <c r="D56" s="49">
        <f t="shared" si="10"/>
        <v>0</v>
      </c>
      <c r="E56" s="49">
        <f>MAX(C56:D56)</f>
        <v>1.41</v>
      </c>
      <c r="G56" s="1" t="str">
        <f>G50</f>
        <v>per 100 referrals</v>
      </c>
      <c r="L56" s="58">
        <f>IF(($E50&gt;0),L50,L49)</f>
        <v>100</v>
      </c>
      <c r="M56" s="58"/>
    </row>
    <row r="57" spans="2:18" ht="15" hidden="1" customHeight="1" x14ac:dyDescent="0.25">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11.598000000000001</v>
      </c>
      <c r="D60" s="56">
        <f>D54</f>
        <v>0</v>
      </c>
      <c r="E60" s="56">
        <f>MAX(C60:D60)</f>
        <v>11.598000000000001</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referrals</v>
      </c>
      <c r="C62" s="49">
        <f t="shared" si="11"/>
        <v>1.41</v>
      </c>
      <c r="D62" s="49">
        <f t="shared" si="11"/>
        <v>0</v>
      </c>
      <c r="E62" s="49">
        <f>MAX(C62:D62)</f>
        <v>1.41</v>
      </c>
      <c r="G62" s="1" t="str">
        <f>G56</f>
        <v>per 100 referrals</v>
      </c>
      <c r="L62" s="58">
        <f>IF(($E56&gt;0),L56,L55)</f>
        <v>100</v>
      </c>
      <c r="M62" s="58"/>
    </row>
    <row r="63" spans="2:18" ht="15" hidden="1" customHeight="1" x14ac:dyDescent="0.25">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11.598000000000001</v>
      </c>
      <c r="D66" s="56">
        <f>D60</f>
        <v>0</v>
      </c>
      <c r="E66" s="56">
        <f>MAX(C66:D66)</f>
        <v>11.598000000000001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referrals</v>
      </c>
      <c r="C68" s="49">
        <f t="shared" si="12"/>
        <v>1.41</v>
      </c>
      <c r="D68" s="49">
        <f t="shared" si="12"/>
        <v>0</v>
      </c>
      <c r="E68" s="49">
        <f>MAX(C68:D68)</f>
        <v>1.41</v>
      </c>
      <c r="G68" s="1" t="str">
        <f>G62</f>
        <v>per 100 referrals</v>
      </c>
      <c r="L68" s="58">
        <f>IF(($E62&gt;0),L62,L61)</f>
        <v>100</v>
      </c>
      <c r="M68" s="58">
        <f>IF((B68=G68),1,2)</f>
        <v>1</v>
      </c>
    </row>
    <row r="69" spans="2:13" ht="15" hidden="1" customHeight="1" x14ac:dyDescent="0.25">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Monroe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11598</v>
      </c>
      <c r="D6" s="34"/>
      <c r="E6" s="33">
        <f>'Data Entry'!H6</f>
        <v>40</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0.68977409898258313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40</v>
      </c>
      <c r="P7" s="42">
        <f t="shared" ref="P7:P15" si="4">C7</f>
        <v>8</v>
      </c>
      <c r="Q7" s="42">
        <f>C6-C7</f>
        <v>11590</v>
      </c>
      <c r="R7" s="42">
        <f t="shared" ref="R7:R15" si="5">SUM(N7:Q7)</f>
        <v>11638</v>
      </c>
      <c r="S7" s="30">
        <f t="shared" ref="S7:S15" si="6">R7*((((N7*Q7)-(O7*P7))^2))</f>
        <v>1191731200</v>
      </c>
      <c r="T7" s="30">
        <f t="shared" ref="T7:T15" si="7">(N7+O7)*(P7+Q7)*(N7+P7)*(O7+Q7)</f>
        <v>43163116800</v>
      </c>
      <c r="U7" s="31">
        <f t="shared" ref="U7:U15" si="8">IF((S7&gt;0),S7/T7,"- -")</f>
        <v>2.7609943126257277E-2</v>
      </c>
    </row>
    <row r="8" spans="2:21" ht="18" customHeight="1" x14ac:dyDescent="0.25">
      <c r="B8" s="32" t="str">
        <f>'Data Entry'!A8</f>
        <v>3. Refer to Juvenile Court</v>
      </c>
      <c r="C8" s="33">
        <f>'Data Entry'!C8</f>
        <v>141</v>
      </c>
      <c r="D8" s="34">
        <f>IF((AND(C67&gt;0,C8&gt;0)),(C8/C67),0)</f>
        <v>1762.5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141</v>
      </c>
      <c r="Q8" s="42">
        <f>(C$67*L67)-C8</f>
        <v>-133</v>
      </c>
      <c r="R8" s="42">
        <f t="shared" si="5"/>
        <v>8.0500000000000114</v>
      </c>
      <c r="S8" s="30">
        <f t="shared" si="6"/>
        <v>400.10512500000061</v>
      </c>
      <c r="T8" s="30">
        <f t="shared" si="7"/>
        <v>-7498.38</v>
      </c>
      <c r="U8" s="31">
        <f t="shared" si="8"/>
        <v>-5.3358875517111777E-2</v>
      </c>
    </row>
    <row r="9" spans="2:21" ht="18" customHeight="1" x14ac:dyDescent="0.25">
      <c r="B9" s="32" t="str">
        <f>'Data Entry'!A9</f>
        <v xml:space="preserve">4. Cases Diverted </v>
      </c>
      <c r="C9" s="33">
        <f>'Data Entry'!C9</f>
        <v>88</v>
      </c>
      <c r="D9" s="34">
        <f>IF((AND(C68&gt;0,C9&gt;0)),((C9/C68)),0)</f>
        <v>62.411347517730498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88</v>
      </c>
      <c r="Q9" s="42">
        <f>(C$68*L68)-C9</f>
        <v>53</v>
      </c>
      <c r="R9" s="42">
        <f t="shared" si="5"/>
        <v>141</v>
      </c>
      <c r="S9" s="30">
        <f t="shared" si="6"/>
        <v>0</v>
      </c>
      <c r="T9" s="30">
        <f t="shared" si="7"/>
        <v>0</v>
      </c>
      <c r="U9" s="31" t="str">
        <f t="shared" si="8"/>
        <v>- -</v>
      </c>
    </row>
    <row r="10" spans="2:21" ht="18" customHeight="1" x14ac:dyDescent="0.25">
      <c r="B10" s="32" t="str">
        <f>'Data Entry'!A10</f>
        <v>5. Cases Involving Secure Detention</v>
      </c>
      <c r="C10" s="33">
        <f>'Data Entry'!C10</f>
        <v>8</v>
      </c>
      <c r="D10" s="34">
        <f>IF(((AND(C68&gt;0,C10&gt;0))),(C10/(C68)),0)</f>
        <v>5.6737588652482271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133</v>
      </c>
      <c r="R10" s="42">
        <f t="shared" si="5"/>
        <v>141</v>
      </c>
      <c r="S10" s="30">
        <f t="shared" si="6"/>
        <v>0</v>
      </c>
      <c r="T10" s="30">
        <f t="shared" si="7"/>
        <v>0</v>
      </c>
      <c r="U10" s="31" t="str">
        <f t="shared" si="8"/>
        <v>- -</v>
      </c>
    </row>
    <row r="11" spans="2:21" ht="18" customHeight="1" x14ac:dyDescent="0.25">
      <c r="B11" s="32" t="str">
        <f>'Data Entry'!A11</f>
        <v>6. Cases Petitioned (Charge Filed)</v>
      </c>
      <c r="C11" s="33">
        <f>'Data Entry'!C11</f>
        <v>36</v>
      </c>
      <c r="D11" s="34">
        <f>IF(((AND(C68&gt;0,C11&gt;0))),(C11/(C68)),0)</f>
        <v>25.531914893617024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105</v>
      </c>
      <c r="R11" s="42">
        <f t="shared" si="5"/>
        <v>141</v>
      </c>
      <c r="S11" s="30">
        <f t="shared" si="6"/>
        <v>0</v>
      </c>
      <c r="T11" s="30">
        <f t="shared" si="7"/>
        <v>0</v>
      </c>
      <c r="U11" s="31" t="str">
        <f t="shared" si="8"/>
        <v>- -</v>
      </c>
    </row>
    <row r="12" spans="2:21" ht="18" customHeight="1" x14ac:dyDescent="0.25">
      <c r="B12" s="32" t="str">
        <f>'Data Entry'!A12</f>
        <v>7. Cases Resulting in Delinquent Findings</v>
      </c>
      <c r="C12" s="33">
        <f>'Data Entry'!C12</f>
        <v>22</v>
      </c>
      <c r="D12" s="34">
        <f>IF(((AND(C69&gt;0,C12&gt;0))),(C12/(C69)),0)</f>
        <v>61.111111111111114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22</v>
      </c>
      <c r="Q12" s="42">
        <f>(C69*L69)-C12</f>
        <v>14</v>
      </c>
      <c r="R12" s="42">
        <f t="shared" si="5"/>
        <v>36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22</v>
      </c>
      <c r="R13" s="42">
        <f t="shared" si="5"/>
        <v>22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22.727272727272727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17</v>
      </c>
      <c r="R14" s="42">
        <f t="shared" si="5"/>
        <v>22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11.598000000000001</v>
      </c>
      <c r="D42" s="56">
        <f>E6/1000</f>
        <v>0.04</v>
      </c>
      <c r="E42" s="56">
        <f>MAX(C42:D42)</f>
        <v>11.598000000000001</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1.41</v>
      </c>
      <c r="D44" s="56">
        <f>E8/100</f>
        <v>0</v>
      </c>
      <c r="E44" s="56">
        <f>MAX(C44:D44,0)</f>
        <v>1.41</v>
      </c>
      <c r="G44" s="1" t="str">
        <f>B44</f>
        <v>per 100 referrals</v>
      </c>
      <c r="L44" s="57">
        <v>100</v>
      </c>
      <c r="M44" s="57"/>
      <c r="R44" s="49"/>
    </row>
    <row r="45" spans="2:18" ht="15" hidden="1" customHeight="1" x14ac:dyDescent="0.25">
      <c r="B45" s="49" t="s">
        <v>89</v>
      </c>
      <c r="C45" s="49">
        <f>C11/100</f>
        <v>0.36</v>
      </c>
      <c r="D45" s="49">
        <f>E11/100</f>
        <v>0</v>
      </c>
      <c r="E45" s="56">
        <f>MAX(C45:D45,0)</f>
        <v>0.36</v>
      </c>
      <c r="G45" s="1" t="str">
        <f>B45</f>
        <v>per 100 youth petitioned</v>
      </c>
      <c r="L45" s="57">
        <v>100</v>
      </c>
      <c r="M45" s="57"/>
      <c r="R45" s="49"/>
    </row>
    <row r="46" spans="2:18" ht="15" hidden="1" customHeight="1" x14ac:dyDescent="0.25">
      <c r="B46" s="49" t="s">
        <v>90</v>
      </c>
      <c r="C46" s="49">
        <f>C12/100</f>
        <v>0.22</v>
      </c>
      <c r="D46" s="49">
        <f>E12/100</f>
        <v>0</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11.598000000000001</v>
      </c>
      <c r="D48" s="56">
        <f>D42</f>
        <v>0.04</v>
      </c>
      <c r="E48" s="56">
        <f>MAX(C48:D48)</f>
        <v>11.598000000000001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1.41</v>
      </c>
      <c r="D50" s="49">
        <f t="shared" si="9"/>
        <v>0</v>
      </c>
      <c r="E50" s="49">
        <f>MAX(C50:D50)</f>
        <v>1.41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11.598000000000001</v>
      </c>
      <c r="D54" s="56">
        <f>D48</f>
        <v>0.04</v>
      </c>
      <c r="E54" s="56">
        <f>MAX(C54:D54)</f>
        <v>11.598000000000001</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referrals</v>
      </c>
      <c r="C56" s="49">
        <f t="shared" si="10"/>
        <v>1.41</v>
      </c>
      <c r="D56" s="49">
        <f t="shared" si="10"/>
        <v>0</v>
      </c>
      <c r="E56" s="49">
        <f>MAX(C56:D56)</f>
        <v>1.41</v>
      </c>
      <c r="G56" s="1" t="str">
        <f>G50</f>
        <v>per 100 referrals</v>
      </c>
      <c r="L56" s="58">
        <f>IF(($E50&gt;0),L50,L49)</f>
        <v>100</v>
      </c>
      <c r="M56" s="58"/>
    </row>
    <row r="57" spans="2:18" ht="15" hidden="1" customHeight="1" x14ac:dyDescent="0.25">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11.598000000000001</v>
      </c>
      <c r="D60" s="56">
        <f>D54</f>
        <v>0.04</v>
      </c>
      <c r="E60" s="56">
        <f>MAX(C60:D60)</f>
        <v>11.598000000000001</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referrals</v>
      </c>
      <c r="C62" s="49">
        <f t="shared" si="11"/>
        <v>1.41</v>
      </c>
      <c r="D62" s="49">
        <f t="shared" si="11"/>
        <v>0</v>
      </c>
      <c r="E62" s="49">
        <f>MAX(C62:D62)</f>
        <v>1.41</v>
      </c>
      <c r="G62" s="1" t="str">
        <f>G56</f>
        <v>per 100 referrals</v>
      </c>
      <c r="L62" s="58">
        <f>IF(($E56&gt;0),L56,L55)</f>
        <v>100</v>
      </c>
      <c r="M62" s="58"/>
    </row>
    <row r="63" spans="2:18" ht="15" hidden="1" customHeight="1" x14ac:dyDescent="0.25">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11.598000000000001</v>
      </c>
      <c r="D66" s="56">
        <f>D60</f>
        <v>0.04</v>
      </c>
      <c r="E66" s="56">
        <f>MAX(C66:D66)</f>
        <v>11.598000000000001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referrals</v>
      </c>
      <c r="C68" s="49">
        <f t="shared" si="12"/>
        <v>1.41</v>
      </c>
      <c r="D68" s="49">
        <f t="shared" si="12"/>
        <v>0</v>
      </c>
      <c r="E68" s="49">
        <f>MAX(C68:D68)</f>
        <v>1.41</v>
      </c>
      <c r="G68" s="1" t="str">
        <f>G62</f>
        <v>per 100 referrals</v>
      </c>
      <c r="L68" s="58">
        <f>IF(($E62&gt;0),L62,L61)</f>
        <v>100</v>
      </c>
      <c r="M68" s="58">
        <f>IF((B68=G68),1,2)</f>
        <v>1</v>
      </c>
    </row>
    <row r="69" spans="2:13" ht="15" hidden="1" customHeight="1" x14ac:dyDescent="0.25">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U47JMPN4QEAR-1806752177-30203</_dlc_DocId>
    <_dlc_DocIdUrl xmlns="ac3811b5-0f3e-49e2-ba69-f2ffa0c782af">
      <Url>https://michiganphi.sharepoint.com/sites/CMDMC/_layouts/15/DocIdRedir.aspx?ID=U47JMPN4QEAR-1806752177-30203</Url>
      <Description>U47JMPN4QEAR-1806752177-30203</Description>
    </_dlc_DocIdUrl>
  </documentManagement>
</p:properties>
</file>

<file path=customXml/itemProps1.xml><?xml version="1.0" encoding="utf-8"?>
<ds:datastoreItem xmlns:ds="http://schemas.openxmlformats.org/officeDocument/2006/customXml" ds:itemID="{3FB09BAA-8537-4D53-B635-7F3FCDA7C985}"/>
</file>

<file path=customXml/itemProps2.xml><?xml version="1.0" encoding="utf-8"?>
<ds:datastoreItem xmlns:ds="http://schemas.openxmlformats.org/officeDocument/2006/customXml" ds:itemID="{98C729E8-414D-4D30-A401-D0DB90715C47}"/>
</file>

<file path=customXml/itemProps3.xml><?xml version="1.0" encoding="utf-8"?>
<ds:datastoreItem xmlns:ds="http://schemas.openxmlformats.org/officeDocument/2006/customXml" ds:itemID="{959E7C2F-84D2-4DE4-82E7-8EBAD833E20B}"/>
</file>

<file path=customXml/itemProps4.xml><?xml version="1.0" encoding="utf-8"?>
<ds:datastoreItem xmlns:ds="http://schemas.openxmlformats.org/officeDocument/2006/customXml" ds:itemID="{DB081D60-D046-4287-B1D9-F67B447638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50026eb2-ba3a-4e0c-acb6-9decc63a67c1</vt:lpwstr>
  </property>
</Properties>
</file>