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7" documentId="8_{6B73DE8C-5CD5-4AD9-95D6-7B28833B4D27}" xr6:coauthVersionLast="47" xr6:coauthVersionMax="47" xr10:uidLastSave="{2D9C65F8-9CF1-44E4-9ECD-DF68FC6276A6}"/>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50" i="4" s="1"/>
  <c r="G56" i="4" s="1"/>
  <c r="G62" i="4" s="1"/>
  <c r="G68" i="4" s="1"/>
  <c r="G45" i="4"/>
  <c r="G51" i="4" s="1"/>
  <c r="G57" i="4" s="1"/>
  <c r="G63" i="4" s="1"/>
  <c r="G69" i="4" s="1"/>
  <c r="G46" i="4"/>
  <c r="G52" i="4" s="1"/>
  <c r="G58" i="4" s="1"/>
  <c r="G64" i="4" s="1"/>
  <c r="G70" i="4" s="1"/>
  <c r="L48" i="4"/>
  <c r="L54" i="4"/>
  <c r="L60" i="4" s="1"/>
  <c r="L66"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2"/>
  <c r="M66" i="2"/>
  <c r="F27" i="5"/>
  <c r="M66" i="5"/>
  <c r="M66" i="8"/>
  <c r="F27" i="8"/>
  <c r="F27" i="3"/>
  <c r="M66" i="3"/>
  <c r="M66" i="7"/>
  <c r="F27" i="7"/>
  <c r="M66" i="6"/>
  <c r="F27"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D50" i="6" s="1"/>
  <c r="E43" i="7"/>
  <c r="D49"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3" l="1"/>
  <c r="L56" i="8"/>
  <c r="E58" i="8"/>
  <c r="L64" i="8" s="1"/>
  <c r="L64" i="5"/>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D64" i="8"/>
  <c r="E64" i="5"/>
  <c r="C63" i="3"/>
  <c r="E57" i="8"/>
  <c r="C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B70" i="3" l="1"/>
  <c r="M70" i="3" s="1"/>
  <c r="E64" i="8"/>
  <c r="C70" i="8" s="1"/>
  <c r="E63" i="3"/>
  <c r="C69" i="3" s="1"/>
  <c r="D15" i="3" s="1"/>
  <c r="D70" i="5"/>
  <c r="F14" i="5" s="1"/>
  <c r="C70" i="5"/>
  <c r="D70" i="6"/>
  <c r="L63" i="8"/>
  <c r="L70" i="5"/>
  <c r="D63" i="8"/>
  <c r="E63" i="8" s="1"/>
  <c r="D69" i="8" s="1"/>
  <c r="B63" i="8"/>
  <c r="C69" i="7"/>
  <c r="D12" i="7" s="1"/>
  <c r="C70" i="3"/>
  <c r="D14" i="3" s="1"/>
  <c r="L69" i="7"/>
  <c r="L70" i="3"/>
  <c r="L70" i="6"/>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L70" i="8" l="1"/>
  <c r="Q13" i="8" s="1"/>
  <c r="B70" i="8"/>
  <c r="M70" i="8" s="1"/>
  <c r="O14" i="5"/>
  <c r="O13" i="5"/>
  <c r="F13" i="5"/>
  <c r="B69" i="3"/>
  <c r="M69" i="3" s="1"/>
  <c r="L69" i="3"/>
  <c r="Q12" i="3" s="1"/>
  <c r="D69" i="3"/>
  <c r="E69" i="3" s="1"/>
  <c r="Q13" i="3"/>
  <c r="D70" i="8"/>
  <c r="F13" i="8" s="1"/>
  <c r="B69" i="6"/>
  <c r="M69" i="6" s="1"/>
  <c r="O14" i="6"/>
  <c r="Q14" i="5"/>
  <c r="R14" i="5" s="1"/>
  <c r="S14" i="5" s="1"/>
  <c r="U14" i="5" s="1"/>
  <c r="J14" i="5" s="1"/>
  <c r="M14" i="5" s="1"/>
  <c r="E69" i="7"/>
  <c r="F14" i="6"/>
  <c r="F13" i="6"/>
  <c r="D13" i="5"/>
  <c r="Q13" i="5"/>
  <c r="D14" i="5"/>
  <c r="E70" i="5"/>
  <c r="O13" i="6"/>
  <c r="D15" i="7"/>
  <c r="Q13" i="6"/>
  <c r="Q14" i="6"/>
  <c r="Q12" i="7"/>
  <c r="E70" i="6"/>
  <c r="Q14" i="3"/>
  <c r="F12" i="7"/>
  <c r="F14" i="3"/>
  <c r="D14" i="6"/>
  <c r="O13" i="3"/>
  <c r="O12" i="7"/>
  <c r="Q15" i="7"/>
  <c r="O15" i="7"/>
  <c r="E70" i="3"/>
  <c r="D13" i="3"/>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C70" i="2"/>
  <c r="D14" i="2" s="1"/>
  <c r="D13" i="8"/>
  <c r="D70" i="2"/>
  <c r="O14" i="2" s="1"/>
  <c r="D14"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3" i="8" l="1"/>
  <c r="F35" i="3"/>
  <c r="O12" i="3"/>
  <c r="R12" i="3" s="1"/>
  <c r="S12" i="3" s="1"/>
  <c r="U12" i="3" s="1"/>
  <c r="J12" i="3" s="1"/>
  <c r="O15" i="3"/>
  <c r="K14" i="6"/>
  <c r="F15" i="3"/>
  <c r="F12" i="3"/>
  <c r="T13" i="5"/>
  <c r="F14" i="8"/>
  <c r="E70" i="8"/>
  <c r="O14" i="8"/>
  <c r="T14" i="8" s="1"/>
  <c r="F34" i="8"/>
  <c r="O13" i="8"/>
  <c r="R13" i="8" s="1"/>
  <c r="S13" i="8" s="1"/>
  <c r="U13" i="8" s="1"/>
  <c r="J13" i="8" s="1"/>
  <c r="M13" i="8" s="1"/>
  <c r="G13" i="8" s="1"/>
  <c r="K14" i="16" s="1"/>
  <c r="Q15" i="3"/>
  <c r="K15" i="3" s="1"/>
  <c r="F32" i="3"/>
  <c r="R13" i="3"/>
  <c r="S13" i="3" s="1"/>
  <c r="U13" i="3" s="1"/>
  <c r="J13" i="3" s="1"/>
  <c r="R14" i="6"/>
  <c r="S14" i="6" s="1"/>
  <c r="U14" i="6" s="1"/>
  <c r="J14" i="6" s="1"/>
  <c r="M14" i="6" s="1"/>
  <c r="G14" i="6" s="1"/>
  <c r="M15" i="13" s="1"/>
  <c r="F32" i="6"/>
  <c r="F35" i="6"/>
  <c r="K14" i="5"/>
  <c r="L14" i="5" s="1"/>
  <c r="Q15" i="16" s="1"/>
  <c r="T14" i="5"/>
  <c r="K13" i="5"/>
  <c r="R13" i="5"/>
  <c r="S13" i="5" s="1"/>
  <c r="U13" i="5" s="1"/>
  <c r="J13" i="5" s="1"/>
  <c r="M13" i="5" s="1"/>
  <c r="R14" i="3"/>
  <c r="S14" i="3" s="1"/>
  <c r="U14" i="3" s="1"/>
  <c r="J14" i="3" s="1"/>
  <c r="M14" i="3" s="1"/>
  <c r="G14" i="3" s="1"/>
  <c r="I15" i="16" s="1"/>
  <c r="K15" i="7"/>
  <c r="T13" i="6"/>
  <c r="T14" i="6"/>
  <c r="K13" i="6"/>
  <c r="O12" i="6"/>
  <c r="R13" i="6"/>
  <c r="S13" i="6" s="1"/>
  <c r="U13" i="6" s="1"/>
  <c r="J13" i="6" s="1"/>
  <c r="M13" i="6" s="1"/>
  <c r="G13" i="6" s="1"/>
  <c r="M14" i="13" s="1"/>
  <c r="T12" i="7"/>
  <c r="K14" i="3"/>
  <c r="T14" i="3"/>
  <c r="K12" i="7"/>
  <c r="T13" i="3"/>
  <c r="K13" i="3"/>
  <c r="O15" i="6"/>
  <c r="R15" i="7"/>
  <c r="S15" i="7" s="1"/>
  <c r="U15" i="7" s="1"/>
  <c r="J15" i="7" s="1"/>
  <c r="T15" i="7"/>
  <c r="Q12" i="6"/>
  <c r="Q15" i="6"/>
  <c r="R12" i="7"/>
  <c r="S12" i="7"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N30" i="5"/>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6" l="1"/>
  <c r="K14" i="8"/>
  <c r="T15" i="3"/>
  <c r="R14" i="8"/>
  <c r="S14" i="8" s="1"/>
  <c r="U14" i="8" s="1"/>
  <c r="J14" i="8" s="1"/>
  <c r="N30" i="8" s="1"/>
  <c r="U12" i="7"/>
  <c r="J12" i="7" s="1"/>
  <c r="L12" i="7" s="1"/>
  <c r="T13" i="8"/>
  <c r="L13" i="3"/>
  <c r="P14" i="16" s="1"/>
  <c r="T15" i="6"/>
  <c r="K15" i="6"/>
  <c r="I13" i="9"/>
  <c r="L13" i="8"/>
  <c r="T14" i="16" s="1"/>
  <c r="L13" i="5"/>
  <c r="Q14" i="16" s="1"/>
  <c r="Q14" i="13"/>
  <c r="E14" i="9"/>
  <c r="N30" i="3"/>
  <c r="L14" i="3"/>
  <c r="P15" i="16" s="1"/>
  <c r="R15" i="6"/>
  <c r="S15" i="6" s="1"/>
  <c r="U15" i="6" s="1"/>
  <c r="J15" i="6" s="1"/>
  <c r="M15" i="6" s="1"/>
  <c r="G15" i="6" s="1"/>
  <c r="I15" i="13"/>
  <c r="L15" i="7"/>
  <c r="S16" i="16" s="1"/>
  <c r="M15" i="7"/>
  <c r="L13" i="6"/>
  <c r="R14" i="16" s="1"/>
  <c r="G13" i="9"/>
  <c r="K12" i="6"/>
  <c r="R12" i="6"/>
  <c r="S12" i="6" s="1"/>
  <c r="U12" i="6" s="1"/>
  <c r="J12"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N13" i="9"/>
  <c r="L15" i="3"/>
  <c r="P16" i="16" s="1"/>
  <c r="L13" i="7"/>
  <c r="S14" i="16" s="1"/>
  <c r="M9" i="3"/>
  <c r="G9" i="3" s="1"/>
  <c r="I10" i="13" s="1"/>
  <c r="I14" i="13"/>
  <c r="I14" i="16"/>
  <c r="G12" i="13"/>
  <c r="G12" i="16"/>
  <c r="N9" i="9"/>
  <c r="P10" i="16"/>
  <c r="M14" i="7"/>
  <c r="N30" i="7"/>
  <c r="L14" i="7"/>
  <c r="S15" i="16" s="1"/>
  <c r="L8" i="7"/>
  <c r="S9" i="16" s="1"/>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4" i="13" l="1"/>
  <c r="M12" i="7"/>
  <c r="S13" i="16"/>
  <c r="Q12" i="9"/>
  <c r="Y13" i="13"/>
  <c r="W14" i="13"/>
  <c r="O13" i="9"/>
  <c r="U11" i="7"/>
  <c r="J11" i="7" s="1"/>
  <c r="L11" i="7" s="1"/>
  <c r="S12" i="16" s="1"/>
  <c r="U10" i="7"/>
  <c r="J10" i="7" s="1"/>
  <c r="L10" i="7" s="1"/>
  <c r="S11" i="16" s="1"/>
  <c r="L14" i="8"/>
  <c r="T15" i="16" s="1"/>
  <c r="L15" i="6"/>
  <c r="R16" i="16" s="1"/>
  <c r="Q15" i="9"/>
  <c r="R13" i="9"/>
  <c r="Z14" i="13"/>
  <c r="V15" i="13"/>
  <c r="N14" i="9"/>
  <c r="Y16" i="13"/>
  <c r="U12" i="8"/>
  <c r="J12" i="8" s="1"/>
  <c r="L12" i="8" s="1"/>
  <c r="T13" i="16" s="1"/>
  <c r="L12" i="6"/>
  <c r="R13" i="16" s="1"/>
  <c r="U14" i="2"/>
  <c r="J14" i="2" s="1"/>
  <c r="M14" i="2" s="1"/>
  <c r="G14" i="2" s="1"/>
  <c r="E15" i="16" s="1"/>
  <c r="X14" i="13"/>
  <c r="P13" i="9"/>
  <c r="M14" i="8"/>
  <c r="G14" i="8" s="1"/>
  <c r="K15" i="16" s="1"/>
  <c r="M12" i="6"/>
  <c r="G12" i="6" s="1"/>
  <c r="G12" i="9" s="1"/>
  <c r="L8" i="6"/>
  <c r="R9" i="16" s="1"/>
  <c r="L15" i="5"/>
  <c r="Q16" i="16" s="1"/>
  <c r="T9" i="13"/>
  <c r="L8" i="9"/>
  <c r="X15" i="13"/>
  <c r="P14" i="9"/>
  <c r="G8" i="9"/>
  <c r="Q14" i="9"/>
  <c r="Y15" i="13"/>
  <c r="Y14" i="13"/>
  <c r="E9" i="13"/>
  <c r="Q13" i="9"/>
  <c r="L10" i="2"/>
  <c r="N11" i="16" s="1"/>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1" i="7" l="1"/>
  <c r="Z15" i="13"/>
  <c r="M10" i="7"/>
  <c r="P15" i="9"/>
  <c r="X16" i="13"/>
  <c r="R14" i="9"/>
  <c r="X13" i="13"/>
  <c r="M12" i="8"/>
  <c r="G12" i="8" s="1"/>
  <c r="K13" i="16" s="1"/>
  <c r="P12" i="9"/>
  <c r="E15" i="13"/>
  <c r="M13" i="13"/>
  <c r="C14" i="9"/>
  <c r="L14" i="2"/>
  <c r="N15" i="16" s="1"/>
  <c r="I14" i="9"/>
  <c r="N30" i="2"/>
  <c r="Q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Q13" i="13" l="1"/>
  <c r="I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<sst xmlns="http://schemas.openxmlformats.org/spreadsheetml/2006/main" count="654" uniqueCount="141">
  <si>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</si>
  <si>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</si>
  <si>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</si>
  <si>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</si>
  <si>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</si>
  <si>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</si>
  <si>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</si>
  <si>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</si>
  <si>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</si>
  <si>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</si>
  <si>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</si>
  <si>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</si>
  <si>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</si>
  <si>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</si>
  <si>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</si>
  <si>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</si>
  <si>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</si>
  <si>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</si>
  <si>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</si>
  <si>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</si>
  <si>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</si>
  <si>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</si>
  <si>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</si>
  <si>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</si>
  <si>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</si>
  <si>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</si>
  <si>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</si>
  <si>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</si>
  <si>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</si>
  <si>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</si>
  <si>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</si>
  <si>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</si>
  <si>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</si>
  <si>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</si>
  <si>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</si>
  <si>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</si>
  <si>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</si>
  <si>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</si>
  <si>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</si>
  <si>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</si>
  <si>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</si>
  <si>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</si>
  <si>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</si>
  <si>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</si>
  <si>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</si>
  <si>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</si>
  <si>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</si>
  <si>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</si>
  <si>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</si>
  <si>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</si>
  <si>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</si>
  <si>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</si>
  <si>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</si>
  <si>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</si>
  <si>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</si>
  <si>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</si>
  <si>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</si>
  <si>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</si>
  <si>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</si>
  <si>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</si>
  <si>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</si>
  <si>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</si>
  <si>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</si>
  <si>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</si>
  <si>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</si>
  <si>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</si>
  <si>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</si>
  <si>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</si>
  <si>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</si>
  <si>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</si>
  <si>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</si>
  <si>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</si>
  <si>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</si>
  <si>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</si>
  <si>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</si>
  <si>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</si>
  <si>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</si>
  <si>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</si>
  <si>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</si>
  <si>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</si>
  <si>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</si>
  <si>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</si>
  <si>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</si>
  <si>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</si>
  <si>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</si>
  <si>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</si>
  <si>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</si>
  <si>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</si>
  <si>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</si>
  <si>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</si>
  <si>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</si>
  <si>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</si>
  <si>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</si>
  <si>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</si>
  <si>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</si>
  <si>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</si>
  <si>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</si>
  <si>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</si>
  <si>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</si>
  <si>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</si>
  <si>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</si>
  <si>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</si>
  <si>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</si>
  <si>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</si>
  <si>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</si>
  <si>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</si>
  <si>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</si>
  <si>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</si>
  <si>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</si>
  <si>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</si>
  <si>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</si>
  <si>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</si>
  <si>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</si>
  <si>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</si>
  <si>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</si>
  <si>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</si>
  <si>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</si>
  <si>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</si>
  <si>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</si>
  <si>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</si>
  <si>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</si>
  <si>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</si>
  <si>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</si>
  <si>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</si>
  <si>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</si>
  <si>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</si>
  <si>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</si>
  <si>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</si>
  <si>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</si>
  <si>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</si>
  <si>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</si>
  <si>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</si>
  <si>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</si>
  <si>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</si>
  <si>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</si>
  <si>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</si>
  <si>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Missaukee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</si>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</sst>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Missaukee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N=6</c:v>
                </c:pt>
                <c:pt idx="3">
                  <c:v>Petitions, total N=4</c:v>
                </c:pt>
                <c:pt idx="4">
                  <c:v>Detentions, total N=20</c:v>
                </c:pt>
                <c:pt idx="5">
                  <c:v>Referrals, total N=43</c:v>
                </c:pt>
                <c:pt idx="6">
                  <c:v>Arrests, total N=26</c:v>
                </c:pt>
                <c:pt idx="7">
                  <c:v>Population, total N=1542</c:v>
                </c:pt>
              </c:strCache>
            </c:strRef>
          </c:cat>
          <c:val>
            <c:numRef>
              <c:f>'Stacked 100%'!$B$7:$B$14</c:f>
              <c:numCache>
                <c:formatCode>0%</c:formatCode>
                <c:ptCount val="8"/>
                <c:pt idx="0">
                  <c:v>0</c:v>
                </c:pt>
                <c:pt idx="1">
                  <c:v>0.21052631578947367</c:v>
                </c:pt>
                <c:pt idx="2">
                  <c:v>0.16666666666666666</c:v>
                </c:pt>
                <c:pt idx="3">
                  <c:v>0.75</c:v>
                </c:pt>
                <c:pt idx="4">
                  <c:v>0.2</c:v>
                </c:pt>
                <c:pt idx="5">
                  <c:v>9.3023255813953487E-2</c:v>
                </c:pt>
                <c:pt idx="6">
                  <c:v>0</c:v>
                </c:pt>
                <c:pt idx="7">
                  <c:v>2.2697795071335927E-2</c:v>
                </c:pt>
              </c:numCache>
            </c:numRef>
          </c:val>
          <c:extLst>
            <c:ext xmlns:c16="http://schemas.microsoft.com/office/drawing/2014/chart" uri="{C3380CC4-5D6E-409C-BE32-E72D297353CC}">
              <c16:uniqueId val="{00000000-0B2B-4261-BB59-E80751CAE98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N=6</c:v>
                </c:pt>
                <c:pt idx="3">
                  <c:v>Petitions, total N=4</c:v>
                </c:pt>
                <c:pt idx="4">
                  <c:v>Detentions, total N=20</c:v>
                </c:pt>
                <c:pt idx="5">
                  <c:v>Referrals, total N=43</c:v>
                </c:pt>
                <c:pt idx="6">
                  <c:v>Arrests, total N=26</c:v>
                </c:pt>
                <c:pt idx="7">
                  <c:v>Population, total N=1542</c:v>
                </c:pt>
              </c:strCache>
            </c:strRef>
          </c:cat>
          <c:val>
            <c:numRef>
              <c:f>'Stacked 100%'!$C$7:$C$14</c:f>
              <c:numCache>
                <c:formatCode>0%</c:formatCode>
                <c:ptCount val="8"/>
                <c:pt idx="0">
                  <c:v>0</c:v>
                </c:pt>
                <c:pt idx="1">
                  <c:v>0</c:v>
                </c:pt>
                <c:pt idx="2">
                  <c:v>0</c:v>
                </c:pt>
                <c:pt idx="3">
                  <c:v>0</c:v>
                </c:pt>
                <c:pt idx="4">
                  <c:v>0</c:v>
                </c:pt>
                <c:pt idx="5">
                  <c:v>0</c:v>
                </c:pt>
                <c:pt idx="6">
                  <c:v>0</c:v>
                </c:pt>
                <c:pt idx="7">
                  <c:v>5.8365758754863814E-2</c:v>
                </c:pt>
              </c:numCache>
            </c:numRef>
          </c:val>
          <c:extLst>
            <c:ext xmlns:c16="http://schemas.microsoft.com/office/drawing/2014/chart" uri="{C3380CC4-5D6E-409C-BE32-E72D297353CC}">
              <c16:uniqueId val="{00000001-0B2B-4261-BB59-E80751CAE98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N=19</c:v>
                </c:pt>
                <c:pt idx="2">
                  <c:v>Delinquent Findings, total N=6</c:v>
                </c:pt>
                <c:pt idx="3">
                  <c:v>Petitions, total N=4</c:v>
                </c:pt>
                <c:pt idx="4">
                  <c:v>Detentions, total N=20</c:v>
                </c:pt>
                <c:pt idx="5">
                  <c:v>Referrals, total N=43</c:v>
                </c:pt>
                <c:pt idx="6">
                  <c:v>Arrests, total N=26</c:v>
                </c:pt>
                <c:pt idx="7">
                  <c:v>Population, total N=1542</c:v>
                </c:pt>
              </c:strCache>
            </c:strRef>
          </c:cat>
          <c:val>
            <c:numRef>
              <c:f>'Stacked 100%'!$H$7:$H$14</c:f>
              <c:numCache>
                <c:formatCode>0%</c:formatCode>
                <c:ptCount val="8"/>
                <c:pt idx="0">
                  <c:v>0</c:v>
                </c:pt>
                <c:pt idx="1">
                  <c:v>5.5401662049861496E-3</c:v>
                </c:pt>
                <c:pt idx="2">
                  <c:v>0</c:v>
                </c:pt>
                <c:pt idx="3">
                  <c:v>0</c:v>
                </c:pt>
                <c:pt idx="4">
                  <c:v>5.0000000000000001E-3</c:v>
                </c:pt>
                <c:pt idx="5">
                  <c:v>1.081665765278529E-3</c:v>
                </c:pt>
                <c:pt idx="6">
                  <c:v>0</c:v>
                </c:pt>
                <c:pt idx="7">
                  <c:v>9.2523900605779201E-6</c:v>
                </c:pt>
              </c:numCache>
            </c:numRef>
          </c:val>
          <c:extLst>
            <c:ext xmlns:c16="http://schemas.microsoft.com/office/drawing/2014/chart" uri="{C3380CC4-5D6E-409C-BE32-E72D297353CC}">
              <c16:uniqueId val="{00000002-0B2B-4261-BB59-E80751CAE98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N=6</c:v>
                </c:pt>
                <c:pt idx="3">
                  <c:v>Petitions, total N=4</c:v>
                </c:pt>
                <c:pt idx="4">
                  <c:v>Detentions, total N=20</c:v>
                </c:pt>
                <c:pt idx="5">
                  <c:v>Referrals, total N=43</c:v>
                </c:pt>
                <c:pt idx="6">
                  <c:v>Arrests, total N=26</c:v>
                </c:pt>
                <c:pt idx="7">
                  <c:v>Population, total N=1542</c:v>
                </c:pt>
              </c:strCache>
            </c:strRef>
          </c:cat>
          <c:val>
            <c:numRef>
              <c:f>'Stacked 100%'!$I$7:$I$14</c:f>
              <c:numCache>
                <c:formatCode>0%</c:formatCode>
                <c:ptCount val="8"/>
                <c:pt idx="0">
                  <c:v>0</c:v>
                </c:pt>
                <c:pt idx="1">
                  <c:v>0</c:v>
                </c:pt>
                <c:pt idx="2">
                  <c:v>0</c:v>
                </c:pt>
                <c:pt idx="3">
                  <c:v>0</c:v>
                </c:pt>
                <c:pt idx="4">
                  <c:v>0</c:v>
                </c:pt>
                <c:pt idx="5">
                  <c:v>2.3255813953488372E-2</c:v>
                </c:pt>
                <c:pt idx="6">
                  <c:v>0.96153846153846156</c:v>
                </c:pt>
                <c:pt idx="7">
                  <c:v>0.90466926070038911</c:v>
                </c:pt>
              </c:numCache>
            </c:numRef>
          </c:val>
          <c:extLst>
            <c:ext xmlns:c16="http://schemas.microsoft.com/office/drawing/2014/chart" uri="{C3380CC4-5D6E-409C-BE32-E72D297353CC}">
              <c16:uniqueId val="{00000003-0B2B-4261-BB59-E80751CAE98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N=19</c:v>
                </c:pt>
                <c:pt idx="2">
                  <c:v>Delinquent Findings, total N=6</c:v>
                </c:pt>
                <c:pt idx="3">
                  <c:v>Petitions, total N=4</c:v>
                </c:pt>
                <c:pt idx="4">
                  <c:v>Detentions, total N=20</c:v>
                </c:pt>
                <c:pt idx="5">
                  <c:v>Referrals, total N=43</c:v>
                </c:pt>
                <c:pt idx="6">
                  <c:v>Arrests, total N=26</c:v>
                </c:pt>
                <c:pt idx="7">
                  <c:v>Population, total N=1542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B2B-4261-BB59-E80751CAE98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1542</v>
      </c>
      <c r="C6" s="11">
        <v>1395</v>
      </c>
      <c r="D6" s="11">
        <v>35</v>
      </c>
      <c r="E6" s="11">
        <v>90</v>
      </c>
      <c r="F6" s="11">
        <v>11</v>
      </c>
      <c r="G6" s="11"/>
      <c r="H6" s="11">
        <v>11</v>
      </c>
      <c r="I6" s="11"/>
      <c r="J6" s="91">
        <f>SUM(D6:I6)</f>
        <v>147</v>
      </c>
      <c r="K6" s="92"/>
    </row>
    <row r="7" spans="1:11" ht="15.75" customHeight="1" thickBot="1">
      <c r="A7" s="10" t="s">
        <v>8</v>
      </c>
      <c r="B7" s="11">
        <f t="shared" ref="B7:B15" si="0">SUM(C7:I7)+K7</f>
        <v>26</v>
      </c>
      <c r="C7" s="11">
        <v>25</v>
      </c>
      <c r="D7" s="11"/>
      <c r="E7" s="11"/>
      <c r="F7" s="11"/>
      <c r="G7" s="11"/>
      <c r="H7" s="11"/>
      <c r="I7" s="11"/>
      <c r="J7" s="91">
        <f t="shared" ref="J7:J15" si="1">SUM(D7:I7)</f>
        <v>0</v>
      </c>
      <c r="K7" s="92">
        <v>1</v>
      </c>
    </row>
    <row r="8" spans="1:11" ht="15.75" customHeight="1" thickBot="1">
      <c r="A8" s="10" t="s">
        <v>9</v>
      </c>
      <c r="B8" s="11">
        <f t="shared" si="0"/>
        <v>43</v>
      </c>
      <c r="C8" s="11">
        <v>1</v>
      </c>
      <c r="D8" s="11">
        <v>4</v>
      </c>
      <c r="E8" s="11"/>
      <c r="F8" s="11"/>
      <c r="G8" s="11"/>
      <c r="H8" s="11"/>
      <c r="I8" s="11">
        <v>2</v>
      </c>
      <c r="J8" s="91">
        <f t="shared" si="1"/>
        <v>6</v>
      </c>
      <c r="K8" s="92">
        <v>36</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20</v>
      </c>
      <c r="C10" s="11"/>
      <c r="D10" s="11">
        <v>4</v>
      </c>
      <c r="E10" s="11"/>
      <c r="F10" s="11"/>
      <c r="G10" s="11"/>
      <c r="H10" s="11"/>
      <c r="I10" s="11">
        <v>2</v>
      </c>
      <c r="J10" s="91">
        <f t="shared" si="1"/>
        <v>6</v>
      </c>
      <c r="K10" s="92">
        <v>14</v>
      </c>
    </row>
    <row r="11" spans="1:11" ht="15.75" customHeight="1" thickBot="1">
      <c r="A11" s="10" t="s">
        <v>12</v>
      </c>
      <c r="B11" s="11">
        <f t="shared" si="0"/>
        <v>4</v>
      </c>
      <c r="C11" s="11"/>
      <c r="D11" s="11">
        <v>3</v>
      </c>
      <c r="E11" s="11"/>
      <c r="F11" s="11"/>
      <c r="G11" s="11"/>
      <c r="H11" s="11"/>
      <c r="I11" s="11"/>
      <c r="J11" s="91">
        <f t="shared" si="1"/>
        <v>3</v>
      </c>
      <c r="K11" s="92">
        <v>1</v>
      </c>
    </row>
    <row r="12" spans="1:11" ht="15.75" customHeight="1" thickBot="1">
      <c r="A12" s="10" t="s">
        <v>13</v>
      </c>
      <c r="B12" s="11">
        <f t="shared" si="0"/>
        <v>6</v>
      </c>
      <c r="C12" s="11"/>
      <c r="D12" s="11">
        <v>1</v>
      </c>
      <c r="E12" s="11"/>
      <c r="F12" s="11"/>
      <c r="G12" s="11"/>
      <c r="H12" s="11"/>
      <c r="I12" s="11"/>
      <c r="J12" s="91">
        <f t="shared" si="1"/>
        <v>1</v>
      </c>
      <c r="K12" s="92">
        <v>5</v>
      </c>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19</v>
      </c>
      <c r="C14" s="11"/>
      <c r="D14" s="11">
        <v>4</v>
      </c>
      <c r="E14" s="11"/>
      <c r="F14" s="11"/>
      <c r="G14" s="11"/>
      <c r="H14" s="11"/>
      <c r="I14" s="11">
        <v>2</v>
      </c>
      <c r="J14" s="91">
        <f t="shared" si="1"/>
        <v>6</v>
      </c>
      <c r="K14" s="92">
        <v>13</v>
      </c>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1370</v>
      </c>
      <c r="R7" s="42">
        <f t="shared" ref="R7:R15" si="5">SUM(N7:Q7)</f>
        <v>1395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4</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1</v>
      </c>
      <c r="Q8" s="42">
        <f>(C$67*L67)-C8</f>
        <v>24</v>
      </c>
      <c r="R8" s="42">
        <f t="shared" si="5"/>
        <v>25.05</v>
      </c>
      <c r="S8" s="30">
        <f t="shared" si="6"/>
        <v>62499.812625000013</v>
      </c>
      <c r="T8" s="30">
        <f t="shared" si="7"/>
        <v>82.687500000000085</v>
      </c>
      <c r="U8" s="31">
        <f t="shared" si="8"/>
        <v>755.85563265306064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1</v>
      </c>
      <c r="R9" s="42">
        <f t="shared" si="5"/>
        <v>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2</v>
      </c>
      <c r="F10" s="34">
        <f>IF(((AND($E$10&gt;0,$D$68&gt;0))),($E$10/($D$68)),0)</f>
        <v>100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0</v>
      </c>
      <c r="P10" s="42">
        <f t="shared" si="4"/>
        <v>0</v>
      </c>
      <c r="Q10" s="42">
        <f>(C$68*L68)-C10</f>
        <v>1</v>
      </c>
      <c r="R10" s="42">
        <f t="shared" si="5"/>
        <v>3</v>
      </c>
      <c r="S10" s="30">
        <f t="shared" si="6"/>
        <v>12</v>
      </c>
      <c r="T10" s="30">
        <f t="shared" si="7"/>
        <v>4</v>
      </c>
      <c r="U10" s="31">
        <f t="shared" si="8"/>
        <v>3</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1</v>
      </c>
      <c r="R11" s="42">
        <f t="shared" si="5"/>
        <v>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1</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1</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2</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2</v>
      </c>
      <c r="O14" s="42">
        <f>(D70*L70)-E14</f>
        <v>0</v>
      </c>
      <c r="P14" s="42">
        <f t="shared" si="4"/>
        <v>0</v>
      </c>
      <c r="Q14" s="42">
        <f>(C70*L70)-C14</f>
        <v>1</v>
      </c>
      <c r="R14" s="42">
        <f t="shared" si="5"/>
        <v>3</v>
      </c>
      <c r="S14" s="30">
        <f t="shared" si="6"/>
        <v>12</v>
      </c>
      <c r="T14" s="30">
        <f t="shared" si="7"/>
        <v>4</v>
      </c>
      <c r="U14" s="31">
        <f t="shared" si="8"/>
        <v>3</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0</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0.02</v>
      </c>
      <c r="E44" s="56">
        <f>MAX(C44:D44,0)</f>
        <v>0.02</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0</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0.02</v>
      </c>
      <c r="E50" s="49">
        <f>MAX(C50:D50)</f>
        <v>0.02</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0.02</v>
      </c>
      <c r="E51" s="49">
        <f>MAX(C51:D51)</f>
        <v>0.02</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0</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0.02</v>
      </c>
      <c r="E56" s="49">
        <f>MAX(C56:D56)</f>
        <v>0.02</v>
      </c>
      <c r="G56" s="1" t="str">
        <f>G50</f>
        <v>per 100 referrals</v>
      </c>
      <c r="L56" s="58">
        <f>IF(($E50&gt;0),L50,L49)</f>
        <v>100</v>
      </c>
      <c r="M56" s="58"/>
    </row>
    <row r="57" spans="2:18" ht="15" hidden="1" customHeight="1">
      <c r="B57" s="49" t="str">
        <f>IF(($E51&gt;0),B51,B49)</f>
        <v>per 100 arrests</v>
      </c>
      <c r="C57" s="49">
        <f>IF(($E51&gt;0),C51,C50)</f>
        <v>0.01</v>
      </c>
      <c r="D57" s="49">
        <f>IF(($E51&gt;0),D51,D50)</f>
        <v>0.02</v>
      </c>
      <c r="E57" s="49">
        <f>MAX(C57:D57)</f>
        <v>0.02</v>
      </c>
      <c r="G57" s="1" t="str">
        <f>G51</f>
        <v>per 100 youth petitioned</v>
      </c>
      <c r="L57" s="58">
        <f>IF(($E51&gt;0),L51,L50)</f>
        <v>100</v>
      </c>
      <c r="M57" s="58"/>
    </row>
    <row r="58" spans="2:18" ht="15" hidden="1" customHeight="1">
      <c r="B58" s="49" t="str">
        <f>IF(($E52&gt;0),B52,B51)</f>
        <v>per 100 arrests</v>
      </c>
      <c r="C58" s="49">
        <f>IF(($E52&gt;0),C52,C51)</f>
        <v>0.01</v>
      </c>
      <c r="D58" s="49">
        <f>IF(($E52&gt;0),D52,D51)</f>
        <v>0.02</v>
      </c>
      <c r="E58" s="56">
        <f>MAX(C58:D58)</f>
        <v>0.02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0</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0.02</v>
      </c>
      <c r="E62" s="49">
        <f>MAX(C62:D62)</f>
        <v>0.02</v>
      </c>
      <c r="G62" s="1" t="str">
        <f>G56</f>
        <v>per 100 referrals</v>
      </c>
      <c r="L62" s="58">
        <f>IF(($E56&gt;0),L56,L55)</f>
        <v>100</v>
      </c>
      <c r="M62" s="58"/>
    </row>
    <row r="63" spans="2:18" ht="15" hidden="1" customHeight="1">
      <c r="B63" s="49" t="str">
        <f>IF(($E57&gt;0),B57,B55)</f>
        <v>per 100 arrests</v>
      </c>
      <c r="C63" s="49">
        <f>IF(($E57&gt;0),C57,C56)</f>
        <v>0.01</v>
      </c>
      <c r="D63" s="49">
        <f>IF(($E57&gt;0),D57,D56)</f>
        <v>0.02</v>
      </c>
      <c r="E63" s="49">
        <f>MAX(C63:D63)</f>
        <v>0.02</v>
      </c>
      <c r="G63" s="1" t="str">
        <f>G57</f>
        <v>per 100 youth petitioned</v>
      </c>
      <c r="L63" s="58">
        <f>IF(($E57&gt;0),L57,L56)</f>
        <v>100</v>
      </c>
      <c r="M63" s="58"/>
    </row>
    <row r="64" spans="2:18" ht="15" hidden="1" customHeight="1">
      <c r="B64" s="49" t="str">
        <f>IF(($E58&gt;0),B58,B57)</f>
        <v>per 100 arrests</v>
      </c>
      <c r="C64" s="49">
        <f>IF(($E58&gt;0),C58,C57)</f>
        <v>0.01</v>
      </c>
      <c r="D64" s="49">
        <f>IF(($E58&gt;0),D58,D57)</f>
        <v>0.02</v>
      </c>
      <c r="E64" s="56">
        <f>MAX(C64:D64)</f>
        <v>0.02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0</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0.02</v>
      </c>
      <c r="E68" s="49">
        <f>MAX(C68:D68)</f>
        <v>0.02</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0.02</v>
      </c>
      <c r="E69" s="49">
        <f>MAX(C69:D69)</f>
        <v>0.02</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0.02</v>
      </c>
      <c r="E70" s="56">
        <f>MAX(C70:D70)</f>
        <v>0.02</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Entry'!J6</f>
        <v>147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147</v>
      </c>
      <c r="P7" s="42">
        <f t="shared" ref="P7:P15" si="4">C7</f>
        <v>25</v>
      </c>
      <c r="Q7" s="42">
        <f>C6-C7</f>
        <v>1370</v>
      </c>
      <c r="R7" s="42">
        <f t="shared" ref="R7:R15" si="5">SUM(N7:Q7)</f>
        <v>1542</v>
      </c>
      <c r="S7" s="30">
        <f t="shared" ref="S7:S15" si="6">R7*((((N7*Q7)-(O7*P7))^2))</f>
        <v>20825673750</v>
      </c>
      <c r="T7" s="30">
        <f t="shared" ref="T7:T15" si="7">(N7+O7)*(P7+Q7)*(N7+P7)*(O7+Q7)</f>
        <v>7777090125</v>
      </c>
      <c r="U7" s="31">
        <f t="shared" ref="U7:U15" si="8">IF((S7&gt;0),S7/T7,"- -")</f>
        <v>2.6778233780594127</v>
      </c>
    </row>
    <row r="8" spans="2:21" ht="18" customHeight="1">
      <c r="B8" s="32" t="str">
        <f>'Data Entry'!A8</f>
        <v>3. Refer to Juvenile Court</v>
      </c>
      <c r="C8" s="33">
        <f>'Data Entry'!C8</f>
        <v>1</v>
      </c>
      <c r="D8" s="34">
        <f>IF((AND(C67&gt;0,C8&gt;0)),(C8/C67),0)</f>
        <v>4</v>
      </c>
      <c r="E8" s="33">
        <f>'Data Entry'!J8</f>
        <v>6</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6</v>
      </c>
      <c r="O8" s="42">
        <f>((D67*L67)-E8)+0.05</f>
        <v>-5.95</v>
      </c>
      <c r="P8" s="42">
        <f t="shared" si="4"/>
        <v>1</v>
      </c>
      <c r="Q8" s="42">
        <f>(C$67*L67)-C8</f>
        <v>24</v>
      </c>
      <c r="R8" s="42">
        <f t="shared" si="5"/>
        <v>25.05</v>
      </c>
      <c r="S8" s="30">
        <f t="shared" si="6"/>
        <v>563249.3126249999</v>
      </c>
      <c r="T8" s="30">
        <f t="shared" si="7"/>
        <v>157.93749999999943</v>
      </c>
      <c r="U8" s="31">
        <f t="shared" si="8"/>
        <v>3566.2797791848166</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v>
      </c>
      <c r="R9" s="42">
        <f t="shared" si="5"/>
        <v>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6</v>
      </c>
      <c r="F10" s="34">
        <f>IF(((AND($E$10&gt;0,$D$68&gt;0))),($E$10/($D$68)),0)</f>
        <v>100</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6</v>
      </c>
      <c r="O10" s="42">
        <f>(D$68*L68)-E10</f>
        <v>0</v>
      </c>
      <c r="P10" s="42">
        <f t="shared" si="4"/>
        <v>0</v>
      </c>
      <c r="Q10" s="42">
        <f>(C$68*L68)-C10</f>
        <v>1</v>
      </c>
      <c r="R10" s="42">
        <f t="shared" si="5"/>
        <v>7</v>
      </c>
      <c r="S10" s="30">
        <f t="shared" si="6"/>
        <v>252</v>
      </c>
      <c r="T10" s="30">
        <f t="shared" si="7"/>
        <v>36</v>
      </c>
      <c r="U10" s="31">
        <f t="shared" si="8"/>
        <v>7</v>
      </c>
    </row>
    <row r="11" spans="2:21" ht="18" customHeight="1">
      <c r="B11" s="32" t="str">
        <f>'Data Entry'!A11</f>
        <v>6. Cases Petitioned (Charge Filed)</v>
      </c>
      <c r="C11" s="33">
        <f>'Data Entry'!C11</f>
        <v>0</v>
      </c>
      <c r="D11" s="34">
        <f>IF(((AND(C68&gt;0,C11&gt;0))),(C11/(C68)),0)</f>
        <v>0</v>
      </c>
      <c r="E11" s="33">
        <f>'Data Entry'!J11</f>
        <v>3</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3</v>
      </c>
      <c r="P11" s="42">
        <f t="shared" si="4"/>
        <v>0</v>
      </c>
      <c r="Q11" s="42">
        <f>(C$68*L68)-C11</f>
        <v>1</v>
      </c>
      <c r="R11" s="42">
        <f t="shared" si="5"/>
        <v>7</v>
      </c>
      <c r="S11" s="30">
        <f t="shared" si="6"/>
        <v>63</v>
      </c>
      <c r="T11" s="30">
        <f t="shared" si="7"/>
        <v>72</v>
      </c>
      <c r="U11" s="31">
        <f t="shared" si="8"/>
        <v>0.875</v>
      </c>
    </row>
    <row r="12" spans="2:21" ht="18" customHeight="1">
      <c r="B12" s="32" t="str">
        <f>'Data Entry'!A12</f>
        <v>7. Cases Resulting in Delinquent Findings</v>
      </c>
      <c r="C12" s="33">
        <f>'Data Entry'!C12</f>
        <v>0</v>
      </c>
      <c r="D12" s="34">
        <f>IF(((AND(C69&gt;0,C12&gt;0))),(C12/(C69)),0)</f>
        <v>0</v>
      </c>
      <c r="E12" s="33">
        <f>'Data Entry'!J12</f>
        <v>1</v>
      </c>
      <c r="F12" s="34">
        <f>IF(((AND($D$69&gt;0,$E$12&gt;0))),(E12/(D69)),0)</f>
        <v>33.333333333333336</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1</v>
      </c>
      <c r="O12" s="42">
        <f>(D69*L69)-E12</f>
        <v>2</v>
      </c>
      <c r="P12" s="42">
        <f t="shared" si="4"/>
        <v>0</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0</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6</v>
      </c>
      <c r="F14" s="34">
        <f>IF(((AND($D$70&gt;0,$E$14&gt;0))), (($E$14/($D$70))),0)</f>
        <v>600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6</v>
      </c>
      <c r="O14" s="42">
        <f>(D70*L70)-E14</f>
        <v>-5</v>
      </c>
      <c r="P14" s="42">
        <f t="shared" si="4"/>
        <v>0</v>
      </c>
      <c r="Q14" s="42">
        <f>(C70*L70)-C14</f>
        <v>0</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0</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0.14699999999999999</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0.06</v>
      </c>
      <c r="E44" s="56">
        <f>MAX(C44:D44,0)</f>
        <v>0.06</v>
      </c>
      <c r="G44" s="1" t="str">
        <f>B44</f>
        <v>per 100 referrals</v>
      </c>
      <c r="L44" s="57">
        <v>100</v>
      </c>
      <c r="M44" s="57"/>
      <c r="R44" s="49"/>
    </row>
    <row r="45" spans="2:18" ht="15" hidden="1" customHeight="1">
      <c r="B45" s="49" t="s">
        <v>89</v>
      </c>
      <c r="C45" s="49">
        <f>C11/100</f>
        <v>0</v>
      </c>
      <c r="D45" s="49">
        <f>E11/100</f>
        <v>0.03</v>
      </c>
      <c r="E45" s="56">
        <f>MAX(C45:D45,0)</f>
        <v>0.03</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0.14699999999999999</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0.06</v>
      </c>
      <c r="E50" s="49">
        <f>MAX(C50:D50)</f>
        <v>0.06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v>
      </c>
      <c r="D51" s="49">
        <f>IF(($E45&gt;0),D45,D44)</f>
        <v>0.03</v>
      </c>
      <c r="E51" s="49">
        <f>MAX(C51:D51)</f>
        <v>0.03</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0.14699999999999999</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0.06</v>
      </c>
      <c r="E56" s="49">
        <f>MAX(C56:D56)</f>
        <v>0.06</v>
      </c>
      <c r="G56" s="1" t="str">
        <f>G50</f>
        <v>per 100 referrals</v>
      </c>
      <c r="L56" s="58">
        <f>IF(($E50&gt;0),L50,L49)</f>
        <v>100</v>
      </c>
      <c r="M56" s="58"/>
    </row>
    <row r="57" spans="2:18" ht="15" hidden="1" customHeight="1">
      <c r="B57" s="49" t="str">
        <f>IF(($E51&gt;0),B51,B49)</f>
        <v>per 100 youth petitioned</v>
      </c>
      <c r="C57" s="49">
        <f>IF(($E51&gt;0),C51,C50)</f>
        <v>0</v>
      </c>
      <c r="D57" s="49">
        <f>IF(($E51&gt;0),D51,D50)</f>
        <v>0.03</v>
      </c>
      <c r="E57" s="49">
        <f>MAX(C57:D57)</f>
        <v>0.03</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0.14699999999999999</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0.06</v>
      </c>
      <c r="E62" s="49">
        <f>MAX(C62:D62)</f>
        <v>0.06</v>
      </c>
      <c r="G62" s="1" t="str">
        <f>G56</f>
        <v>per 100 referrals</v>
      </c>
      <c r="L62" s="58">
        <f>IF(($E56&gt;0),L56,L55)</f>
        <v>100</v>
      </c>
      <c r="M62" s="58"/>
    </row>
    <row r="63" spans="2:18" ht="15" hidden="1" customHeight="1">
      <c r="B63" s="49" t="str">
        <f>IF(($E57&gt;0),B57,B55)</f>
        <v>per 100 youth petitioned</v>
      </c>
      <c r="C63" s="49">
        <f>IF(($E57&gt;0),C57,C56)</f>
        <v>0</v>
      </c>
      <c r="D63" s="49">
        <f>IF(($E57&gt;0),D57,D56)</f>
        <v>0.03</v>
      </c>
      <c r="E63" s="49">
        <f>MAX(C63:D63)</f>
        <v>0.03</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0.14699999999999999</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0.06</v>
      </c>
      <c r="E68" s="49">
        <f>MAX(C68:D68)</f>
        <v>0.06</v>
      </c>
      <c r="G68" s="1" t="str">
        <f>G62</f>
        <v>per 100 referrals</v>
      </c>
      <c r="L68" s="58">
        <f>IF(($E62&gt;0),L62,L61)</f>
        <v>100</v>
      </c>
      <c r="M68" s="58">
        <f>IF((B68=G68),1,2)</f>
        <v>1</v>
      </c>
    </row>
    <row r="69" spans="2:13" ht="15" hidden="1" customHeight="1">
      <c r="B69" s="49" t="str">
        <f>IF(($E63&gt;0),B63,B61)</f>
        <v>per 100 youth petitioned</v>
      </c>
      <c r="C69" s="49">
        <f>IF(($E63&gt;0),C63,C62)</f>
        <v>0</v>
      </c>
      <c r="D69" s="49">
        <f>IF(($E63&gt;0),D63,D62)</f>
        <v>0.03</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Missaukee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t="e">
        <f>'Am Indian'!L10</f>
        <v>#VALUE!</v>
      </c>
      <c r="Q10" s="1">
        <f>'Other - Mixed'!L10</f>
        <v>139</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139</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1542</v>
      </c>
      <c r="D3" s="57">
        <f>'Data Entry'!C6</f>
        <v>1395</v>
      </c>
      <c r="E3" s="57">
        <f>'Data Entry'!D6</f>
        <v>35</v>
      </c>
      <c r="F3" s="57">
        <f>'Data Entry'!E6</f>
        <v>90</v>
      </c>
      <c r="G3" s="57">
        <f>'Data Entry'!F6</f>
        <v>11</v>
      </c>
      <c r="H3" s="57">
        <f>'Data Entry'!G6</f>
        <v>0</v>
      </c>
      <c r="I3" s="57">
        <f>'Data Entry'!H6</f>
        <v>11</v>
      </c>
      <c r="J3" s="57">
        <f>'Data Entry'!I6</f>
        <v>0</v>
      </c>
      <c r="K3" s="57">
        <f>'Data Entry'!J6</f>
        <v>147</v>
      </c>
    </row>
    <row r="4" spans="2:11" ht="15" customHeight="1">
      <c r="B4" s="16" t="s">
        <v>8</v>
      </c>
      <c r="C4" s="1">
        <f>IF((C$3&gt;0),(1000*('Data Entry'!B7/'Data Entry'!B$6)), 0)</f>
        <v>16.861219195849547</v>
      </c>
      <c r="D4" s="1">
        <f>IF((D$3&gt;0),(1000*('Data Entry'!C7/'Data Entry'!C$6)), 0)</f>
        <v>17.921146953405017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27.885862516212711</v>
      </c>
      <c r="D5" s="1">
        <f>IF((D$3&gt;0),(1000*('Data Entry'!C8/'Data Entry'!C$6)), 0)</f>
        <v>0.71684587813620071</v>
      </c>
      <c r="E5" s="1">
        <f>IF((E$3&gt;0),(1000*('Data Entry'!D8/'Data Entry'!D$6)), 0)</f>
        <v>114.28571428571428</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40.816326530612244</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12.970168612191959</v>
      </c>
      <c r="D7" s="1">
        <f>IF((D$3&gt;0),(1000*('Data Entry'!C10/'Data Entry'!C$6)), 0)</f>
        <v>0</v>
      </c>
      <c r="E7" s="1">
        <f>IF((E$3&gt;0),(1000*('Data Entry'!D10/'Data Entry'!D$6)), 0)</f>
        <v>114.28571428571428</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40.816326530612244</v>
      </c>
    </row>
    <row r="8" spans="2:11" ht="15" customHeight="1">
      <c r="B8" s="16" t="s">
        <v>95</v>
      </c>
      <c r="C8" s="1">
        <f>IF((C$3&gt;0),(1000*('Data Entry'!B11/'Data Entry'!B$6)), 0)</f>
        <v>2.5940337224383918</v>
      </c>
      <c r="D8" s="1">
        <f>IF((D$3&gt;0),(1000*('Data Entry'!C11/'Data Entry'!C$6)), 0)</f>
        <v>0</v>
      </c>
      <c r="E8" s="1">
        <f>IF((E$3&gt;0),(1000*('Data Entry'!D11/'Data Entry'!D$6)), 0)</f>
        <v>85.714285714285708</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20.408163265306122</v>
      </c>
    </row>
    <row r="9" spans="2:11" ht="15" customHeight="1">
      <c r="B9" s="16" t="s">
        <v>13</v>
      </c>
      <c r="C9" s="1">
        <f>IF((C$3&gt;0),(1000*('Data Entry'!B12/'Data Entry'!B$6)), 0)</f>
        <v>3.8910505836575875</v>
      </c>
      <c r="D9" s="1">
        <f>IF((D$3&gt;0),(1000*('Data Entry'!C12/'Data Entry'!C$6)), 0)</f>
        <v>0</v>
      </c>
      <c r="E9" s="1">
        <f>IF((E$3&gt;0),(1000*('Data Entry'!D12/'Data Entry'!D$6)), 0)</f>
        <v>28.571428571428569</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6.8027210884353737</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12.321660181582359</v>
      </c>
      <c r="D11" s="1">
        <f>IF((D$3&gt;0),(1000*('Data Entry'!C14/'Data Entry'!C$6)), 0)</f>
        <v>0</v>
      </c>
      <c r="E11" s="1">
        <f>IF((E$3&gt;0),(1000*('Data Entry'!D14/'Data Entry'!D$6)), 0)</f>
        <v>114.28571428571428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40.816326530612244</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Missaukee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159.42857142857142</v>
      </c>
      <c r="E20" s="72" t="str">
        <f t="shared" si="2"/>
        <v>--</v>
      </c>
      <c r="F20" s="72" t="str">
        <f t="shared" si="2"/>
        <v>--</v>
      </c>
      <c r="G20" s="72" t="str">
        <f t="shared" si="2"/>
        <v>--</v>
      </c>
      <c r="H20" s="72" t="str">
        <f t="shared" si="2"/>
        <v>--</v>
      </c>
      <c r="I20" s="72" t="str">
        <f t="shared" si="2"/>
        <v>--</v>
      </c>
      <c r="J20" s="73">
        <f t="shared" si="2"/>
        <v>56.938775510204081</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Missaukee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1395</v>
      </c>
      <c r="D7" s="104">
        <f>'Data Entry'!D6</f>
        <v>35</v>
      </c>
      <c r="E7" s="105"/>
      <c r="F7" s="106">
        <f>'Data Entry'!E6</f>
        <v>90</v>
      </c>
      <c r="G7" s="105"/>
      <c r="H7" s="106">
        <f>'Data Entry'!F6</f>
        <v>11</v>
      </c>
      <c r="I7" s="105"/>
      <c r="J7" s="106">
        <f>'Data Entry'!G6</f>
        <v>0</v>
      </c>
      <c r="K7" s="105"/>
      <c r="L7" s="106">
        <f>'Data Entry'!H6</f>
        <v>11</v>
      </c>
      <c r="M7" s="105"/>
      <c r="N7" s="106">
        <f>'Data Entry'!I6</f>
        <v>0</v>
      </c>
      <c r="O7" s="105"/>
      <c r="P7" s="106">
        <f>'Data Entry'!J6</f>
        <v>147</v>
      </c>
      <c r="Q7" s="107"/>
    </row>
    <row r="8" spans="2:26" s="1" customFormat="1" ht="15" customHeight="1">
      <c r="B8" s="142" t="s">
        <v>8</v>
      </c>
      <c r="C8" s="103">
        <f>'Data Entry'!C7</f>
        <v>25</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1</v>
      </c>
      <c r="D9" s="108">
        <f>'Data Entry'!D8</f>
        <v>4</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2</v>
      </c>
      <c r="O9" s="109" t="str">
        <f>'Other - Mixed'!G8</f>
        <v>*</v>
      </c>
      <c r="P9" s="110">
        <f>'Data Entry'!J8</f>
        <v>6</v>
      </c>
      <c r="Q9" s="111" t="str">
        <f>'All Minorities'!G8</f>
        <v>**</v>
      </c>
      <c r="R9"/>
      <c r="T9" s="1">
        <f>'Black or African-American'!L8</f>
        <v>20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4</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6</v>
      </c>
      <c r="Q11" s="111" t="str">
        <f>'All Minorities'!G10</f>
        <v>**</v>
      </c>
      <c r="R11"/>
      <c r="T11" s="1">
        <f>'Black or African-American'!L10</f>
        <v>20</v>
      </c>
      <c r="U11" s="1" t="e">
        <f>Hispanic!L10</f>
        <v>#VALUE!</v>
      </c>
      <c r="V11" s="1" t="e">
        <f>Asian!L10</f>
        <v>#VALUE!</v>
      </c>
      <c r="W11" s="1" t="e">
        <f>Hawaiian!L10</f>
        <v>#VALUE!</v>
      </c>
      <c r="X11" s="1" t="e">
        <f>'Am Indian'!L10</f>
        <v>#VALUE!</v>
      </c>
      <c r="Y11" s="1">
        <f>'Other - Mixed'!L10</f>
        <v>139</v>
      </c>
      <c r="Z11" s="1">
        <f>'All Minorities'!L10</f>
        <v>20</v>
      </c>
    </row>
    <row r="12" spans="2:26" s="1" customFormat="1" ht="15" customHeight="1">
      <c r="B12" s="142" t="s">
        <v>95</v>
      </c>
      <c r="C12" s="103">
        <f>'Data Entry'!C11</f>
        <v>0</v>
      </c>
      <c r="D12" s="112">
        <f>'Data Entry'!D11</f>
        <v>3</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3</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0</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4</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6</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139</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Missaukee</v>
      </c>
    </row>
    <row r="6" spans="1:12">
      <c r="A6" s="135" t="str">
        <f>CONCATENATE("Percentage of Minorities at Stages of the Juvenile Justice System, ", A5, " 2022")</f>
        <v>Percentage of Minorities at Stages of the Juvenile Justice System, County: Missaukee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9.4897959183673457</v>
      </c>
    </row>
    <row r="8" spans="1:12" ht="25.5" customHeight="1">
      <c r="A8" s="151" t="str">
        <f>CONCATENATE("Confinement, total N=", 'Data Entry'!B14)</f>
        <v>Confinement, total N=19</v>
      </c>
      <c r="B8" s="150">
        <f>'Data Entry'!D14/'Data Entry'!B14</f>
        <v>0.21052631578947367</v>
      </c>
      <c r="C8" s="150">
        <f>'Data Entry'!E14/'Data Entry'!B14</f>
        <v>0</v>
      </c>
      <c r="D8" s="150">
        <f>'Data Entry'!F14/'Data Entry'!B14</f>
        <v>0</v>
      </c>
      <c r="E8" s="150">
        <f>'Data Entry'!G14/'Data Entry'!B14</f>
        <v>0</v>
      </c>
      <c r="F8" s="150">
        <f>'Data Entry'!H14/'Data Entry'!B14</f>
        <v>0</v>
      </c>
      <c r="G8" s="150">
        <f>'Data Entry'!I14/'Data Entry'!B14</f>
        <v>0.10526315789473684</v>
      </c>
      <c r="H8" s="150">
        <f>SUM(D8:G8)/'Data Entry'!B14</f>
        <v>5.5401662049861496E-3</v>
      </c>
      <c r="I8" s="150">
        <f>'Data Entry'!C14/'Data Entry'!B14</f>
        <v>0</v>
      </c>
      <c r="K8" s="96" t="str">
        <f>A8</f>
        <v>Confinement, total N=19</v>
      </c>
      <c r="L8">
        <f>I14/(SUM(B14:G14))</f>
        <v>9.4897959183673457</v>
      </c>
    </row>
    <row r="9" spans="1:12">
      <c r="A9" s="128" t="str">
        <f>CONCATENATE("Delinquent Findings, total N=", 'Data Entry'!B12)</f>
        <v>Delinquent Findings, total N=6</v>
      </c>
      <c r="B9" s="150">
        <f>'Data Entry'!D12/'Data Entry'!B12</f>
        <v>0.16666666666666666</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N=6</v>
      </c>
      <c r="L9">
        <f>I14/(SUM(B14:G14))</f>
        <v>9.4897959183673457</v>
      </c>
    </row>
    <row r="10" spans="1:12">
      <c r="A10" s="128" t="str">
        <f>CONCATENATE("Petitions, total N=", 'Data Entry'!B11)</f>
        <v>Petitions, total N=4</v>
      </c>
      <c r="B10" s="150">
        <f>'Data Entry'!D11/'Data Entry'!B11</f>
        <v>0.75</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N=4</v>
      </c>
      <c r="L10">
        <f>I14/(SUM(B14:G14))</f>
        <v>9.4897959183673457</v>
      </c>
    </row>
    <row r="11" spans="1:12">
      <c r="A11" s="128" t="str">
        <f>CONCATENATE("Detentions, total N=", 'Data Entry'!B10)</f>
        <v>Detentions, total N=20</v>
      </c>
      <c r="B11" s="150">
        <f>'Data Entry'!D10/'Data Entry'!B10</f>
        <v>0.2</v>
      </c>
      <c r="C11" s="150">
        <f>'Data Entry'!E10/'Data Entry'!B10</f>
        <v>0</v>
      </c>
      <c r="D11" s="150">
        <f>'Data Entry'!F10/'Data Entry'!B10</f>
        <v>0</v>
      </c>
      <c r="E11" s="150">
        <f>'Data Entry'!G10/'Data Entry'!B10</f>
        <v>0</v>
      </c>
      <c r="F11" s="150">
        <f>'Data Entry'!H10/'Data Entry'!B10</f>
        <v>0</v>
      </c>
      <c r="G11" s="150">
        <f>'Data Entry'!I10/'Data Entry'!B10</f>
        <v>0.1</v>
      </c>
      <c r="H11" s="150">
        <f>SUM(D11:G11)/'Data Entry'!B10</f>
        <v>5.0000000000000001E-3</v>
      </c>
      <c r="I11" s="150">
        <f>'Data Entry'!C10/'Data Entry'!B10</f>
        <v>0</v>
      </c>
      <c r="K11" s="96" t="str">
        <f t="shared" si="0"/>
        <v>Detentions, total N=20</v>
      </c>
      <c r="L11">
        <f>I14/(SUM(B14:G14))</f>
        <v>9.4897959183673457</v>
      </c>
    </row>
    <row r="12" spans="1:12">
      <c r="A12" s="128" t="str">
        <f>CONCATENATE("Referrals, total N=", 'Data Entry'!B8)</f>
        <v>Referrals, total N=43</v>
      </c>
      <c r="B12" s="150">
        <f>'Data Entry'!D8/'Data Entry'!B8</f>
        <v>9.3023255813953487E-2</v>
      </c>
      <c r="C12" s="150">
        <f>'Data Entry'!E8/'Data Entry'!B8</f>
        <v>0</v>
      </c>
      <c r="D12" s="150">
        <f>'Data Entry'!F8/'Data Entry'!B8</f>
        <v>0</v>
      </c>
      <c r="E12" s="150">
        <f>'Data Entry'!G8/'Data Entry'!B8</f>
        <v>0</v>
      </c>
      <c r="F12" s="150">
        <f>'Data Entry'!H8/'Data Entry'!B8</f>
        <v>0</v>
      </c>
      <c r="G12" s="150">
        <f>'Data Entry'!I8/'Data Entry'!B8</f>
        <v>4.6511627906976744E-2</v>
      </c>
      <c r="H12" s="150">
        <f>SUM(D12:G12)/'Data Entry'!B8</f>
        <v>1.081665765278529E-3</v>
      </c>
      <c r="I12" s="150">
        <f>'Data Entry'!C8/'Data Entry'!B8</f>
        <v>2.3255813953488372E-2</v>
      </c>
      <c r="K12" s="96" t="str">
        <f t="shared" si="0"/>
        <v>Referrals, total N=43</v>
      </c>
      <c r="L12">
        <f>I14/(SUM(B14:G14))</f>
        <v>9.4897959183673457</v>
      </c>
    </row>
    <row r="13" spans="1:12">
      <c r="A13" s="128" t="str">
        <f>CONCATENATE("Arrests, total N=", 'Data Entry'!B7)</f>
        <v>Arrests, total N=26</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0.96153846153846156</v>
      </c>
      <c r="K13" s="96" t="str">
        <f t="shared" si="0"/>
        <v>Arrests, total N=26</v>
      </c>
      <c r="L13">
        <f>I14/(SUM(B14:G14))</f>
        <v>9.4897959183673457</v>
      </c>
    </row>
    <row r="14" spans="1:12">
      <c r="A14" s="128" t="str">
        <f>CONCATENATE("Population, total N=", 'Data Entry'!B6)</f>
        <v>Population, total N=1542</v>
      </c>
      <c r="B14" s="150">
        <f>'Data Entry'!D6/'Data Entry'!B6</f>
        <v>2.2697795071335927E-2</v>
      </c>
      <c r="C14" s="150">
        <f>'Data Entry'!E6/'Data Entry'!B6</f>
        <v>5.8365758754863814E-2</v>
      </c>
      <c r="D14" s="150">
        <f>'Data Entry'!F6/'Data Entry'!B6</f>
        <v>7.133592736705577E-3</v>
      </c>
      <c r="E14" s="150">
        <f>'Data Entry'!G6/'Data Entry'!B6</f>
        <v>0</v>
      </c>
      <c r="F14" s="150">
        <f>'Data Entry'!H6/'Data Entry'!B6</f>
        <v>7.133592736705577E-3</v>
      </c>
      <c r="G14" s="150">
        <f>'Data Entry'!I6/'Data Entry'!B6</f>
        <v>0</v>
      </c>
      <c r="H14" s="150">
        <f>SUM(D14:G14)/'Data Entry'!B6</f>
        <v>9.2523900605779201E-6</v>
      </c>
      <c r="I14" s="150">
        <f>'Data Entry'!C6/'Data Entry'!B6</f>
        <v>0.90466926070038911</v>
      </c>
      <c r="K14" s="96" t="str">
        <f t="shared" si="0"/>
        <v>Population, total N=1542</v>
      </c>
      <c r="L14">
        <f>I14/(SUM(B14:G14))</f>
        <v>9.4897959183673457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Missaukee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1395</v>
      </c>
      <c r="D7" s="104">
        <f>'Data Entry'!D6</f>
        <v>35</v>
      </c>
      <c r="E7" s="105"/>
      <c r="F7" s="106">
        <f>'Data Entry'!E6</f>
        <v>90</v>
      </c>
      <c r="G7" s="105"/>
      <c r="H7" s="106">
        <f>'Data Entry'!F6</f>
        <v>11</v>
      </c>
      <c r="I7" s="105"/>
      <c r="J7" s="106">
        <f>'Data Entry'!J6</f>
        <v>147</v>
      </c>
      <c r="K7" s="107"/>
    </row>
    <row r="8" spans="2:30" s="1" customFormat="1" ht="15" customHeight="1">
      <c r="B8" s="121" t="s">
        <v>8</v>
      </c>
      <c r="C8" s="103">
        <f>'Data Entry'!C7</f>
        <v>25</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1</v>
      </c>
      <c r="D9" s="108">
        <f>'Data Entry'!D8</f>
        <v>4</v>
      </c>
      <c r="E9" s="109" t="str">
        <f>'Black or African-American'!$G8</f>
        <v>**</v>
      </c>
      <c r="F9" s="110">
        <f>'Data Entry'!E8</f>
        <v>0</v>
      </c>
      <c r="G9" s="109" t="str">
        <f>Hispanic!G8</f>
        <v>**</v>
      </c>
      <c r="H9" s="110">
        <f>'Data Entry'!F8</f>
        <v>0</v>
      </c>
      <c r="I9" s="109" t="str">
        <f>Asian!G8</f>
        <v>*</v>
      </c>
      <c r="J9" s="110">
        <f>'Data Entry'!J8</f>
        <v>6</v>
      </c>
      <c r="K9" s="111" t="str">
        <f>'All Minorities'!G8</f>
        <v>**</v>
      </c>
      <c r="L9"/>
      <c r="N9" s="1">
        <f>'Black or African-American'!L8</f>
        <v>20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4</v>
      </c>
      <c r="E11" s="109" t="str">
        <f>'Black or African-American'!$G10</f>
        <v>**</v>
      </c>
      <c r="F11" s="110">
        <f>'Data Entry'!E10</f>
        <v>0</v>
      </c>
      <c r="G11" s="109" t="str">
        <f>Hispanic!G10</f>
        <v>--</v>
      </c>
      <c r="H11" s="110">
        <f>'Data Entry'!F10</f>
        <v>0</v>
      </c>
      <c r="I11" s="109" t="str">
        <f>Asian!G10</f>
        <v>*</v>
      </c>
      <c r="J11" s="110">
        <f>'Data Entry'!J10</f>
        <v>6</v>
      </c>
      <c r="K11" s="111" t="str">
        <f>'All Minorities'!G10</f>
        <v>**</v>
      </c>
      <c r="L11"/>
      <c r="N11" s="1">
        <f>'Black or African-American'!L10</f>
        <v>20</v>
      </c>
      <c r="O11" s="1" t="e">
        <f>Hispanic!L10</f>
        <v>#VALUE!</v>
      </c>
      <c r="P11" s="1" t="e">
        <f>Asian!L10</f>
        <v>#VALUE!</v>
      </c>
      <c r="Q11" s="1" t="e">
        <f>Hawaiian!L10</f>
        <v>#VALUE!</v>
      </c>
      <c r="R11" s="1" t="e">
        <f>'Am Indian'!L10</f>
        <v>#VALUE!</v>
      </c>
      <c r="S11" s="1">
        <f>'Other - Mixed'!L10</f>
        <v>139</v>
      </c>
      <c r="T11" s="1">
        <f>'All Minorities'!L10</f>
        <v>20</v>
      </c>
    </row>
    <row r="12" spans="2:30" s="1" customFormat="1" ht="15" customHeight="1">
      <c r="B12" s="121" t="s">
        <v>95</v>
      </c>
      <c r="C12" s="103">
        <f>'Data Entry'!C11</f>
        <v>0</v>
      </c>
      <c r="D12" s="112">
        <f>'Data Entry'!D11</f>
        <v>3</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0</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4</v>
      </c>
      <c r="E15" s="109" t="str">
        <f>'Black or African-American'!$G14</f>
        <v>--</v>
      </c>
      <c r="F15" s="110">
        <f>'Data Entry'!E14</f>
        <v>0</v>
      </c>
      <c r="G15" s="109" t="str">
        <f>Hispanic!G14</f>
        <v>--</v>
      </c>
      <c r="H15" s="110">
        <f>'Data Entry'!F14</f>
        <v>0</v>
      </c>
      <c r="I15" s="109" t="str">
        <f>Asian!G14</f>
        <v>*</v>
      </c>
      <c r="J15" s="110">
        <f>'Data Entry'!J14</f>
        <v>6</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139</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Entry'!D6</f>
        <v>35</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35</v>
      </c>
      <c r="P7" s="42">
        <f t="shared" ref="P7:P15" si="2">C7</f>
        <v>25</v>
      </c>
      <c r="Q7" s="42">
        <f>C6-C7</f>
        <v>1370</v>
      </c>
      <c r="R7" s="42">
        <f t="shared" ref="R7:R15" si="3">SUM(N7:Q7)</f>
        <v>1430</v>
      </c>
      <c r="S7" s="30">
        <f t="shared" ref="S7:S15" si="4">R7*((((N7*Q7)-(O7*P7))^2))</f>
        <v>1094843750</v>
      </c>
      <c r="T7" s="30">
        <f t="shared" ref="T7:T15" si="5">(N7+O7)*(P7+Q7)*(N7+P7)*(O7+Q7)</f>
        <v>1714978125</v>
      </c>
      <c r="U7" s="31">
        <f t="shared" ref="U7:U15" si="6">IF((S7&gt;0),S7/T7,"- -")</f>
        <v>0.63840100001275524</v>
      </c>
    </row>
    <row r="8" spans="2:21" ht="18" customHeight="1">
      <c r="B8" s="32" t="str">
        <f>'Data Entry'!A8</f>
        <v>3. Refer to Juvenile Court</v>
      </c>
      <c r="C8" s="33">
        <f>'Data Entry'!C8</f>
        <v>1</v>
      </c>
      <c r="D8" s="34">
        <f>IF((AND(C67&gt;0,C8&gt;0)),(C8/C67),0)</f>
        <v>4</v>
      </c>
      <c r="E8" s="33">
        <f>'Data Entry'!D8</f>
        <v>4</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4</v>
      </c>
      <c r="O8" s="42">
        <f>((D67*L67)-E8)+0.05</f>
        <v>-3.95</v>
      </c>
      <c r="P8" s="42">
        <f t="shared" si="2"/>
        <v>1</v>
      </c>
      <c r="Q8" s="42">
        <f>(C$67*L67)-C8</f>
        <v>24</v>
      </c>
      <c r="R8" s="42">
        <f t="shared" si="3"/>
        <v>25.05</v>
      </c>
      <c r="S8" s="30">
        <f t="shared" si="4"/>
        <v>250249.56262500002</v>
      </c>
      <c r="T8" s="30">
        <f t="shared" si="5"/>
        <v>125.31249999999956</v>
      </c>
      <c r="U8" s="31">
        <f t="shared" si="6"/>
        <v>1997.0039910224511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4</v>
      </c>
      <c r="P9" s="42">
        <f t="shared" si="2"/>
        <v>0</v>
      </c>
      <c r="Q9" s="42">
        <f>(C$68*L68)-C9</f>
        <v>1</v>
      </c>
      <c r="R9" s="42">
        <f t="shared" si="3"/>
        <v>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4</v>
      </c>
      <c r="F10" s="34">
        <f>IF(((AND($E$10&gt;0,$D$68&gt;0))),($E$10/($D$68)),0)</f>
        <v>100</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4</v>
      </c>
      <c r="O10" s="42">
        <f>(D$68*L68)-E10</f>
        <v>0</v>
      </c>
      <c r="P10" s="42">
        <f t="shared" si="2"/>
        <v>0</v>
      </c>
      <c r="Q10" s="42">
        <f>(C$68*L68)-C10</f>
        <v>1</v>
      </c>
      <c r="R10" s="42">
        <f t="shared" si="3"/>
        <v>5</v>
      </c>
      <c r="S10" s="30">
        <f t="shared" si="4"/>
        <v>80</v>
      </c>
      <c r="T10" s="30">
        <f t="shared" si="5"/>
        <v>16</v>
      </c>
      <c r="U10" s="31">
        <f t="shared" si="6"/>
        <v>5</v>
      </c>
    </row>
    <row r="11" spans="2:21" ht="18" customHeight="1">
      <c r="B11" s="32" t="str">
        <f>'Data Entry'!A11</f>
        <v>6. Cases Petitioned (Charge Filed)</v>
      </c>
      <c r="C11" s="33">
        <f>'Data Entry'!C11</f>
        <v>0</v>
      </c>
      <c r="D11" s="34">
        <f>IF(((AND(C68&gt;0,C11&gt;0))),(C11/(C68)),0)</f>
        <v>0</v>
      </c>
      <c r="E11" s="33">
        <f>'Data Entry'!D11</f>
        <v>3</v>
      </c>
      <c r="F11" s="34">
        <f>IF(((AND($E$11&gt;0,$D$68&gt;0))),($E$11/($D$68)),0)</f>
        <v>75</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3</v>
      </c>
      <c r="O11" s="42">
        <f>(D$68*L68)-E11</f>
        <v>1</v>
      </c>
      <c r="P11" s="42">
        <f t="shared" si="2"/>
        <v>0</v>
      </c>
      <c r="Q11" s="42">
        <f>(C$68*L68)-C11</f>
        <v>1</v>
      </c>
      <c r="R11" s="42">
        <f t="shared" si="3"/>
        <v>5</v>
      </c>
      <c r="S11" s="30">
        <f t="shared" si="4"/>
        <v>45</v>
      </c>
      <c r="T11" s="30">
        <f t="shared" si="5"/>
        <v>24</v>
      </c>
      <c r="U11" s="31">
        <f t="shared" si="6"/>
        <v>1.875</v>
      </c>
    </row>
    <row r="12" spans="2:21" ht="18" customHeight="1">
      <c r="B12" s="32" t="str">
        <f>'Data Entry'!A12</f>
        <v>7. Cases Resulting in Delinquent Findings</v>
      </c>
      <c r="C12" s="33">
        <f>'Data Entry'!C12</f>
        <v>0</v>
      </c>
      <c r="D12" s="34">
        <f>IF(((AND(C69&gt;0,C12&gt;0))),(C12/(C69)),0)</f>
        <v>0</v>
      </c>
      <c r="E12" s="33">
        <f>'Data Entry'!D12</f>
        <v>1</v>
      </c>
      <c r="F12" s="34">
        <f>IF(((AND($D$69&gt;0,$E$12&gt;0))),(E12/(D69)),0)</f>
        <v>33.333333333333336</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1</v>
      </c>
      <c r="O12" s="42">
        <f>(D69*L69)-E12</f>
        <v>2</v>
      </c>
      <c r="P12" s="42">
        <f t="shared" si="2"/>
        <v>0</v>
      </c>
      <c r="Q12" s="42">
        <f>(C69*L69)-C12</f>
        <v>0</v>
      </c>
      <c r="R12" s="42">
        <f t="shared" si="3"/>
        <v>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0</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4</v>
      </c>
      <c r="F14" s="34">
        <f>IF(((AND($D$70&gt;0,$E$14&gt;0))), (($E$14/($D$70))),0)</f>
        <v>400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4</v>
      </c>
      <c r="O14" s="42">
        <f>(D70*L70)-E14</f>
        <v>-3</v>
      </c>
      <c r="P14" s="42">
        <f t="shared" si="2"/>
        <v>0</v>
      </c>
      <c r="Q14" s="42">
        <f>(C70*L70)-C14</f>
        <v>0</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3</v>
      </c>
      <c r="P15" s="42">
        <f t="shared" si="2"/>
        <v>0</v>
      </c>
      <c r="Q15" s="42">
        <f>(C69*L69)-C15</f>
        <v>0</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3.5000000000000003E-2</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0.04</v>
      </c>
      <c r="E44" s="56">
        <f>MAX(C44:D44,0)</f>
        <v>0.04</v>
      </c>
      <c r="G44" s="1" t="str">
        <f>B44</f>
        <v>per 100 referrals</v>
      </c>
      <c r="L44" s="57">
        <v>100</v>
      </c>
      <c r="M44" s="57"/>
      <c r="R44" s="49"/>
    </row>
    <row r="45" spans="2:18" ht="15" hidden="1" customHeight="1">
      <c r="B45" s="49" t="s">
        <v>89</v>
      </c>
      <c r="C45" s="49">
        <f>C11/100</f>
        <v>0</v>
      </c>
      <c r="D45" s="49">
        <f>E11/100</f>
        <v>0.03</v>
      </c>
      <c r="E45" s="56">
        <f>MAX(C45:D45,0)</f>
        <v>0.03</v>
      </c>
      <c r="G45" s="1" t="str">
        <f>B45</f>
        <v>per 100 youth petitioned</v>
      </c>
      <c r="L45" s="57">
        <v>100</v>
      </c>
      <c r="M45" s="57"/>
      <c r="R45" s="49"/>
    </row>
    <row r="46" spans="2:18" ht="15" hidden="1" customHeight="1">
      <c r="B46" s="49" t="s">
        <v>90</v>
      </c>
      <c r="C46" s="49">
        <f>C12/100</f>
        <v>0</v>
      </c>
      <c r="D46" s="49">
        <f>E12/100</f>
        <v>0.01</v>
      </c>
      <c r="E46" s="56">
        <f>MAX(C46:D46)</f>
        <v>0.01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3.5000000000000003E-2</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0.04</v>
      </c>
      <c r="E50" s="49">
        <f>MAX(C50:D50)</f>
        <v>0.04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v>
      </c>
      <c r="D51" s="49">
        <f>IF(($E45&gt;0),D45,D44)</f>
        <v>0.03</v>
      </c>
      <c r="E51" s="49">
        <f>MAX(C51:D51)</f>
        <v>0.03</v>
      </c>
      <c r="G51" s="1" t="str">
        <f>G45</f>
        <v>per 100 youth petitioned</v>
      </c>
      <c r="L51" s="58">
        <f>IF(($E45&gt;0),L45,L44)</f>
        <v>100</v>
      </c>
      <c r="M51" s="58"/>
    </row>
    <row r="52" spans="2:18" ht="15" hidden="1" customHeight="1">
      <c r="B52" s="49" t="str">
        <f>IF(($E46&gt;0),B46,B45)</f>
        <v>per 100 youth found delinquent</v>
      </c>
      <c r="C52" s="49">
        <f>IF(($E46&gt;0),C46,C45)</f>
        <v>0</v>
      </c>
      <c r="D52" s="49">
        <f>IF(($E46&gt;0),D46,D45)</f>
        <v>0.01</v>
      </c>
      <c r="E52" s="56">
        <f>MAX(C52:D52)</f>
        <v>0.01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3.5000000000000003E-2</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0.04</v>
      </c>
      <c r="E56" s="49">
        <f>MAX(C56:D56)</f>
        <v>0.04</v>
      </c>
      <c r="G56" s="1" t="str">
        <f>G50</f>
        <v>per 100 referrals</v>
      </c>
      <c r="L56" s="58">
        <f>IF(($E50&gt;0),L50,L49)</f>
        <v>100</v>
      </c>
      <c r="M56" s="58"/>
    </row>
    <row r="57" spans="2:18" ht="15" hidden="1" customHeight="1">
      <c r="B57" s="49" t="str">
        <f>IF(($E51&gt;0),B51,B49)</f>
        <v>per 100 youth petitioned</v>
      </c>
      <c r="C57" s="49">
        <f>IF(($E51&gt;0),C51,C50)</f>
        <v>0</v>
      </c>
      <c r="D57" s="49">
        <f>IF(($E51&gt;0),D51,D50)</f>
        <v>0.03</v>
      </c>
      <c r="E57" s="49">
        <f>MAX(C57:D57)</f>
        <v>0.03</v>
      </c>
      <c r="G57" s="1" t="str">
        <f>G51</f>
        <v>per 100 youth petitioned</v>
      </c>
      <c r="L57" s="58">
        <f>IF(($E51&gt;0),L51,L50)</f>
        <v>100</v>
      </c>
      <c r="M57" s="58"/>
    </row>
    <row r="58" spans="2:18" ht="15" hidden="1" customHeight="1">
      <c r="B58" s="49" t="str">
        <f>IF(($E52&gt;0),B52,B51)</f>
        <v>per 100 youth found delinquent</v>
      </c>
      <c r="C58" s="49">
        <f>IF(($E52&gt;0),C52,C51)</f>
        <v>0</v>
      </c>
      <c r="D58" s="49">
        <f>IF(($E52&gt;0),D52,D51)</f>
        <v>0.01</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3.5000000000000003E-2</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0.04</v>
      </c>
      <c r="E62" s="49">
        <f>MAX(C62:D62)</f>
        <v>0.04</v>
      </c>
      <c r="G62" s="1" t="str">
        <f>G56</f>
        <v>per 100 referrals</v>
      </c>
      <c r="L62" s="58">
        <f>IF(($E56&gt;0),L56,L55)</f>
        <v>100</v>
      </c>
      <c r="M62" s="58"/>
    </row>
    <row r="63" spans="2:18" ht="15" hidden="1" customHeight="1">
      <c r="B63" s="49" t="str">
        <f>IF(($E57&gt;0),B57,B55)</f>
        <v>per 100 youth petitioned</v>
      </c>
      <c r="C63" s="49">
        <f>IF(($E57&gt;0),C57,C56)</f>
        <v>0</v>
      </c>
      <c r="D63" s="49">
        <f>IF(($E57&gt;0),D57,D56)</f>
        <v>0.03</v>
      </c>
      <c r="E63" s="49">
        <f>MAX(C63:D63)</f>
        <v>0.03</v>
      </c>
      <c r="G63" s="1" t="str">
        <f>G57</f>
        <v>per 100 youth petitioned</v>
      </c>
      <c r="L63" s="58">
        <f>IF(($E57&gt;0),L57,L56)</f>
        <v>100</v>
      </c>
      <c r="M63" s="58"/>
    </row>
    <row r="64" spans="2:18" ht="15" hidden="1" customHeight="1">
      <c r="B64" s="49" t="str">
        <f>IF(($E58&gt;0),B58,B57)</f>
        <v>per 100 youth found delinquent</v>
      </c>
      <c r="C64" s="49">
        <f>IF(($E58&gt;0),C58,C57)</f>
        <v>0</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3.5000000000000003E-2</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0.04</v>
      </c>
      <c r="E68" s="49">
        <f>MAX(C68:D68)</f>
        <v>0.04</v>
      </c>
      <c r="G68" s="1" t="str">
        <f>G62</f>
        <v>per 100 referrals</v>
      </c>
      <c r="L68" s="58">
        <f>IF(($E62&gt;0),L62,L61)</f>
        <v>100</v>
      </c>
      <c r="M68" s="58">
        <f>IF((B68=G68),1,2)</f>
        <v>1</v>
      </c>
    </row>
    <row r="69" spans="2:13" ht="15" hidden="1" customHeight="1">
      <c r="B69" s="49" t="str">
        <f>IF(($E63&gt;0),B63,B61)</f>
        <v>per 100 youth petitioned</v>
      </c>
      <c r="C69" s="49">
        <f>IF(($E63&gt;0),C63,C62)</f>
        <v>0</v>
      </c>
      <c r="D69" s="49">
        <f>IF(($E63&gt;0),D63,D62)</f>
        <v>0.03</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v>
      </c>
      <c r="D70" s="49">
        <f>IF(($E64&gt;0),D64,D63)</f>
        <v>0.01</v>
      </c>
      <c r="E70" s="56">
        <f>MAX(C70:D70)</f>
        <v>0.01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Entry'!F6</f>
        <v>11</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25</v>
      </c>
      <c r="Q7" s="42">
        <f>C6-C7</f>
        <v>1370</v>
      </c>
      <c r="R7" s="42">
        <f t="shared" ref="R7:R15" si="5">SUM(N7:Q7)</f>
        <v>1406</v>
      </c>
      <c r="S7" s="30">
        <f t="shared" ref="S7:S15" si="6">R7*((((N7*Q7)-(O7*P7))^2))</f>
        <v>106328750</v>
      </c>
      <c r="T7" s="30">
        <f t="shared" ref="T7:T15" si="7">(N7+O7)*(P7+Q7)*(N7+P7)*(O7+Q7)</f>
        <v>529786125</v>
      </c>
      <c r="U7" s="31">
        <f t="shared" ref="U7:U15" si="8">IF((S7&gt;0),S7/T7,"- -")</f>
        <v>0.2007012735563809</v>
      </c>
    </row>
    <row r="8" spans="2:21" ht="18" customHeight="1">
      <c r="B8" s="32" t="str">
        <f>'Data Entry'!A8</f>
        <v>3. Refer to Juvenile Court</v>
      </c>
      <c r="C8" s="33">
        <f>'Data Entry'!C8</f>
        <v>1</v>
      </c>
      <c r="D8" s="34">
        <f>IF((AND(C67&gt;0,C8&gt;0)),(C8/C67),0)</f>
        <v>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24</v>
      </c>
      <c r="R8" s="42">
        <f t="shared" si="5"/>
        <v>25.05</v>
      </c>
      <c r="S8" s="30">
        <f t="shared" si="6"/>
        <v>6.2625000000000014E-2</v>
      </c>
      <c r="T8" s="30">
        <f t="shared" si="7"/>
        <v>30.0625</v>
      </c>
      <c r="U8" s="31">
        <f t="shared" si="8"/>
        <v>2.0831600831600836E-3</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1.0999999999999999E-2</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1.0999999999999999E-2</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1.0999999999999999E-2</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1.0999999999999999E-2</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1.0999999999999999E-2</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Entry'!E6</f>
        <v>90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90</v>
      </c>
      <c r="P7" s="42">
        <f t="shared" ref="P7:P15" si="4">C7</f>
        <v>25</v>
      </c>
      <c r="Q7" s="42">
        <f>C6-C7</f>
        <v>1370</v>
      </c>
      <c r="R7" s="42">
        <f t="shared" ref="R7:R15" si="5">SUM(N7:Q7)</f>
        <v>1485</v>
      </c>
      <c r="S7" s="30">
        <f t="shared" ref="S7:S15" si="6">R7*((((N7*Q7)-(O7*P7))^2))</f>
        <v>7517812500</v>
      </c>
      <c r="T7" s="30">
        <f t="shared" ref="T7:T15" si="7">(N7+O7)*(P7+Q7)*(N7+P7)*(O7+Q7)</f>
        <v>4582575000</v>
      </c>
      <c r="U7" s="31">
        <f t="shared" ref="U7:U15" si="8">IF((S7&gt;0),S7/T7,"- -")</f>
        <v>1.640521431727795</v>
      </c>
    </row>
    <row r="8" spans="2:21" ht="18" customHeight="1">
      <c r="B8" s="32" t="str">
        <f>'Data Entry'!A8</f>
        <v>3. Refer to Juvenile Court</v>
      </c>
      <c r="C8" s="33">
        <f>'Data Entry'!C8</f>
        <v>1</v>
      </c>
      <c r="D8" s="34">
        <f>IF((AND(C67&gt;0,C8&gt;0)),(C8/C67),0)</f>
        <v>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v>
      </c>
      <c r="Q8" s="42">
        <f>(C$67*L67)-C8</f>
        <v>24</v>
      </c>
      <c r="R8" s="42">
        <f t="shared" si="5"/>
        <v>25.05</v>
      </c>
      <c r="S8" s="30">
        <f t="shared" si="6"/>
        <v>6.2625000000000014E-2</v>
      </c>
      <c r="T8" s="30">
        <f t="shared" si="7"/>
        <v>30.0625</v>
      </c>
      <c r="U8" s="31">
        <f t="shared" si="8"/>
        <v>2.0831600831600836E-3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0.09</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0.09</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0.09</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0.09</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0.09</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1370</v>
      </c>
      <c r="R7" s="42">
        <f t="shared" ref="R7:R15" si="5">SUM(N7:Q7)</f>
        <v>1395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v>
      </c>
      <c r="D8" s="34">
        <f>IF((AND(C67&gt;0,C8&gt;0)),(C8/C67),0)</f>
        <v>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24</v>
      </c>
      <c r="R8" s="42">
        <f t="shared" si="5"/>
        <v>25.05</v>
      </c>
      <c r="S8" s="30">
        <f t="shared" si="6"/>
        <v>6.2625000000000014E-2</v>
      </c>
      <c r="T8" s="30">
        <f t="shared" si="7"/>
        <v>30.0625</v>
      </c>
      <c r="U8" s="31">
        <f t="shared" si="8"/>
        <v>2.0831600831600836E-3</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0</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0</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0</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0</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0</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Missaukee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1395</v>
      </c>
      <c r="D6" s="34"/>
      <c r="E6" s="33">
        <f>'Data Entry'!H6</f>
        <v>11</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17.921146953405017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11</v>
      </c>
      <c r="P7" s="42">
        <f t="shared" ref="P7:P15" si="4">C7</f>
        <v>25</v>
      </c>
      <c r="Q7" s="42">
        <f>C6-C7</f>
        <v>1370</v>
      </c>
      <c r="R7" s="42">
        <f t="shared" ref="R7:R15" si="5">SUM(N7:Q7)</f>
        <v>1406</v>
      </c>
      <c r="S7" s="30">
        <f t="shared" ref="S7:S15" si="6">R7*((((N7*Q7)-(O7*P7))^2))</f>
        <v>106328750</v>
      </c>
      <c r="T7" s="30">
        <f t="shared" ref="T7:T15" si="7">(N7+O7)*(P7+Q7)*(N7+P7)*(O7+Q7)</f>
        <v>529786125</v>
      </c>
      <c r="U7" s="31">
        <f t="shared" ref="U7:U15" si="8">IF((S7&gt;0),S7/T7,"- -")</f>
        <v>0.2007012735563809</v>
      </c>
    </row>
    <row r="8" spans="2:21" ht="18" customHeight="1">
      <c r="B8" s="32" t="str">
        <f>'Data Entry'!A8</f>
        <v>3. Refer to Juvenile Court</v>
      </c>
      <c r="C8" s="33">
        <f>'Data Entry'!C8</f>
        <v>1</v>
      </c>
      <c r="D8" s="34">
        <f>IF((AND(C67&gt;0,C8&gt;0)),(C8/C67),0)</f>
        <v>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v>
      </c>
      <c r="Q8" s="42">
        <f>(C$67*L67)-C8</f>
        <v>24</v>
      </c>
      <c r="R8" s="42">
        <f t="shared" si="5"/>
        <v>25.05</v>
      </c>
      <c r="S8" s="30">
        <f t="shared" si="6"/>
        <v>6.2625000000000014E-2</v>
      </c>
      <c r="T8" s="30">
        <f t="shared" si="7"/>
        <v>30.0625</v>
      </c>
      <c r="U8" s="31">
        <f t="shared" si="8"/>
        <v>2.0831600831600836E-3</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1.395</v>
      </c>
      <c r="D42" s="56">
        <f>E6/1000</f>
        <v>1.0999999999999999E-2</v>
      </c>
      <c r="E42" s="56">
        <f>MAX(C42:D42)</f>
        <v>1.395</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0.01</v>
      </c>
      <c r="D44" s="56">
        <f>E8/100</f>
        <v>0</v>
      </c>
      <c r="E44" s="56">
        <f>MAX(C44:D44,0)</f>
        <v>0.01</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1.395</v>
      </c>
      <c r="D48" s="56">
        <f>D42</f>
        <v>1.0999999999999999E-2</v>
      </c>
      <c r="E48" s="56">
        <f>MAX(C48:D48)</f>
        <v>1.395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0.01</v>
      </c>
      <c r="D51" s="49">
        <f>IF(($E45&gt;0),D45,D44)</f>
        <v>0</v>
      </c>
      <c r="E51" s="49">
        <f>MAX(C51:D51)</f>
        <v>0.01</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1.395</v>
      </c>
      <c r="D54" s="56">
        <f>D48</f>
        <v>1.0999999999999999E-2</v>
      </c>
      <c r="E54" s="56">
        <f>MAX(C54:D54)</f>
        <v>1.395</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0.01</v>
      </c>
      <c r="D58" s="49">
        <f>IF(($E52&gt;0),D52,D51)</f>
        <v>0</v>
      </c>
      <c r="E58" s="56">
        <f>MAX(C58:D58)</f>
        <v>0.01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1.395</v>
      </c>
      <c r="D60" s="56">
        <f>D54</f>
        <v>1.0999999999999999E-2</v>
      </c>
      <c r="E60" s="56">
        <f>MAX(C60:D60)</f>
        <v>1.395</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1.395</v>
      </c>
      <c r="D66" s="56">
        <f>D60</f>
        <v>1.0999999999999999E-2</v>
      </c>
      <c r="E66" s="56">
        <f>MAX(C66:D66)</f>
        <v>1.395</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0.01</v>
      </c>
      <c r="D68" s="49">
        <f t="shared" si="12"/>
        <v>0</v>
      </c>
      <c r="E68" s="49">
        <f>MAX(C68:D68)</f>
        <v>0.01</v>
      </c>
      <c r="G68" s="1" t="str">
        <f>G62</f>
        <v>per 100 referrals</v>
      </c>
      <c r="L68" s="58">
        <f>IF(($E62&gt;0),L62,L61)</f>
        <v>100</v>
      </c>
      <c r="M68" s="58">
        <f>IF((B68=G68),1,2)</f>
        <v>1</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U47JMPN4QEAR-1806752177-30486</_dlc_DocId>
    <_dlc_DocIdUrl xmlns="ac3811b5-0f3e-49e2-ba69-f2ffa0c782af">
      <Url>https://michiganphi.sharepoint.com/sites/CMDMC/_layouts/15/DocIdRedir.aspx?ID=U47JMPN4QEAR-1806752177-30486</Url>
      <Description>U47JMPN4QEAR-1806752177-30486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51049FF-F983-462E-A803-A0FBEF0BECAA}">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582A9287-550F-4F78-AF7D-AEB4D98ABB57}"/>
</file>

<file path=customXml/itemProps3.xml><?xml version="1.0" encoding="utf-8"?>
<ds:datastoreItem xmlns:ds="http://schemas.openxmlformats.org/officeDocument/2006/customXml" ds:itemID="{E1096360-CFEB-4905-B98C-A185C5A00F42}">
  <ds:schemaRefs>
    <ds:schemaRef ds:uri="http://schemas.microsoft.com/sharepoint/v3/contenttype/forms"/>
  </ds:schemaRefs>
</ds:datastoreItem>
</file>

<file path=customXml/itemProps4.xml><?xml version="1.0" encoding="utf-8"?>
<ds:datastoreItem xmlns:ds="http://schemas.openxmlformats.org/officeDocument/2006/customXml" ds:itemID="{81DFFE55-C3B8-4385-B01B-810732F1ED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6dce7f5f-14ea-413f-98ed-c295adb9a491</vt:lpwstr>
  </property>
</Properties>
</file>