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9260" yWindow="-75" windowWidth="15480" windowHeight="10485" activeTab="1"/>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45621"/>
</workbook>
</file>

<file path=xl/calcChain.xml><?xml version="1.0" encoding="utf-8"?>
<calcChain xmlns="http://schemas.openxmlformats.org/spreadsheetml/2006/main">
  <c r="B4" i="16" l="1"/>
  <c r="B7" i="16" l="1"/>
  <c r="B6" i="17"/>
  <c r="H7" i="16" l="1"/>
  <c r="F7" i="16"/>
  <c r="D7" i="16"/>
  <c r="C7" i="16"/>
  <c r="N7" i="13"/>
  <c r="L7" i="13"/>
  <c r="J7" i="13"/>
  <c r="H7" i="13"/>
  <c r="F7" i="13"/>
  <c r="D7" i="13"/>
  <c r="C7" i="13"/>
  <c r="B7" i="13"/>
  <c r="A5" i="17" l="1"/>
  <c r="A6" i="17" s="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5" i="16"/>
  <c r="F5" i="16"/>
  <c r="H4" i="16"/>
  <c r="H3" i="16"/>
  <c r="B3" i="16"/>
  <c r="B26" i="13" l="1"/>
  <c r="E26" i="13"/>
  <c r="B27" i="13"/>
  <c r="E27" i="13"/>
  <c r="B28" i="13"/>
  <c r="E28" i="13"/>
  <c r="B29" i="13"/>
  <c r="E29" i="13"/>
  <c r="B30" i="13"/>
  <c r="E30" i="13"/>
  <c r="B25" i="13"/>
  <c r="H5" i="13" l="1"/>
  <c r="L5" i="13"/>
  <c r="N5" i="13"/>
  <c r="P5" i="13"/>
  <c r="F5" i="13" l="1"/>
  <c r="B4" i="13"/>
  <c r="N4" i="13"/>
  <c r="B3" i="13"/>
  <c r="N3" i="13"/>
  <c r="F10" i="13" l="1"/>
  <c r="F1" i="2" l="1"/>
  <c r="C6" i="9" s="1"/>
  <c r="B2" i="2"/>
  <c r="B3" i="2"/>
  <c r="B6" i="2"/>
  <c r="B7" i="2"/>
  <c r="D7" i="11"/>
  <c r="B8" i="2"/>
  <c r="B9" i="2"/>
  <c r="B10" i="2"/>
  <c r="B11" i="2"/>
  <c r="B12" i="2"/>
  <c r="B13" i="2"/>
  <c r="B14" i="2"/>
  <c r="B15" i="2"/>
  <c r="B48" i="2"/>
  <c r="B54" i="2"/>
  <c r="B60" i="2"/>
  <c r="B66" i="2"/>
  <c r="F27" i="2"/>
  <c r="J27" i="2"/>
  <c r="G42" i="2"/>
  <c r="G48" i="2"/>
  <c r="G54" i="2"/>
  <c r="G60" i="2"/>
  <c r="G66" i="2"/>
  <c r="G43" i="2"/>
  <c r="G44" i="2"/>
  <c r="G50" i="2"/>
  <c r="G45" i="2"/>
  <c r="G46" i="2"/>
  <c r="G52" i="2"/>
  <c r="G58" i="2"/>
  <c r="G64" i="2"/>
  <c r="G70" i="2"/>
  <c r="L48" i="2"/>
  <c r="L54" i="2"/>
  <c r="L60" i="2"/>
  <c r="G49" i="2"/>
  <c r="G51" i="2"/>
  <c r="G57" i="2"/>
  <c r="G63" i="2"/>
  <c r="G69" i="2"/>
  <c r="G55" i="2"/>
  <c r="G56" i="2"/>
  <c r="G61" i="2"/>
  <c r="G67" i="2"/>
  <c r="G62" i="2"/>
  <c r="G68" i="2"/>
  <c r="L66" i="2"/>
  <c r="F1" i="3"/>
  <c r="B2" i="3"/>
  <c r="B3" i="3"/>
  <c r="B6" i="3"/>
  <c r="B7" i="3"/>
  <c r="B8" i="3"/>
  <c r="B9" i="3"/>
  <c r="B10" i="3"/>
  <c r="B11" i="3"/>
  <c r="B12" i="3"/>
  <c r="B13" i="3"/>
  <c r="B14" i="3"/>
  <c r="B15" i="3"/>
  <c r="B48" i="3"/>
  <c r="B54" i="3"/>
  <c r="B60" i="3"/>
  <c r="B66" i="3"/>
  <c r="J27" i="3"/>
  <c r="G42" i="3"/>
  <c r="G43" i="3"/>
  <c r="G49" i="3"/>
  <c r="G55" i="3"/>
  <c r="G61" i="3"/>
  <c r="G67" i="3"/>
  <c r="G44" i="3"/>
  <c r="G50" i="3"/>
  <c r="G56" i="3"/>
  <c r="G62" i="3"/>
  <c r="G68" i="3"/>
  <c r="G45" i="3"/>
  <c r="G46" i="3"/>
  <c r="G48" i="3"/>
  <c r="G54" i="3"/>
  <c r="G60" i="3"/>
  <c r="G66" i="3"/>
  <c r="L48" i="3"/>
  <c r="G51" i="3"/>
  <c r="G57" i="3"/>
  <c r="G63" i="3"/>
  <c r="G52" i="3"/>
  <c r="G58" i="3"/>
  <c r="G64" i="3"/>
  <c r="G70" i="3"/>
  <c r="L54" i="3"/>
  <c r="L60" i="3"/>
  <c r="L66" i="3"/>
  <c r="G69" i="3"/>
  <c r="F1" i="4"/>
  <c r="B2" i="4"/>
  <c r="B3" i="4"/>
  <c r="B6" i="4"/>
  <c r="B7" i="4"/>
  <c r="B8" i="4"/>
  <c r="B9" i="4"/>
  <c r="E9" i="4"/>
  <c r="N9" i="4" s="1"/>
  <c r="B10" i="4"/>
  <c r="B11" i="4"/>
  <c r="B12" i="4"/>
  <c r="B13" i="4"/>
  <c r="B14" i="4"/>
  <c r="B15" i="4"/>
  <c r="B48" i="4"/>
  <c r="B54" i="4"/>
  <c r="B60" i="4"/>
  <c r="B66" i="4"/>
  <c r="J27" i="4"/>
  <c r="G42" i="4"/>
  <c r="G48" i="4"/>
  <c r="G54" i="4"/>
  <c r="G60" i="4"/>
  <c r="G43" i="4"/>
  <c r="G49" i="4"/>
  <c r="G55" i="4"/>
  <c r="G61" i="4"/>
  <c r="G67" i="4"/>
  <c r="G44" i="4"/>
  <c r="G45" i="4"/>
  <c r="G51" i="4"/>
  <c r="G46" i="4"/>
  <c r="L48" i="4"/>
  <c r="L54" i="4"/>
  <c r="G50" i="4"/>
  <c r="G52" i="4"/>
  <c r="G58" i="4"/>
  <c r="G64" i="4"/>
  <c r="G70" i="4"/>
  <c r="G56" i="4"/>
  <c r="G62" i="4"/>
  <c r="G68" i="4"/>
  <c r="G57" i="4"/>
  <c r="G63" i="4"/>
  <c r="L60" i="4"/>
  <c r="L66" i="4"/>
  <c r="G66" i="4"/>
  <c r="G69" i="4"/>
  <c r="F1" i="5"/>
  <c r="J5" i="13" s="1"/>
  <c r="B2" i="5"/>
  <c r="B3" i="5"/>
  <c r="B6" i="5"/>
  <c r="B7" i="5"/>
  <c r="B8" i="5"/>
  <c r="B9" i="5"/>
  <c r="B10" i="5"/>
  <c r="B11" i="5"/>
  <c r="B12" i="5"/>
  <c r="B13" i="5"/>
  <c r="B14" i="5"/>
  <c r="B15" i="5"/>
  <c r="B48" i="5"/>
  <c r="B54" i="5"/>
  <c r="B60" i="5"/>
  <c r="B66" i="5"/>
  <c r="J27" i="5"/>
  <c r="G42" i="5"/>
  <c r="G43" i="5"/>
  <c r="G49" i="5"/>
  <c r="G55" i="5"/>
  <c r="G61" i="5"/>
  <c r="G67" i="5"/>
  <c r="G44" i="5"/>
  <c r="G50" i="5"/>
  <c r="G56" i="5"/>
  <c r="G62" i="5"/>
  <c r="G45" i="5"/>
  <c r="G46" i="5"/>
  <c r="G48" i="5"/>
  <c r="G54" i="5"/>
  <c r="G60" i="5"/>
  <c r="G66" i="5"/>
  <c r="L48" i="5"/>
  <c r="G51" i="5"/>
  <c r="G57" i="5"/>
  <c r="G63" i="5"/>
  <c r="G69" i="5"/>
  <c r="G52" i="5"/>
  <c r="L54" i="5"/>
  <c r="L60" i="5"/>
  <c r="L66" i="5"/>
  <c r="G58" i="5"/>
  <c r="G64" i="5"/>
  <c r="G70" i="5"/>
  <c r="G68" i="5"/>
  <c r="F1" i="6"/>
  <c r="B2" i="6"/>
  <c r="B3" i="6"/>
  <c r="B6" i="6"/>
  <c r="B7" i="6"/>
  <c r="B8" i="6"/>
  <c r="B9" i="6"/>
  <c r="B10" i="6"/>
  <c r="B11" i="6"/>
  <c r="B12" i="6"/>
  <c r="B13" i="6"/>
  <c r="B14" i="6"/>
  <c r="B15" i="6"/>
  <c r="B48" i="6"/>
  <c r="B54" i="6"/>
  <c r="B60" i="6"/>
  <c r="B66" i="6"/>
  <c r="J27" i="6"/>
  <c r="G42" i="6"/>
  <c r="G48" i="6"/>
  <c r="G54" i="6"/>
  <c r="G60" i="6"/>
  <c r="G66" i="6"/>
  <c r="G43" i="6"/>
  <c r="G49" i="6"/>
  <c r="G55" i="6"/>
  <c r="G61" i="6"/>
  <c r="G67" i="6"/>
  <c r="G44" i="6"/>
  <c r="G45" i="6"/>
  <c r="G51" i="6"/>
  <c r="G46" i="6"/>
  <c r="G52" i="6"/>
  <c r="G58" i="6"/>
  <c r="G64" i="6"/>
  <c r="G70" i="6"/>
  <c r="L48" i="6"/>
  <c r="L54" i="6"/>
  <c r="L60" i="6"/>
  <c r="L66" i="6"/>
  <c r="G50" i="6"/>
  <c r="G56" i="6"/>
  <c r="G62" i="6"/>
  <c r="G68" i="6"/>
  <c r="G57" i="6"/>
  <c r="G63" i="6"/>
  <c r="G69" i="6"/>
  <c r="F1" i="7"/>
  <c r="B2" i="7"/>
  <c r="B3" i="7"/>
  <c r="B6" i="7"/>
  <c r="B7" i="7"/>
  <c r="B8" i="7"/>
  <c r="B9" i="7"/>
  <c r="B10" i="7"/>
  <c r="B11" i="7"/>
  <c r="B12" i="7"/>
  <c r="B13" i="7"/>
  <c r="B14" i="7"/>
  <c r="B15" i="7"/>
  <c r="B48" i="7"/>
  <c r="B54" i="7"/>
  <c r="B60" i="7"/>
  <c r="B66" i="7"/>
  <c r="J27" i="7"/>
  <c r="G42" i="7"/>
  <c r="G43" i="7"/>
  <c r="G49" i="7"/>
  <c r="G44" i="7"/>
  <c r="G45" i="7"/>
  <c r="G51" i="7"/>
  <c r="G57" i="7"/>
  <c r="G63" i="7"/>
  <c r="G69" i="7"/>
  <c r="G46" i="7"/>
  <c r="G48" i="7"/>
  <c r="G54" i="7"/>
  <c r="G60" i="7"/>
  <c r="G66" i="7"/>
  <c r="L48" i="7"/>
  <c r="G50" i="7"/>
  <c r="G56" i="7"/>
  <c r="G62" i="7"/>
  <c r="G68" i="7"/>
  <c r="G52" i="7"/>
  <c r="G58" i="7"/>
  <c r="G64" i="7"/>
  <c r="G70" i="7"/>
  <c r="L54" i="7"/>
  <c r="L60" i="7"/>
  <c r="L66" i="7"/>
  <c r="G55" i="7"/>
  <c r="G61" i="7"/>
  <c r="G67" i="7"/>
  <c r="F1" i="8"/>
  <c r="B2" i="8"/>
  <c r="B3" i="8"/>
  <c r="B6" i="8"/>
  <c r="B7" i="8"/>
  <c r="B8" i="8"/>
  <c r="B9" i="8"/>
  <c r="B10" i="8"/>
  <c r="B11" i="8"/>
  <c r="B12" i="8"/>
  <c r="B13" i="8"/>
  <c r="B14" i="8"/>
  <c r="B15" i="8"/>
  <c r="B48" i="8"/>
  <c r="B54" i="8"/>
  <c r="B60" i="8"/>
  <c r="B66" i="8"/>
  <c r="J27" i="8"/>
  <c r="G42" i="8"/>
  <c r="G43" i="8"/>
  <c r="G44" i="8"/>
  <c r="G45" i="8"/>
  <c r="G46" i="8"/>
  <c r="G52" i="8"/>
  <c r="G48" i="8"/>
  <c r="G54" i="8"/>
  <c r="G60" i="8"/>
  <c r="G66" i="8"/>
  <c r="L48" i="8"/>
  <c r="G49" i="8"/>
  <c r="G55" i="8"/>
  <c r="G50" i="8"/>
  <c r="G51" i="8"/>
  <c r="G57" i="8"/>
  <c r="G63" i="8"/>
  <c r="G69" i="8"/>
  <c r="L54" i="8"/>
  <c r="L60" i="8"/>
  <c r="L66" i="8"/>
  <c r="G56" i="8"/>
  <c r="G62" i="8"/>
  <c r="G58" i="8"/>
  <c r="G64" i="8"/>
  <c r="G70" i="8"/>
  <c r="G61" i="8"/>
  <c r="G67" i="8"/>
  <c r="G68" i="8"/>
  <c r="E3" i="9"/>
  <c r="B4" i="9"/>
  <c r="E4" i="9"/>
  <c r="B5" i="9"/>
  <c r="D6" i="9"/>
  <c r="E6" i="9"/>
  <c r="G6" i="9"/>
  <c r="H6" i="9"/>
  <c r="I6" i="9"/>
  <c r="B18" i="9"/>
  <c r="E2" i="10"/>
  <c r="D18" i="10" s="1"/>
  <c r="F2" i="10"/>
  <c r="G2" i="10"/>
  <c r="H2" i="10"/>
  <c r="G18" i="10" s="1"/>
  <c r="I2" i="10"/>
  <c r="H18" i="10" s="1"/>
  <c r="J2" i="10"/>
  <c r="B3" i="10"/>
  <c r="F15" i="10"/>
  <c r="B16" i="10"/>
  <c r="F16" i="10"/>
  <c r="B17" i="10"/>
  <c r="C18" i="10"/>
  <c r="E18" i="10"/>
  <c r="F18" i="10"/>
  <c r="I18" i="10"/>
  <c r="J18" i="10"/>
  <c r="B30" i="10"/>
  <c r="A15" i="11"/>
  <c r="M66" i="8"/>
  <c r="F27" i="8"/>
  <c r="F27" i="7"/>
  <c r="M66" i="7"/>
  <c r="F27" i="4"/>
  <c r="M66" i="4"/>
  <c r="F27" i="6"/>
  <c r="M66" i="6"/>
  <c r="M66" i="5"/>
  <c r="F27" i="5"/>
  <c r="F27" i="3"/>
  <c r="M66" i="3"/>
  <c r="M66" i="2"/>
  <c r="F6" i="9" l="1"/>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B12" i="1"/>
  <c r="N11" i="6"/>
  <c r="J3" i="10"/>
  <c r="E6" i="7"/>
  <c r="N11" i="3"/>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B13" i="1"/>
  <c r="E14" i="2"/>
  <c r="N14" i="2" s="1"/>
  <c r="E6" i="6"/>
  <c r="I3" i="10"/>
  <c r="E8" i="2"/>
  <c r="N9" i="3"/>
  <c r="C14" i="2"/>
  <c r="P14" i="2" s="1"/>
  <c r="C14" i="5"/>
  <c r="P14" i="5" s="1"/>
  <c r="C14" i="7"/>
  <c r="P14" i="7" s="1"/>
  <c r="C14" i="6"/>
  <c r="P14" i="6" s="1"/>
  <c r="C14" i="3"/>
  <c r="P14" i="3" s="1"/>
  <c r="C14" i="4"/>
  <c r="P14" i="4" s="1"/>
  <c r="C14" i="8"/>
  <c r="P14" i="8" s="1"/>
  <c r="D12" i="13"/>
  <c r="D46" i="7"/>
  <c r="N12" i="6"/>
  <c r="H3" i="10"/>
  <c r="E6" i="5"/>
  <c r="C7" i="3"/>
  <c r="C7" i="5"/>
  <c r="C7" i="2"/>
  <c r="C7" i="4"/>
  <c r="C7" i="7"/>
  <c r="C7" i="8"/>
  <c r="C7" i="6"/>
  <c r="N7" i="3"/>
  <c r="C10" i="3"/>
  <c r="P10" i="3" s="1"/>
  <c r="C10" i="4"/>
  <c r="P10" i="4" s="1"/>
  <c r="C10" i="8"/>
  <c r="P10" i="8" s="1"/>
  <c r="C10" i="5"/>
  <c r="P10" i="5" s="1"/>
  <c r="C10" i="2"/>
  <c r="P10" i="2" s="1"/>
  <c r="C10" i="7"/>
  <c r="P10" i="7" s="1"/>
  <c r="C10" i="6"/>
  <c r="P10" i="6" s="1"/>
  <c r="G3" i="10"/>
  <c r="E6" i="3"/>
  <c r="N8" i="5"/>
  <c r="C13" i="2"/>
  <c r="P13" i="2" s="1"/>
  <c r="C13" i="6"/>
  <c r="P13" i="6" s="1"/>
  <c r="C13" i="3"/>
  <c r="P13" i="3" s="1"/>
  <c r="C13" i="5"/>
  <c r="P13" i="5" s="1"/>
  <c r="C13" i="4"/>
  <c r="P13" i="4" s="1"/>
  <c r="C13" i="7"/>
  <c r="P13" i="7" s="1"/>
  <c r="C13" i="8"/>
  <c r="P13" i="8" s="1"/>
  <c r="N9" i="5"/>
  <c r="E10" i="2"/>
  <c r="J12" i="1"/>
  <c r="J13" i="16" s="1"/>
  <c r="E12" i="2"/>
  <c r="D43" i="7"/>
  <c r="J6" i="1"/>
  <c r="E6" i="2"/>
  <c r="D42" i="2" s="1"/>
  <c r="D48" i="2" s="1"/>
  <c r="D54" i="2" s="1"/>
  <c r="D60" i="2" s="1"/>
  <c r="D66" i="2" s="1"/>
  <c r="E3" i="10"/>
  <c r="F3" i="10"/>
  <c r="E6" i="4"/>
  <c r="J9" i="1"/>
  <c r="J10" i="16" s="1"/>
  <c r="E9" i="2"/>
  <c r="B9" i="1"/>
  <c r="C6" i="6"/>
  <c r="C6" i="7"/>
  <c r="D3" i="10"/>
  <c r="C6" i="3"/>
  <c r="C6" i="4"/>
  <c r="C6" i="5"/>
  <c r="C6" i="2"/>
  <c r="C6" i="8"/>
  <c r="C42" i="8" s="1"/>
  <c r="E7" i="2"/>
  <c r="D43" i="6"/>
  <c r="D44" i="6"/>
  <c r="N12" i="5"/>
  <c r="D16" i="13"/>
  <c r="C15" i="2"/>
  <c r="P15" i="2" s="1"/>
  <c r="C15" i="3"/>
  <c r="P15" i="3" s="1"/>
  <c r="C15" i="4"/>
  <c r="P15" i="4" s="1"/>
  <c r="C15" i="6"/>
  <c r="P15" i="6" s="1"/>
  <c r="C15" i="5"/>
  <c r="P15" i="5" s="1"/>
  <c r="C15" i="7"/>
  <c r="P15" i="7" s="1"/>
  <c r="C15" i="8"/>
  <c r="P15" i="8" s="1"/>
  <c r="N11" i="5"/>
  <c r="J7" i="16" l="1"/>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N9" i="13"/>
  <c r="E7" i="5"/>
  <c r="N7" i="5" s="1"/>
  <c r="J8" i="13"/>
  <c r="E9" i="8"/>
  <c r="N9" i="8" s="1"/>
  <c r="P10" i="13"/>
  <c r="E12" i="8"/>
  <c r="P13" i="13"/>
  <c r="B7" i="1"/>
  <c r="E10" i="3"/>
  <c r="N10" i="3" s="1"/>
  <c r="H11" i="13"/>
  <c r="E13" i="8"/>
  <c r="N13" i="8" s="1"/>
  <c r="P14" i="13"/>
  <c r="B15" i="1"/>
  <c r="E14" i="3"/>
  <c r="N14" i="3" s="1"/>
  <c r="H15" i="13"/>
  <c r="E8" i="4"/>
  <c r="F9" i="13"/>
  <c r="B8" i="1"/>
  <c r="L6" i="2"/>
  <c r="J14" i="1"/>
  <c r="J15" i="16" s="1"/>
  <c r="B11" i="1"/>
  <c r="B14" i="1"/>
  <c r="B10" i="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E43" i="7"/>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N8" i="4"/>
  <c r="D44" i="4"/>
  <c r="O7" i="2"/>
  <c r="D43" i="2"/>
  <c r="N7" i="2"/>
  <c r="F7" i="2"/>
  <c r="C42" i="5"/>
  <c r="Q7" i="5"/>
  <c r="Q7" i="3"/>
  <c r="C42" i="3"/>
  <c r="O7" i="4"/>
  <c r="D42" i="4"/>
  <c r="D48" i="4" s="1"/>
  <c r="D54" i="4" s="1"/>
  <c r="D60" i="4" s="1"/>
  <c r="D66" i="4" s="1"/>
  <c r="F7" i="4" s="1"/>
  <c r="N12" i="8"/>
  <c r="D46" i="8"/>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O7" i="5"/>
  <c r="D42" i="5"/>
  <c r="D48" i="5" s="1"/>
  <c r="D54" i="5" s="1"/>
  <c r="D60" i="5" s="1"/>
  <c r="D66" i="5" s="1"/>
  <c r="J8" i="1"/>
  <c r="J9" i="16" s="1"/>
  <c r="O7" i="6"/>
  <c r="D42" i="6"/>
  <c r="D48" i="6" s="1"/>
  <c r="D54" i="6" s="1"/>
  <c r="D60" i="6" s="1"/>
  <c r="D66" i="6" s="1"/>
  <c r="F7" i="6" s="1"/>
  <c r="P12" i="4"/>
  <c r="C46" i="4"/>
  <c r="E46" i="4" s="1"/>
  <c r="P8" i="4"/>
  <c r="C44" i="4"/>
  <c r="C44" i="3"/>
  <c r="E44" i="3" s="1"/>
  <c r="P8" i="3"/>
  <c r="I16" i="1"/>
  <c r="O17" i="13" s="1"/>
  <c r="D43" i="5"/>
  <c r="C46" i="2"/>
  <c r="P12" i="2"/>
  <c r="N8" i="7"/>
  <c r="D44" i="7"/>
  <c r="P7" i="3"/>
  <c r="C43" i="3"/>
  <c r="E43" i="3" s="1"/>
  <c r="O25" i="6"/>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H14" i="17" l="1"/>
  <c r="H9" i="17"/>
  <c r="G16" i="9"/>
  <c r="H28" i="10" s="1"/>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H7" i="17" s="1"/>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D52" i="8" s="1"/>
  <c r="E26" i="10"/>
  <c r="E43" i="5"/>
  <c r="D49" i="5" s="1"/>
  <c r="D24" i="10"/>
  <c r="L50" i="3"/>
  <c r="C50" i="3"/>
  <c r="B50" i="3"/>
  <c r="D50" i="3"/>
  <c r="P11" i="7"/>
  <c r="C45" i="7"/>
  <c r="E45" i="7" s="1"/>
  <c r="L52" i="3"/>
  <c r="B52" i="3"/>
  <c r="D52" i="3"/>
  <c r="L52" i="7"/>
  <c r="C52" i="7"/>
  <c r="B52" i="7"/>
  <c r="D52" i="7"/>
  <c r="C45" i="6"/>
  <c r="E45" i="6" s="1"/>
  <c r="P11" i="6"/>
  <c r="P11" i="8"/>
  <c r="C45" i="8"/>
  <c r="L52" i="5"/>
  <c r="B52" i="5"/>
  <c r="D52" i="5"/>
  <c r="C48" i="6"/>
  <c r="E42" i="6"/>
  <c r="R7" i="6"/>
  <c r="S7" i="6" s="1"/>
  <c r="U7" i="6" s="1"/>
  <c r="J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G7" i="6"/>
  <c r="G14" i="6"/>
  <c r="G8" i="6"/>
  <c r="G13" i="6"/>
  <c r="G10" i="6"/>
  <c r="G12" i="6"/>
  <c r="G9" i="6"/>
  <c r="G11" i="6"/>
  <c r="G15" i="6"/>
  <c r="K7" i="6"/>
  <c r="K7" i="3"/>
  <c r="R7" i="5"/>
  <c r="S7" i="5" s="1"/>
  <c r="K7" i="5"/>
  <c r="T7" i="5"/>
  <c r="T7" i="4"/>
  <c r="D22" i="10"/>
  <c r="I27" i="10"/>
  <c r="F27" i="10"/>
  <c r="C27" i="10"/>
  <c r="H27" i="10"/>
  <c r="E27" i="10"/>
  <c r="H24" i="10"/>
  <c r="I24" i="10"/>
  <c r="C24" i="10"/>
  <c r="G24" i="10"/>
  <c r="G25" i="10"/>
  <c r="K7" i="7"/>
  <c r="E42" i="3"/>
  <c r="C48" i="3"/>
  <c r="I20" i="10"/>
  <c r="B52" i="6"/>
  <c r="D52" i="6"/>
  <c r="L52" i="6"/>
  <c r="C52" i="6"/>
  <c r="N11" i="8"/>
  <c r="F24" i="10"/>
  <c r="F22" i="10"/>
  <c r="C45" i="5"/>
  <c r="E45" i="5" s="1"/>
  <c r="P11" i="5"/>
  <c r="C48" i="2"/>
  <c r="E42" i="2"/>
  <c r="L49" i="5"/>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C52" i="4"/>
  <c r="L49" i="6"/>
  <c r="C49" i="6"/>
  <c r="D49" i="6"/>
  <c r="B49" i="6"/>
  <c r="D23" i="10"/>
  <c r="C48" i="7"/>
  <c r="E42" i="7"/>
  <c r="C54" i="8"/>
  <c r="E48" i="8"/>
  <c r="H26" i="10"/>
  <c r="D26" i="10"/>
  <c r="I26" i="10"/>
  <c r="C26" i="10"/>
  <c r="E20" i="10"/>
  <c r="C20" i="10"/>
  <c r="G20" i="10"/>
  <c r="H20" i="10"/>
  <c r="D20" i="10"/>
  <c r="O7" i="8"/>
  <c r="D43" i="8"/>
  <c r="E43" i="8" s="1"/>
  <c r="N7" i="8"/>
  <c r="G23" i="10"/>
  <c r="G19" i="10"/>
  <c r="E44" i="7"/>
  <c r="H23" i="10"/>
  <c r="E22" i="10"/>
  <c r="E25" i="10"/>
  <c r="F20" i="10"/>
  <c r="B49" i="2" l="1"/>
  <c r="E45" i="2"/>
  <c r="B52" i="8"/>
  <c r="H13" i="17"/>
  <c r="H8" i="17"/>
  <c r="H10" i="17"/>
  <c r="H11" i="17"/>
  <c r="C50" i="4"/>
  <c r="L50" i="4"/>
  <c r="D44" i="8"/>
  <c r="E44" i="8" s="1"/>
  <c r="H12" i="17"/>
  <c r="L49" i="2"/>
  <c r="D49" i="2"/>
  <c r="E49" i="2" s="1"/>
  <c r="U7" i="5"/>
  <c r="J7" i="5" s="1"/>
  <c r="L7" i="5" s="1"/>
  <c r="Q8" i="16" s="1"/>
  <c r="U7" i="7"/>
  <c r="J7" i="7" s="1"/>
  <c r="M7" i="7" s="1"/>
  <c r="B50" i="4"/>
  <c r="U7" i="4"/>
  <c r="J7" i="4" s="1"/>
  <c r="M7" i="4" s="1"/>
  <c r="U7" i="3"/>
  <c r="J7" i="3" s="1"/>
  <c r="M7" i="3" s="1"/>
  <c r="C52" i="3"/>
  <c r="E52" i="3" s="1"/>
  <c r="C52" i="5"/>
  <c r="B49" i="5"/>
  <c r="C49" i="5"/>
  <c r="E49" i="5" s="1"/>
  <c r="E49" i="4"/>
  <c r="C55" i="4" s="1"/>
  <c r="F9" i="9"/>
  <c r="K10" i="13"/>
  <c r="G8" i="9"/>
  <c r="M9" i="13"/>
  <c r="F10" i="9"/>
  <c r="K11" i="13"/>
  <c r="F14" i="9"/>
  <c r="K15" i="13"/>
  <c r="U7" i="2"/>
  <c r="J7" i="2" s="1"/>
  <c r="M7" i="2" s="1"/>
  <c r="G15" i="9"/>
  <c r="M16" i="13"/>
  <c r="G10" i="9"/>
  <c r="M11" i="13"/>
  <c r="G7" i="9"/>
  <c r="M8" i="13"/>
  <c r="H14" i="9"/>
  <c r="O15" i="13"/>
  <c r="H8" i="9"/>
  <c r="O9" i="13"/>
  <c r="H9" i="9"/>
  <c r="O10" i="13"/>
  <c r="C52" i="8"/>
  <c r="E52" i="8" s="1"/>
  <c r="F15" i="9"/>
  <c r="K16" i="13"/>
  <c r="F12" i="9"/>
  <c r="K13" i="13"/>
  <c r="F8" i="9"/>
  <c r="K9" i="13"/>
  <c r="G11" i="9"/>
  <c r="M12" i="13"/>
  <c r="G13" i="9"/>
  <c r="M14" i="13"/>
  <c r="H7" i="9"/>
  <c r="O8" i="13"/>
  <c r="H12" i="9"/>
  <c r="O13" i="13"/>
  <c r="L52" i="8"/>
  <c r="H15" i="9"/>
  <c r="O16" i="13"/>
  <c r="F7" i="9"/>
  <c r="K8" i="13"/>
  <c r="G9" i="9"/>
  <c r="M10" i="13"/>
  <c r="H13" i="9"/>
  <c r="O14" i="13"/>
  <c r="E52" i="4"/>
  <c r="E49" i="3"/>
  <c r="D55" i="3" s="1"/>
  <c r="F13" i="9"/>
  <c r="K14" i="13"/>
  <c r="F11" i="9"/>
  <c r="K12" i="13"/>
  <c r="G12" i="9"/>
  <c r="M13" i="13"/>
  <c r="G14" i="9"/>
  <c r="M15" i="13"/>
  <c r="H10" i="9"/>
  <c r="O11" i="13"/>
  <c r="H11" i="9"/>
  <c r="O12" i="13"/>
  <c r="E50" i="5"/>
  <c r="L56" i="5" s="1"/>
  <c r="E50" i="4"/>
  <c r="C56" i="4" s="1"/>
  <c r="E45" i="8"/>
  <c r="D51" i="8" s="1"/>
  <c r="E50" i="3"/>
  <c r="C56" i="3" s="1"/>
  <c r="B52" i="2"/>
  <c r="D52" i="2"/>
  <c r="C52" i="2"/>
  <c r="L52" i="2"/>
  <c r="L51" i="2"/>
  <c r="D51" i="2"/>
  <c r="C51" i="2"/>
  <c r="B51" i="2"/>
  <c r="E48" i="4"/>
  <c r="C54" i="4"/>
  <c r="C54" i="2"/>
  <c r="E48" i="2"/>
  <c r="C54" i="3"/>
  <c r="E48" i="3"/>
  <c r="L51" i="4"/>
  <c r="D51" i="4"/>
  <c r="C51" i="4"/>
  <c r="B51" i="4"/>
  <c r="C51" i="7"/>
  <c r="B51" i="7"/>
  <c r="L51" i="7"/>
  <c r="D51" i="7"/>
  <c r="L50" i="7"/>
  <c r="B50" i="7"/>
  <c r="D50" i="7"/>
  <c r="C50" i="7"/>
  <c r="C60" i="8"/>
  <c r="E54" i="8"/>
  <c r="B49" i="8"/>
  <c r="D49" i="8"/>
  <c r="L49" i="8"/>
  <c r="C49" i="8"/>
  <c r="L51" i="5"/>
  <c r="B51" i="5"/>
  <c r="C51" i="5"/>
  <c r="D51" i="5"/>
  <c r="M7" i="6"/>
  <c r="L7" i="6"/>
  <c r="R8" i="16" s="1"/>
  <c r="T7" i="8"/>
  <c r="R7" i="8"/>
  <c r="S7" i="8" s="1"/>
  <c r="K7" i="8"/>
  <c r="C50" i="8"/>
  <c r="L50" i="8"/>
  <c r="B50" i="8"/>
  <c r="D50" i="8"/>
  <c r="B51" i="3"/>
  <c r="D51" i="3"/>
  <c r="C51" i="3"/>
  <c r="L51" i="3"/>
  <c r="L58" i="3" s="1"/>
  <c r="E52" i="6"/>
  <c r="L50" i="2"/>
  <c r="C50" i="2"/>
  <c r="D50" i="2"/>
  <c r="B50" i="2"/>
  <c r="E50" i="6"/>
  <c r="E52" i="7"/>
  <c r="C54" i="7"/>
  <c r="E48" i="7"/>
  <c r="E49" i="6"/>
  <c r="E49" i="7"/>
  <c r="E48" i="5"/>
  <c r="C54" i="5"/>
  <c r="C54" i="6"/>
  <c r="E48" i="6"/>
  <c r="E52" i="5"/>
  <c r="B51" i="6"/>
  <c r="D51" i="6"/>
  <c r="C51" i="6"/>
  <c r="L51" i="6"/>
  <c r="M7" i="5" l="1"/>
  <c r="C58" i="5"/>
  <c r="L7" i="7"/>
  <c r="S8" i="16" s="1"/>
  <c r="D55" i="4"/>
  <c r="E55" i="4" s="1"/>
  <c r="C58" i="4"/>
  <c r="L7" i="3"/>
  <c r="P8" i="16" s="1"/>
  <c r="B51" i="8"/>
  <c r="B58" i="8" s="1"/>
  <c r="C58" i="3"/>
  <c r="D58" i="3"/>
  <c r="B58" i="3"/>
  <c r="L7" i="4"/>
  <c r="O8" i="16" s="1"/>
  <c r="E50" i="2"/>
  <c r="C56" i="2" s="1"/>
  <c r="L55" i="3"/>
  <c r="D58" i="8"/>
  <c r="C55" i="3"/>
  <c r="E55" i="3" s="1"/>
  <c r="L51" i="8"/>
  <c r="L58" i="8"/>
  <c r="B58" i="4"/>
  <c r="B55" i="4"/>
  <c r="L55" i="5"/>
  <c r="B55" i="5"/>
  <c r="C55" i="5"/>
  <c r="D55" i="5"/>
  <c r="L56" i="2"/>
  <c r="E51" i="3"/>
  <c r="B57" i="3" s="1"/>
  <c r="U7" i="8"/>
  <c r="J7" i="8" s="1"/>
  <c r="M7" i="8" s="1"/>
  <c r="L56" i="3"/>
  <c r="E51" i="4"/>
  <c r="D57" i="4" s="1"/>
  <c r="B55" i="3"/>
  <c r="B56" i="5"/>
  <c r="D56" i="3"/>
  <c r="E56" i="3" s="1"/>
  <c r="L62" i="3" s="1"/>
  <c r="L55" i="4"/>
  <c r="C56" i="5"/>
  <c r="L7" i="2"/>
  <c r="N8" i="16" s="1"/>
  <c r="D56" i="5"/>
  <c r="B56" i="3"/>
  <c r="C51" i="8"/>
  <c r="E51" i="8" s="1"/>
  <c r="B56" i="4"/>
  <c r="P7" i="9"/>
  <c r="X8" i="13"/>
  <c r="O7" i="9"/>
  <c r="W8" i="13"/>
  <c r="L58" i="4"/>
  <c r="D58" i="4"/>
  <c r="D56" i="4"/>
  <c r="E56" i="4" s="1"/>
  <c r="N7" i="9"/>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E58" i="5" s="1"/>
  <c r="E49" i="8"/>
  <c r="D56" i="2"/>
  <c r="C60" i="4"/>
  <c r="E54" i="4"/>
  <c r="C60" i="5"/>
  <c r="E54" i="5"/>
  <c r="E54" i="7"/>
  <c r="C60" i="7"/>
  <c r="B58" i="6"/>
  <c r="D58" i="6"/>
  <c r="C58" i="6"/>
  <c r="L58" i="6"/>
  <c r="E50" i="8"/>
  <c r="E51" i="5"/>
  <c r="E60" i="8"/>
  <c r="C66" i="8"/>
  <c r="C60" i="3"/>
  <c r="E54" i="3"/>
  <c r="E51" i="2"/>
  <c r="E52" i="2"/>
  <c r="B56" i="2" l="1"/>
  <c r="U8" i="13"/>
  <c r="E58" i="4"/>
  <c r="Y8" i="13"/>
  <c r="Q7" i="9"/>
  <c r="E58" i="3"/>
  <c r="C64" i="3" s="1"/>
  <c r="V8" i="13"/>
  <c r="D57" i="6"/>
  <c r="M7" i="9"/>
  <c r="T8" i="13"/>
  <c r="E56" i="5"/>
  <c r="C62" i="5" s="1"/>
  <c r="C57" i="4"/>
  <c r="B57" i="4"/>
  <c r="C57" i="3"/>
  <c r="B57" i="7"/>
  <c r="L57" i="4"/>
  <c r="L64" i="4" s="1"/>
  <c r="B57" i="6"/>
  <c r="C58" i="8"/>
  <c r="E58" i="8" s="1"/>
  <c r="C57" i="6"/>
  <c r="E57" i="6" s="1"/>
  <c r="L57" i="3"/>
  <c r="E55" i="5"/>
  <c r="D61" i="5" s="1"/>
  <c r="B62" i="4"/>
  <c r="L62" i="4"/>
  <c r="C62" i="4"/>
  <c r="C62" i="3"/>
  <c r="D57" i="3"/>
  <c r="E57" i="3" s="1"/>
  <c r="L7" i="9"/>
  <c r="L7" i="8"/>
  <c r="T8" i="16" s="1"/>
  <c r="B62" i="3"/>
  <c r="B57" i="8"/>
  <c r="C57" i="8"/>
  <c r="L57" i="8"/>
  <c r="D57" i="8"/>
  <c r="E58" i="6"/>
  <c r="D64" i="6" s="1"/>
  <c r="D62" i="4"/>
  <c r="L57" i="7"/>
  <c r="D62" i="3"/>
  <c r="D57" i="7"/>
  <c r="E57" i="7" s="1"/>
  <c r="C57" i="2"/>
  <c r="D57" i="2"/>
  <c r="L57" i="2"/>
  <c r="B57" i="2"/>
  <c r="L56" i="8"/>
  <c r="B56" i="8"/>
  <c r="C56" i="8"/>
  <c r="D56" i="8"/>
  <c r="E60" i="5"/>
  <c r="C66" i="5"/>
  <c r="C66" i="4"/>
  <c r="E60" i="4"/>
  <c r="B55" i="8"/>
  <c r="L55" i="8"/>
  <c r="D55" i="8"/>
  <c r="C55" i="8"/>
  <c r="B62" i="5"/>
  <c r="E66" i="8"/>
  <c r="D7" i="8"/>
  <c r="G7" i="8" s="1"/>
  <c r="K8" i="16" s="1"/>
  <c r="E60" i="7"/>
  <c r="C66" i="7"/>
  <c r="C64" i="4"/>
  <c r="B64" i="4"/>
  <c r="D61" i="4"/>
  <c r="B61" i="4"/>
  <c r="L61" i="4"/>
  <c r="C61" i="4"/>
  <c r="E55" i="2"/>
  <c r="D64" i="4"/>
  <c r="D56" i="7"/>
  <c r="B56" i="7"/>
  <c r="C56" i="7"/>
  <c r="L56" i="7"/>
  <c r="D61" i="3"/>
  <c r="L61" i="3"/>
  <c r="C61" i="3"/>
  <c r="B61" i="3"/>
  <c r="E57" i="4"/>
  <c r="L58" i="2"/>
  <c r="C58" i="2"/>
  <c r="B58" i="2"/>
  <c r="D58" i="2"/>
  <c r="C66" i="3"/>
  <c r="E60" i="3"/>
  <c r="D57" i="5"/>
  <c r="D64" i="5" s="1"/>
  <c r="L57" i="5"/>
  <c r="L64" i="5" s="1"/>
  <c r="B57" i="5"/>
  <c r="B64" i="5" s="1"/>
  <c r="C57" i="5"/>
  <c r="C64" i="5" s="1"/>
  <c r="C66" i="6"/>
  <c r="E60" i="6"/>
  <c r="C66" i="2"/>
  <c r="E60" i="2"/>
  <c r="E56" i="6"/>
  <c r="E55" i="6"/>
  <c r="E55" i="7"/>
  <c r="E56" i="2"/>
  <c r="E58" i="7"/>
  <c r="D62" i="5" l="1"/>
  <c r="E62" i="5" s="1"/>
  <c r="L62" i="5"/>
  <c r="B64" i="3"/>
  <c r="L64" i="3"/>
  <c r="R7" i="9"/>
  <c r="D64" i="8"/>
  <c r="L64" i="6"/>
  <c r="L64" i="8"/>
  <c r="E57" i="2"/>
  <c r="C63" i="2" s="1"/>
  <c r="L61" i="5"/>
  <c r="L63" i="3"/>
  <c r="B63" i="6"/>
  <c r="C63" i="6"/>
  <c r="E64" i="5"/>
  <c r="D64" i="3"/>
  <c r="E64" i="3" s="1"/>
  <c r="C64" i="6"/>
  <c r="E64" i="6" s="1"/>
  <c r="Z8" i="13"/>
  <c r="C64" i="8"/>
  <c r="B64" i="8"/>
  <c r="E62" i="4"/>
  <c r="C68" i="4" s="1"/>
  <c r="B61" i="5"/>
  <c r="C61" i="5"/>
  <c r="E61" i="5" s="1"/>
  <c r="C67" i="5" s="1"/>
  <c r="B63" i="3"/>
  <c r="E62" i="3"/>
  <c r="C68" i="3" s="1"/>
  <c r="E57" i="8"/>
  <c r="B63" i="8" s="1"/>
  <c r="D63" i="3"/>
  <c r="D63" i="6"/>
  <c r="L63" i="6"/>
  <c r="B64" i="6"/>
  <c r="D63" i="7"/>
  <c r="B63" i="7"/>
  <c r="L63" i="7"/>
  <c r="E61" i="3"/>
  <c r="D67" i="3" s="1"/>
  <c r="I7" i="9"/>
  <c r="Q8" i="13"/>
  <c r="E64" i="4"/>
  <c r="E55" i="8"/>
  <c r="D61" i="8" s="1"/>
  <c r="C63" i="7"/>
  <c r="E63" i="7" s="1"/>
  <c r="C63" i="3"/>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E56" i="8"/>
  <c r="D64" i="7"/>
  <c r="C64" i="7"/>
  <c r="B64" i="7"/>
  <c r="L64" i="7"/>
  <c r="L62" i="6"/>
  <c r="C62" i="6"/>
  <c r="B62" i="6"/>
  <c r="D62" i="6"/>
  <c r="D7" i="6"/>
  <c r="E66" i="6"/>
  <c r="D7" i="3"/>
  <c r="G7" i="3" s="1"/>
  <c r="I8" i="16" s="1"/>
  <c r="E66" i="3"/>
  <c r="E61" i="4"/>
  <c r="E66" i="5"/>
  <c r="D7" i="5"/>
  <c r="L68" i="4" l="1"/>
  <c r="Q11" i="4" s="1"/>
  <c r="D67" i="5"/>
  <c r="E67" i="5" s="1"/>
  <c r="D70" i="3"/>
  <c r="F13" i="3" s="1"/>
  <c r="B68" i="4"/>
  <c r="M68" i="4" s="1"/>
  <c r="E7" i="9"/>
  <c r="I8" i="13"/>
  <c r="D68" i="4"/>
  <c r="E61" i="7"/>
  <c r="L67" i="7" s="1"/>
  <c r="B68" i="3"/>
  <c r="M68" i="3" s="1"/>
  <c r="L67" i="3"/>
  <c r="O8" i="3" s="1"/>
  <c r="L68" i="3"/>
  <c r="Q11" i="3" s="1"/>
  <c r="C61" i="8"/>
  <c r="E61" i="8" s="1"/>
  <c r="C67" i="3"/>
  <c r="E67" i="3" s="1"/>
  <c r="B61" i="8"/>
  <c r="B67" i="3"/>
  <c r="F28" i="3" s="1"/>
  <c r="L61" i="8"/>
  <c r="C70" i="4"/>
  <c r="B70" i="4"/>
  <c r="F34" i="4" s="1"/>
  <c r="D63" i="8"/>
  <c r="L63" i="8"/>
  <c r="B63" i="2"/>
  <c r="L63" i="2"/>
  <c r="D63" i="2"/>
  <c r="E63" i="2" s="1"/>
  <c r="E64" i="8"/>
  <c r="L70" i="8" s="1"/>
  <c r="L70" i="4"/>
  <c r="D70" i="4"/>
  <c r="F14" i="4" s="1"/>
  <c r="B70" i="6"/>
  <c r="F34" i="6" s="1"/>
  <c r="L70" i="6"/>
  <c r="E63" i="6"/>
  <c r="B69" i="6" s="1"/>
  <c r="B67" i="5"/>
  <c r="F28" i="5" s="1"/>
  <c r="D70" i="6"/>
  <c r="F14" i="6" s="1"/>
  <c r="D70" i="8"/>
  <c r="F13" i="8" s="1"/>
  <c r="D68" i="3"/>
  <c r="F9" i="3" s="1"/>
  <c r="B70" i="3"/>
  <c r="M70" i="3" s="1"/>
  <c r="C70" i="3"/>
  <c r="D14" i="3" s="1"/>
  <c r="C63" i="8"/>
  <c r="L67" i="5"/>
  <c r="Q8" i="5" s="1"/>
  <c r="L70" i="3"/>
  <c r="C70" i="6"/>
  <c r="E70" i="6" s="1"/>
  <c r="E61" i="6"/>
  <c r="B67" i="6" s="1"/>
  <c r="D10" i="3"/>
  <c r="D9" i="3"/>
  <c r="D11" i="3"/>
  <c r="B69" i="7"/>
  <c r="F32" i="7" s="1"/>
  <c r="E63" i="3"/>
  <c r="C69" i="3" s="1"/>
  <c r="C7" i="9"/>
  <c r="E8" i="13"/>
  <c r="D7" i="9"/>
  <c r="G8" i="13"/>
  <c r="E64" i="7"/>
  <c r="D70" i="7" s="1"/>
  <c r="F13" i="7" s="1"/>
  <c r="E61" i="2"/>
  <c r="C67" i="2" s="1"/>
  <c r="F30" i="4"/>
  <c r="B62" i="8"/>
  <c r="C62" i="8"/>
  <c r="L62" i="8"/>
  <c r="D62" i="8"/>
  <c r="F8" i="3"/>
  <c r="L68" i="5"/>
  <c r="C68" i="5"/>
  <c r="B68" i="5"/>
  <c r="D68" i="5"/>
  <c r="D62" i="7"/>
  <c r="D69" i="7" s="1"/>
  <c r="B62" i="7"/>
  <c r="C62" i="7"/>
  <c r="C69" i="7" s="1"/>
  <c r="D12" i="7" s="1"/>
  <c r="L62" i="7"/>
  <c r="L69" i="7" s="1"/>
  <c r="C67" i="4"/>
  <c r="L67" i="4"/>
  <c r="D67" i="4"/>
  <c r="B67" i="4"/>
  <c r="E62" i="6"/>
  <c r="D9" i="4"/>
  <c r="D10" i="4"/>
  <c r="D11" i="4"/>
  <c r="L64" i="2"/>
  <c r="D64" i="2"/>
  <c r="C64" i="2"/>
  <c r="B64" i="2"/>
  <c r="D8" i="5"/>
  <c r="E63" i="4"/>
  <c r="E62" i="2"/>
  <c r="D63" i="5"/>
  <c r="D70" i="5" s="1"/>
  <c r="F14" i="5" s="1"/>
  <c r="C63" i="5"/>
  <c r="C70" i="5" s="1"/>
  <c r="B63" i="5"/>
  <c r="B70" i="5" s="1"/>
  <c r="F33" i="5" s="1"/>
  <c r="L63" i="5"/>
  <c r="L70" i="5" s="1"/>
  <c r="M70" i="6" l="1"/>
  <c r="Q9" i="4"/>
  <c r="Q10" i="4"/>
  <c r="O14" i="6"/>
  <c r="C67" i="7"/>
  <c r="D8" i="7" s="1"/>
  <c r="F8" i="5"/>
  <c r="O9" i="4"/>
  <c r="O11" i="4"/>
  <c r="R11" i="4" s="1"/>
  <c r="S11" i="4" s="1"/>
  <c r="F33" i="6"/>
  <c r="F9" i="4"/>
  <c r="O14" i="3"/>
  <c r="M67" i="3"/>
  <c r="F14" i="3"/>
  <c r="E68" i="4"/>
  <c r="F13" i="6"/>
  <c r="F11" i="4"/>
  <c r="Q10" i="3"/>
  <c r="E63" i="8"/>
  <c r="C69" i="8" s="1"/>
  <c r="B67" i="7"/>
  <c r="F28" i="7" s="1"/>
  <c r="C69" i="6"/>
  <c r="D12" i="6" s="1"/>
  <c r="D67" i="7"/>
  <c r="E67" i="7" s="1"/>
  <c r="F31" i="4"/>
  <c r="D8" i="3"/>
  <c r="B69" i="2"/>
  <c r="F35" i="2" s="1"/>
  <c r="F29" i="4"/>
  <c r="Q14" i="4"/>
  <c r="D13" i="4"/>
  <c r="D69" i="6"/>
  <c r="F12" i="6" s="1"/>
  <c r="O8" i="5"/>
  <c r="R8" i="5" s="1"/>
  <c r="S8" i="5" s="1"/>
  <c r="L69" i="6"/>
  <c r="C67" i="6"/>
  <c r="O13" i="4"/>
  <c r="Q8" i="3"/>
  <c r="R8" i="3" s="1"/>
  <c r="S8" i="3" s="1"/>
  <c r="M70" i="4"/>
  <c r="F13" i="5"/>
  <c r="D69" i="3"/>
  <c r="F15" i="3" s="1"/>
  <c r="E70" i="4"/>
  <c r="O13" i="6"/>
  <c r="F33" i="3"/>
  <c r="F13" i="4"/>
  <c r="F33" i="4"/>
  <c r="F10" i="4"/>
  <c r="O10" i="4"/>
  <c r="K10" i="4" s="1"/>
  <c r="M67" i="5"/>
  <c r="O11" i="3"/>
  <c r="T11" i="3" s="1"/>
  <c r="O14" i="4"/>
  <c r="T14" i="4" s="1"/>
  <c r="Q13" i="4"/>
  <c r="F30" i="3"/>
  <c r="O13" i="3"/>
  <c r="D13" i="3"/>
  <c r="Q9" i="3"/>
  <c r="O10" i="3"/>
  <c r="E68" i="3"/>
  <c r="O9" i="3"/>
  <c r="F31" i="3"/>
  <c r="F29" i="3"/>
  <c r="D14" i="4"/>
  <c r="L70" i="7"/>
  <c r="O14" i="7" s="1"/>
  <c r="E70" i="3"/>
  <c r="Q14" i="6"/>
  <c r="R14" i="6" s="1"/>
  <c r="S14" i="6" s="1"/>
  <c r="M69" i="7"/>
  <c r="B69" i="3"/>
  <c r="F32" i="3" s="1"/>
  <c r="C70" i="8"/>
  <c r="Q13" i="8" s="1"/>
  <c r="Q13" i="6"/>
  <c r="B70" i="8"/>
  <c r="M70" i="8" s="1"/>
  <c r="O13" i="8"/>
  <c r="F14" i="8"/>
  <c r="O14" i="8"/>
  <c r="E64" i="2"/>
  <c r="L70" i="2" s="1"/>
  <c r="L67" i="6"/>
  <c r="F10" i="3"/>
  <c r="F11" i="3"/>
  <c r="F34" i="3"/>
  <c r="D67" i="6"/>
  <c r="Q13" i="3"/>
  <c r="L69" i="3"/>
  <c r="Q12" i="3" s="1"/>
  <c r="M70" i="5"/>
  <c r="E70" i="5"/>
  <c r="Q13" i="5"/>
  <c r="D13" i="5"/>
  <c r="Q14" i="5"/>
  <c r="D14" i="5"/>
  <c r="O15" i="7"/>
  <c r="F12" i="7"/>
  <c r="F15" i="7"/>
  <c r="O13" i="5"/>
  <c r="O14" i="5"/>
  <c r="F35" i="7"/>
  <c r="Q14" i="3"/>
  <c r="F34" i="5"/>
  <c r="B70" i="7"/>
  <c r="M70" i="7" s="1"/>
  <c r="D14" i="6"/>
  <c r="D13" i="6"/>
  <c r="C70" i="7"/>
  <c r="D14" i="7" s="1"/>
  <c r="F14" i="7"/>
  <c r="Q15" i="7"/>
  <c r="E63" i="5"/>
  <c r="C69" i="5" s="1"/>
  <c r="Q12" i="7"/>
  <c r="D67" i="2"/>
  <c r="E67" i="2" s="1"/>
  <c r="O12" i="7"/>
  <c r="D15" i="7"/>
  <c r="E69" i="7"/>
  <c r="B67" i="2"/>
  <c r="F28" i="2" s="1"/>
  <c r="O13" i="7"/>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M67" i="7"/>
  <c r="B70" i="2"/>
  <c r="O8" i="4"/>
  <c r="F8" i="4"/>
  <c r="D10" i="5"/>
  <c r="D9" i="5"/>
  <c r="E68" i="5"/>
  <c r="D11" i="5"/>
  <c r="Q10" i="5"/>
  <c r="Q9" i="5"/>
  <c r="Q11" i="5"/>
  <c r="D15" i="3"/>
  <c r="D12" i="3"/>
  <c r="F35" i="6"/>
  <c r="M69" i="6"/>
  <c r="F32" i="6"/>
  <c r="D8" i="2"/>
  <c r="E62" i="8"/>
  <c r="F8" i="2" l="1"/>
  <c r="B69" i="8"/>
  <c r="F35" i="8" s="1"/>
  <c r="Q8" i="7"/>
  <c r="D69" i="5"/>
  <c r="E69" i="5" s="1"/>
  <c r="K13" i="6"/>
  <c r="O8" i="7"/>
  <c r="L69" i="8"/>
  <c r="Q15" i="8" s="1"/>
  <c r="M69" i="3"/>
  <c r="K8" i="5"/>
  <c r="R9" i="4"/>
  <c r="S9" i="4" s="1"/>
  <c r="U9" i="4" s="1"/>
  <c r="J9" i="4" s="1"/>
  <c r="M9" i="4" s="1"/>
  <c r="G9" i="4" s="1"/>
  <c r="G10" i="16" s="1"/>
  <c r="T9" i="4"/>
  <c r="E67" i="6"/>
  <c r="K9" i="4"/>
  <c r="D69" i="8"/>
  <c r="F12" i="8" s="1"/>
  <c r="D15" i="6"/>
  <c r="T11" i="4"/>
  <c r="K11" i="4"/>
  <c r="F32" i="2"/>
  <c r="R10" i="3"/>
  <c r="S10" i="3" s="1"/>
  <c r="U10" i="3" s="1"/>
  <c r="J10" i="3" s="1"/>
  <c r="M10" i="3" s="1"/>
  <c r="G10" i="3" s="1"/>
  <c r="I11" i="16" s="1"/>
  <c r="F8" i="7"/>
  <c r="T15" i="7"/>
  <c r="T10" i="3"/>
  <c r="F34" i="7"/>
  <c r="F33" i="7"/>
  <c r="R13" i="4"/>
  <c r="S13" i="4" s="1"/>
  <c r="U13" i="4" s="1"/>
  <c r="J13" i="4" s="1"/>
  <c r="E69" i="6"/>
  <c r="O15" i="6"/>
  <c r="M69" i="2"/>
  <c r="R14" i="3"/>
  <c r="S14" i="3" s="1"/>
  <c r="U14" i="3" s="1"/>
  <c r="J14" i="3" s="1"/>
  <c r="M14" i="3" s="1"/>
  <c r="G14" i="3" s="1"/>
  <c r="I15" i="16" s="1"/>
  <c r="O12" i="6"/>
  <c r="K14" i="4"/>
  <c r="F15" i="6"/>
  <c r="T13" i="4"/>
  <c r="Q12" i="6"/>
  <c r="K8" i="3"/>
  <c r="F35" i="3"/>
  <c r="T8" i="3"/>
  <c r="U8" i="3" s="1"/>
  <c r="J8" i="3" s="1"/>
  <c r="Q8" i="6"/>
  <c r="D8" i="6"/>
  <c r="Q15" i="6"/>
  <c r="R15" i="7"/>
  <c r="S15" i="7" s="1"/>
  <c r="U15" i="7" s="1"/>
  <c r="J15" i="7" s="1"/>
  <c r="R10" i="4"/>
  <c r="S10" i="4" s="1"/>
  <c r="U10" i="4" s="1"/>
  <c r="J10" i="4" s="1"/>
  <c r="M10" i="4" s="1"/>
  <c r="G10" i="4" s="1"/>
  <c r="G11" i="16" s="1"/>
  <c r="K13" i="4"/>
  <c r="T10" i="4"/>
  <c r="R13" i="3"/>
  <c r="S13" i="3" s="1"/>
  <c r="U13" i="3" s="1"/>
  <c r="J13" i="3" s="1"/>
  <c r="K11" i="3"/>
  <c r="T8" i="5"/>
  <c r="U8" i="5" s="1"/>
  <c r="J8" i="5" s="1"/>
  <c r="R11" i="3"/>
  <c r="S11" i="3" s="1"/>
  <c r="U11" i="3" s="1"/>
  <c r="J11" i="3" s="1"/>
  <c r="M11" i="3" s="1"/>
  <c r="E69" i="3"/>
  <c r="F12" i="3"/>
  <c r="R13" i="6"/>
  <c r="S13" i="6" s="1"/>
  <c r="U13" i="6" s="1"/>
  <c r="J13" i="6" s="1"/>
  <c r="M13" i="6" s="1"/>
  <c r="F8" i="6"/>
  <c r="T13" i="6"/>
  <c r="O8" i="6"/>
  <c r="K8" i="6" s="1"/>
  <c r="L68" i="7"/>
  <c r="Q10" i="7" s="1"/>
  <c r="B69" i="5"/>
  <c r="F35" i="5" s="1"/>
  <c r="D68" i="7"/>
  <c r="K12" i="7"/>
  <c r="K15" i="7"/>
  <c r="L69" i="5"/>
  <c r="Q15" i="5" s="1"/>
  <c r="B68" i="7"/>
  <c r="M68" i="7" s="1"/>
  <c r="T13" i="5"/>
  <c r="T12" i="7"/>
  <c r="K9" i="3"/>
  <c r="K10" i="3"/>
  <c r="R14" i="4"/>
  <c r="S14" i="4" s="1"/>
  <c r="U14" i="4" s="1"/>
  <c r="J14" i="4" s="1"/>
  <c r="G11" i="3"/>
  <c r="I12" i="16" s="1"/>
  <c r="D13" i="7"/>
  <c r="K13" i="3"/>
  <c r="O12" i="3"/>
  <c r="T12" i="3" s="1"/>
  <c r="R9" i="3"/>
  <c r="S9" i="3" s="1"/>
  <c r="Q14" i="8"/>
  <c r="R14" i="8" s="1"/>
  <c r="S14" i="8" s="1"/>
  <c r="T9" i="3"/>
  <c r="T14" i="3"/>
  <c r="K14" i="6"/>
  <c r="T14" i="6"/>
  <c r="U14" i="6" s="1"/>
  <c r="J14" i="6" s="1"/>
  <c r="M14" i="6" s="1"/>
  <c r="F34" i="8"/>
  <c r="T13" i="8"/>
  <c r="R14" i="5"/>
  <c r="S14" i="5" s="1"/>
  <c r="U14" i="5" s="1"/>
  <c r="J14" i="5" s="1"/>
  <c r="M14" i="5" s="1"/>
  <c r="F33" i="8"/>
  <c r="C70" i="2"/>
  <c r="D14" i="2" s="1"/>
  <c r="K14" i="3"/>
  <c r="T14" i="5"/>
  <c r="D13" i="8"/>
  <c r="R13" i="8"/>
  <c r="S13" i="8" s="1"/>
  <c r="U13" i="8" s="1"/>
  <c r="J13" i="8" s="1"/>
  <c r="M13" i="8" s="1"/>
  <c r="G13" i="8" s="1"/>
  <c r="K14" i="16" s="1"/>
  <c r="K13" i="8"/>
  <c r="O15" i="3"/>
  <c r="K14" i="5"/>
  <c r="Q15" i="3"/>
  <c r="R12" i="7"/>
  <c r="S12" i="7" s="1"/>
  <c r="U12" i="7" s="1"/>
  <c r="J12" i="7" s="1"/>
  <c r="L12" i="7" s="1"/>
  <c r="S13" i="16" s="1"/>
  <c r="D70" i="2"/>
  <c r="F13" i="2" s="1"/>
  <c r="D14" i="8"/>
  <c r="E70" i="8"/>
  <c r="R13" i="5"/>
  <c r="S13" i="5" s="1"/>
  <c r="U13" i="5" s="1"/>
  <c r="J13" i="5" s="1"/>
  <c r="M13" i="5" s="1"/>
  <c r="M67" i="2"/>
  <c r="T13" i="3"/>
  <c r="Q13" i="7"/>
  <c r="T13" i="7" s="1"/>
  <c r="E70" i="7"/>
  <c r="K13" i="5"/>
  <c r="Q14" i="7"/>
  <c r="R14" i="7" s="1"/>
  <c r="S14" i="7" s="1"/>
  <c r="O8" i="2"/>
  <c r="R8" i="2" s="1"/>
  <c r="S8" i="2" s="1"/>
  <c r="U11" i="4"/>
  <c r="J11" i="4" s="1"/>
  <c r="M70" i="2"/>
  <c r="F33" i="2"/>
  <c r="F34" i="2"/>
  <c r="O12" i="4"/>
  <c r="O15" i="4"/>
  <c r="F15" i="4"/>
  <c r="F12" i="4"/>
  <c r="F30" i="2"/>
  <c r="F29" i="2"/>
  <c r="M68" i="2"/>
  <c r="F31" i="2"/>
  <c r="Q10" i="6"/>
  <c r="D9" i="6"/>
  <c r="D10" i="6"/>
  <c r="D11" i="6"/>
  <c r="Q11" i="6"/>
  <c r="Q9" i="6"/>
  <c r="E68" i="6"/>
  <c r="O8" i="8"/>
  <c r="F8" i="8"/>
  <c r="D12" i="8"/>
  <c r="D15" i="8"/>
  <c r="F32" i="4"/>
  <c r="M69" i="4"/>
  <c r="F35" i="4"/>
  <c r="D15" i="5"/>
  <c r="D12" i="5"/>
  <c r="O10" i="2"/>
  <c r="O11" i="2"/>
  <c r="O9" i="2"/>
  <c r="F10" i="2"/>
  <c r="F9" i="2"/>
  <c r="F11" i="2"/>
  <c r="T9" i="5"/>
  <c r="R9" i="5"/>
  <c r="S9" i="5" s="1"/>
  <c r="U9" i="5" s="1"/>
  <c r="J9" i="5" s="1"/>
  <c r="K9" i="5"/>
  <c r="D11" i="7"/>
  <c r="D9" i="7"/>
  <c r="D10" i="7"/>
  <c r="O11" i="6"/>
  <c r="O10" i="6"/>
  <c r="O9" i="6"/>
  <c r="F10" i="6"/>
  <c r="F9" i="6"/>
  <c r="F11" i="6"/>
  <c r="M69" i="8"/>
  <c r="R10" i="5"/>
  <c r="S10" i="5" s="1"/>
  <c r="U10" i="5" s="1"/>
  <c r="J10" i="5" s="1"/>
  <c r="T10" i="5"/>
  <c r="K10" i="5"/>
  <c r="F12" i="2"/>
  <c r="O15" i="2"/>
  <c r="F15" i="2"/>
  <c r="O12" i="2"/>
  <c r="F31" i="6"/>
  <c r="F30" i="6"/>
  <c r="M68" i="6"/>
  <c r="F29" i="6"/>
  <c r="M67" i="8"/>
  <c r="F28" i="8"/>
  <c r="K12" i="6"/>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2" i="6" l="1"/>
  <c r="S12" i="6" s="1"/>
  <c r="F15" i="5"/>
  <c r="O15" i="8"/>
  <c r="K15" i="8" s="1"/>
  <c r="F32" i="8"/>
  <c r="K8" i="7"/>
  <c r="R8" i="7"/>
  <c r="S8" i="7" s="1"/>
  <c r="Q12" i="8"/>
  <c r="T8" i="7"/>
  <c r="F12" i="5"/>
  <c r="L13" i="4"/>
  <c r="O14" i="16" s="1"/>
  <c r="L11" i="4"/>
  <c r="O12" i="16" s="1"/>
  <c r="O12" i="8"/>
  <c r="F31" i="7"/>
  <c r="T12" i="6"/>
  <c r="F15" i="8"/>
  <c r="E69" i="8"/>
  <c r="L10" i="3"/>
  <c r="P11" i="16" s="1"/>
  <c r="O13" i="2"/>
  <c r="F14" i="2"/>
  <c r="E11" i="9"/>
  <c r="K15" i="6"/>
  <c r="O14" i="2"/>
  <c r="Q11" i="7"/>
  <c r="Q9" i="7"/>
  <c r="O9" i="7"/>
  <c r="I12" i="13"/>
  <c r="O11" i="7"/>
  <c r="T11" i="7" s="1"/>
  <c r="K8" i="2"/>
  <c r="T15" i="6"/>
  <c r="M69" i="5"/>
  <c r="R15" i="6"/>
  <c r="S15" i="6" s="1"/>
  <c r="U15" i="6" s="1"/>
  <c r="J15" i="6" s="1"/>
  <c r="F11" i="7"/>
  <c r="F32" i="5"/>
  <c r="D13" i="2"/>
  <c r="F10" i="7"/>
  <c r="Q12" i="5"/>
  <c r="F29" i="7"/>
  <c r="K14" i="8"/>
  <c r="L13" i="6"/>
  <c r="R14" i="16" s="1"/>
  <c r="E68" i="7"/>
  <c r="F30" i="7"/>
  <c r="O10" i="7"/>
  <c r="K10" i="7" s="1"/>
  <c r="F9" i="7"/>
  <c r="R12" i="3"/>
  <c r="S12" i="3" s="1"/>
  <c r="U12" i="3" s="1"/>
  <c r="J12" i="3" s="1"/>
  <c r="R8" i="6"/>
  <c r="S8" i="6" s="1"/>
  <c r="L11" i="3"/>
  <c r="P12" i="16" s="1"/>
  <c r="T8" i="6"/>
  <c r="K12" i="3"/>
  <c r="O15" i="5"/>
  <c r="T15" i="5" s="1"/>
  <c r="T14" i="8"/>
  <c r="U14" i="8" s="1"/>
  <c r="J14" i="8" s="1"/>
  <c r="N30" i="8" s="1"/>
  <c r="O12" i="5"/>
  <c r="L14" i="6"/>
  <c r="R15" i="16" s="1"/>
  <c r="R15" i="3"/>
  <c r="S15" i="3" s="1"/>
  <c r="U15" i="3" s="1"/>
  <c r="J15" i="3" s="1"/>
  <c r="E70" i="2"/>
  <c r="Q14" i="2"/>
  <c r="M13" i="4"/>
  <c r="G13" i="4" s="1"/>
  <c r="G14" i="16" s="1"/>
  <c r="M12" i="7"/>
  <c r="L9" i="4"/>
  <c r="O10" i="16" s="1"/>
  <c r="R13" i="7"/>
  <c r="S13" i="7" s="1"/>
  <c r="U13" i="7" s="1"/>
  <c r="J13" i="7" s="1"/>
  <c r="M13" i="7" s="1"/>
  <c r="Q13" i="2"/>
  <c r="L13" i="3"/>
  <c r="P14" i="16" s="1"/>
  <c r="U9" i="3"/>
  <c r="J9" i="3" s="1"/>
  <c r="M9" i="3" s="1"/>
  <c r="G9" i="3" s="1"/>
  <c r="I10" i="13" s="1"/>
  <c r="K15" i="3"/>
  <c r="T15" i="3"/>
  <c r="Q14" i="13"/>
  <c r="N30" i="6"/>
  <c r="N30" i="5"/>
  <c r="L14" i="5"/>
  <c r="Q15" i="16" s="1"/>
  <c r="I13" i="9"/>
  <c r="L13" i="8"/>
  <c r="T14" i="16" s="1"/>
  <c r="L13" i="5"/>
  <c r="Q14" i="16" s="1"/>
  <c r="L10" i="4"/>
  <c r="O11" i="16" s="1"/>
  <c r="K13" i="7"/>
  <c r="T8" i="2"/>
  <c r="U8" i="2" s="1"/>
  <c r="J8" i="2" s="1"/>
  <c r="M11" i="4"/>
  <c r="G11" i="4" s="1"/>
  <c r="T14" i="7"/>
  <c r="U14" i="7" s="1"/>
  <c r="J14" i="7" s="1"/>
  <c r="K14" i="7"/>
  <c r="N30" i="3"/>
  <c r="L14" i="3"/>
  <c r="P15" i="16" s="1"/>
  <c r="M13" i="3"/>
  <c r="G13" i="3" s="1"/>
  <c r="D10" i="9"/>
  <c r="G11" i="13"/>
  <c r="M11" i="9"/>
  <c r="E10" i="9"/>
  <c r="I11" i="13"/>
  <c r="U14" i="13"/>
  <c r="Q12" i="9"/>
  <c r="Y13" i="13"/>
  <c r="D9" i="9"/>
  <c r="G10"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U12" i="6"/>
  <c r="J12" i="6" s="1"/>
  <c r="L15" i="7"/>
  <c r="S16" i="16"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2" i="8" l="1"/>
  <c r="R15" i="8"/>
  <c r="S15" i="8" s="1"/>
  <c r="R11" i="7"/>
  <c r="S11" i="7" s="1"/>
  <c r="U11" i="7" s="1"/>
  <c r="J11" i="7" s="1"/>
  <c r="T15" i="8"/>
  <c r="R10" i="7"/>
  <c r="S10" i="7" s="1"/>
  <c r="T13" i="2"/>
  <c r="K11" i="7"/>
  <c r="U12" i="13"/>
  <c r="R12" i="8"/>
  <c r="S12" i="8" s="1"/>
  <c r="U12" i="8" s="1"/>
  <c r="J12" i="8" s="1"/>
  <c r="U8" i="7"/>
  <c r="J8" i="7" s="1"/>
  <c r="M8" i="7" s="1"/>
  <c r="M13" i="9"/>
  <c r="T12" i="8"/>
  <c r="N10" i="9"/>
  <c r="V11" i="13"/>
  <c r="P14" i="9"/>
  <c r="R13" i="2"/>
  <c r="S13" i="2" s="1"/>
  <c r="U13" i="2" s="1"/>
  <c r="J13" i="2" s="1"/>
  <c r="M13" i="2" s="1"/>
  <c r="G13" i="2" s="1"/>
  <c r="E14" i="16" s="1"/>
  <c r="R12" i="5"/>
  <c r="S12" i="5" s="1"/>
  <c r="U12" i="5" s="1"/>
  <c r="J12" i="5" s="1"/>
  <c r="T9" i="7"/>
  <c r="L15" i="6"/>
  <c r="R16" i="16" s="1"/>
  <c r="K13" i="2"/>
  <c r="R9" i="7"/>
  <c r="S9" i="7" s="1"/>
  <c r="U9" i="7" s="1"/>
  <c r="J9" i="7" s="1"/>
  <c r="M9" i="7" s="1"/>
  <c r="D13" i="9"/>
  <c r="K12" i="5"/>
  <c r="L8" i="2"/>
  <c r="N9" i="16" s="1"/>
  <c r="K9" i="7"/>
  <c r="T10" i="7"/>
  <c r="T14" i="2"/>
  <c r="X14" i="13"/>
  <c r="P13" i="9"/>
  <c r="N11" i="9"/>
  <c r="V12" i="13"/>
  <c r="U8" i="6"/>
  <c r="J8" i="6" s="1"/>
  <c r="M8" i="6" s="1"/>
  <c r="K15" i="5"/>
  <c r="X15" i="13"/>
  <c r="R15" i="5"/>
  <c r="S15" i="5" s="1"/>
  <c r="U15" i="5" s="1"/>
  <c r="J15" i="5" s="1"/>
  <c r="W14" i="13"/>
  <c r="N13" i="9"/>
  <c r="M15" i="6"/>
  <c r="K14" i="2"/>
  <c r="T12" i="5"/>
  <c r="R14" i="2"/>
  <c r="S14" i="2" s="1"/>
  <c r="U14" i="2" s="1"/>
  <c r="J14" i="2" s="1"/>
  <c r="M14" i="2" s="1"/>
  <c r="G14" i="2" s="1"/>
  <c r="E15" i="16" s="1"/>
  <c r="U10" i="13"/>
  <c r="L14" i="8"/>
  <c r="T15" i="16" s="1"/>
  <c r="M14" i="8"/>
  <c r="G14" i="8" s="1"/>
  <c r="K15" i="16" s="1"/>
  <c r="L13" i="7"/>
  <c r="S14" i="16" s="1"/>
  <c r="G14" i="13"/>
  <c r="L15" i="3"/>
  <c r="P16" i="16" s="1"/>
  <c r="M15" i="3"/>
  <c r="G15" i="3" s="1"/>
  <c r="I16" i="16" s="1"/>
  <c r="N14" i="9"/>
  <c r="L9" i="3"/>
  <c r="N9" i="9" s="1"/>
  <c r="I14" i="13"/>
  <c r="I14" i="16"/>
  <c r="G12" i="13"/>
  <c r="G12" i="16"/>
  <c r="E9" i="9"/>
  <c r="I10" i="16"/>
  <c r="M14" i="7"/>
  <c r="N30" i="7"/>
  <c r="L14" i="7"/>
  <c r="S15" i="16" s="1"/>
  <c r="U10" i="7"/>
  <c r="J10" i="7" s="1"/>
  <c r="M10" i="7" s="1"/>
  <c r="O13" i="9"/>
  <c r="V14" i="13"/>
  <c r="M9" i="9"/>
  <c r="M10" i="9"/>
  <c r="O14" i="9"/>
  <c r="Z14" i="13"/>
  <c r="V15" i="13"/>
  <c r="W15" i="13"/>
  <c r="U12" i="2"/>
  <c r="J12" i="2" s="1"/>
  <c r="L12" i="2" s="1"/>
  <c r="N13" i="16" s="1"/>
  <c r="R13" i="9"/>
  <c r="D11" i="9"/>
  <c r="E13" i="9"/>
  <c r="U11" i="13"/>
  <c r="M8" i="2"/>
  <c r="G8" i="2" s="1"/>
  <c r="E9" i="16" s="1"/>
  <c r="U15" i="2"/>
  <c r="J15" i="2" s="1"/>
  <c r="M15" i="2" s="1"/>
  <c r="G15" i="2" s="1"/>
  <c r="E16" i="16" s="1"/>
  <c r="U12" i="4"/>
  <c r="J12" i="4" s="1"/>
  <c r="L12" i="4" s="1"/>
  <c r="O13" i="16" s="1"/>
  <c r="U11" i="6"/>
  <c r="J11" i="6" s="1"/>
  <c r="M11" i="6" s="1"/>
  <c r="O9" i="9"/>
  <c r="W10"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U9" i="6"/>
  <c r="J9" i="6" s="1"/>
  <c r="U8" i="8"/>
  <c r="J8" i="8" s="1"/>
  <c r="M12" i="6"/>
  <c r="L12" i="6"/>
  <c r="R13" i="16"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P15" i="9" l="1"/>
  <c r="L8" i="7"/>
  <c r="S9" i="16" s="1"/>
  <c r="L12" i="5"/>
  <c r="Q13" i="16" s="1"/>
  <c r="X16" i="13"/>
  <c r="M12" i="5"/>
  <c r="T9" i="13"/>
  <c r="L8" i="9"/>
  <c r="P10" i="16"/>
  <c r="L15" i="5"/>
  <c r="Q16" i="16" s="1"/>
  <c r="L11" i="6"/>
  <c r="R12" i="16" s="1"/>
  <c r="N15" i="9"/>
  <c r="V10" i="13"/>
  <c r="E15" i="9"/>
  <c r="L8" i="6"/>
  <c r="R9" i="16" s="1"/>
  <c r="M15" i="5"/>
  <c r="E9" i="13"/>
  <c r="Y15" i="13"/>
  <c r="I16" i="13"/>
  <c r="I14" i="9"/>
  <c r="Q15" i="13"/>
  <c r="Z15" i="13"/>
  <c r="Q14" i="9"/>
  <c r="C8" i="9"/>
  <c r="Y14" i="13"/>
  <c r="Q13" i="9"/>
  <c r="R14" i="9"/>
  <c r="V16" i="13"/>
  <c r="L10" i="2"/>
  <c r="N11" i="16" s="1"/>
  <c r="L10" i="7"/>
  <c r="S11" i="16" s="1"/>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C13" i="9"/>
  <c r="E14" i="13"/>
  <c r="M12" i="9"/>
  <c r="U13" i="13"/>
  <c r="E12" i="9"/>
  <c r="I13" i="13"/>
  <c r="D8" i="9"/>
  <c r="G9" i="13"/>
  <c r="U9" i="8"/>
  <c r="J9" i="8" s="1"/>
  <c r="M9" i="8" s="1"/>
  <c r="G9" i="8" s="1"/>
  <c r="K10" i="16" s="1"/>
  <c r="C10" i="9"/>
  <c r="E11" i="13"/>
  <c r="N12" i="9"/>
  <c r="V13" i="13"/>
  <c r="P12" i="9"/>
  <c r="X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M10" i="6"/>
  <c r="L10" i="6"/>
  <c r="R11" i="16" s="1"/>
  <c r="W13" i="13" l="1"/>
  <c r="P11" i="9"/>
  <c r="X12" i="13"/>
  <c r="W16" i="13"/>
  <c r="O15" i="9"/>
  <c r="X9" i="13"/>
  <c r="Q10" i="9"/>
  <c r="P8" i="9"/>
  <c r="Y11" i="13"/>
  <c r="L15" i="9"/>
  <c r="L10" i="9"/>
  <c r="T11" i="13"/>
  <c r="T16" i="13"/>
  <c r="L13" i="9"/>
  <c r="T14"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<sst xmlns="http://schemas.openxmlformats.org/spreadsheetml/2006/main" count="654" uniqueCount="141">
  <si>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</si>
  <si>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</si>
  <si>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</si>
  <si>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</si>
  <si>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</si>
  <si>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</si>
  <si>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</si>
  <si>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</si>
  <si>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</si>
  <si>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</si>
  <si>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</si>
  <si>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</si>
  <si>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</si>
  <si>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</si>
  <si>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</si>
  <si>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</si>
  <si>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</si>
  <si>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</si>
  <si>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</si>
  <si>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</si>
  <si>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</si>
  <si>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</si>
  <si>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</si>
  <si>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</si>
  <si>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</si>
  <si>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</si>
  <si>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</si>
  <si>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</si>
  <si>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</si>
  <si>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</si>
  <si>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</si>
  <si>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</si>
  <si>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</si>
  <si>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</si>
  <si>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</si>
  <si>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</si>
  <si>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</si>
  <si>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</si>
  <si>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</si>
  <si>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</si>
  <si>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</si>
  <si>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</si>
  <si>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</si>
  <si>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</si>
  <si>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</si>
  <si>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</si>
  <si>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</si>
  <si>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</si>
  <si>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</si>
  <si>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</si>
  <si>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</si>
  <si>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</si>
  <si>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</si>
  <si>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</si>
  <si>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</si>
  <si>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</si>
  <si>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</si>
  <si>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</si>
  <si>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</si>
  <si>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</si>
  <si>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</si>
  <si>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</si>
  <si>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</si>
  <si>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</si>
  <si>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</si>
  <si>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</si>
  <si>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</si>
  <si>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</si>
  <si>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</si>
  <si>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</si>
  <si>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</si>
  <si>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</si>
  <si>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</si>
  <si>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</si>
  <si>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</si>
  <si>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</si>
  <si>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</si>
  <si>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</si>
  <si>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</si>
  <si>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</si>
  <si>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</si>
  <si>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</si>
  <si>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</si>
  <si>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</si>
  <si>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</si>
  <si>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</si>
  <si>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</si>
  <si>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</si>
  <si>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</si>
  <si>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</si>
  <si>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</si>
  <si>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</si>
  <si>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</si>
  <si>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</si>
  <si>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</si>
  <si>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</si>
  <si>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</si>
  <si>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</si>
  <si>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</si>
  <si>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</si>
  <si>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</si>
  <si>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</si>
  <si>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</si>
  <si>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</si>
  <si>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</si>
  <si>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</si>
  <si>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</si>
  <si>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</si>
  <si>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</si>
  <si>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</si>
  <si>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</si>
  <si>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</si>
  <si>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</si>
  <si>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</si>
  <si>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</si>
  <si>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</si>
  <si>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</si>
  <si>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</si>
  <si>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</si>
  <si>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</si>
  <si>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</si>
  <si>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</si>
  <si>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</si>
  <si>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</si>
  <si>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</si>
  <si>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</si>
  <si>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</si>
  <si>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</si>
  <si>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</si>
  <si>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</si>
  <si>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</si>
  <si>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</si>
  <si>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</si>
  <si>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</si>
  <si>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</si>
  <si>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</si>
  <si>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Missaukee</t>
  </si>
  <si>
    <t xml:space="preserve">1. Population at Risk (age 10 through 16) </t>
  </si>
  <si>
    <t>1/1/14 through 12/31/14</t>
  </si>
  <si>
    <t>Item 1. Population (figures for 2014): U.S. Census estimate (from "Easy Access to Juvenile Populations: 1990-2014," C. Puzzanchera, A. Sladky, and W. Kang, Office of Juvenile Justice and Delinquency Prevention, 2015, accessed January 26, 2016, http://www.ojjdp.gov/ojstatbb/ezapop/)</t>
  </si>
  <si>
    <t>Item 2.Arrest: Michigan State Police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</si>
</sst>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E+00"/>
    <numFmt numFmtId="165" formatCode="_(* #,##0_);_(* \(#,##0\);_(* &quot;-&quot;??_);_(@_)"/>
  </numFmts>
  <fonts count="36">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3">
    <xf numFmtId="0" fontId="0" fillId="0" borderId="0"/>
    <xf numFmtId="0" fontId="16" fillId="4" borderId="0" applyNumberFormat="0" applyBorder="0" applyAlignment="0" applyProtection="0"/>
    <xf numFmtId="0" fontId="1" fillId="5" borderId="0" applyNumberFormat="0" applyBorder="0" applyAlignment="0" applyProtection="0"/>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3">
    <cellStyle name="40% - Accent1" xfId="2" builtinId="31"/>
    <cellStyle name="Accent1" xfId="1" builtinId="29"/>
    <cellStyle name="Normal" xfId="0" builtinId="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Palatino Linotype" pitchFamily="18" charset="0"/>
              </a:defRPr>
            </a:pPr>
            <a:r>
              <a:rPr lang="en-US"/>
              <a:t>Percentage of Minorities at Stages of the Juvenile Justice System, County: Missaukee 2014</a:t>
            </a:r>
          </a:p>
        </c:rich>
      </c:tx>
      <c:overlay val="0"/>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dLbls>
          <c:cat>
            <c:strRef>
              <c:f>'Stacked 100%'!$A$7:$A$14</c:f>
              <c:strCache>
                <c:ptCount val="8"/>
                <c:pt idx="0">
                  <c:v>Waivers, total N=0</c:v>
                </c:pt>
                <c:pt idx="1">
                  <c:v>Confinement, total N=5</c:v>
                </c:pt>
                <c:pt idx="2">
                  <c:v>Delinquent Findings, total N=13</c:v>
                </c:pt>
                <c:pt idx="3">
                  <c:v>Petitions, total N=13</c:v>
                </c:pt>
                <c:pt idx="4">
                  <c:v>Detentions, total N=2</c:v>
                </c:pt>
                <c:pt idx="5">
                  <c:v>Referrals, total N=34</c:v>
                </c:pt>
                <c:pt idx="6">
                  <c:v>Arrests, total N=18</c:v>
                </c:pt>
                <c:pt idx="7">
                  <c:v>Population, total N=1416</c:v>
                </c:pt>
              </c:strCache>
            </c:strRef>
          </c:cat>
          <c:val>
            <c:numRef>
              <c:f>'Stacked 100%'!$B$7:$B$14</c:f>
              <c:numCache>
                <c:formatCode>0%</c:formatCode>
                <c:ptCount val="8"/>
                <c:pt idx="0">
                  <c:v>0</c:v>
                </c:pt>
                <c:pt idx="1">
                  <c:v>0</c:v>
                </c:pt>
                <c:pt idx="2">
                  <c:v>0</c:v>
                </c:pt>
                <c:pt idx="3">
                  <c:v>0</c:v>
                </c:pt>
                <c:pt idx="4">
                  <c:v>0</c:v>
                </c:pt>
                <c:pt idx="5">
                  <c:v>0</c:v>
                </c:pt>
                <c:pt idx="6">
                  <c:v>0</c:v>
                </c:pt>
                <c:pt idx="7">
                  <c:v>1.9067796610169493E-2</c:v>
                </c:pt>
              </c:numCache>
            </c:numRef>
          </c:val>
        </c:ser>
        <c:ser>
          <c:idx val="1"/>
          <c:order val="1"/>
          <c:tx>
            <c:strRef>
              <c:f>'Stacked 100%'!$C$6</c:f>
              <c:strCache>
                <c:ptCount val="1"/>
                <c:pt idx="0">
                  <c:v>Hispanic or Latino</c:v>
                </c:pt>
              </c:strCache>
            </c:strRef>
          </c:tx>
          <c:spPr>
            <a:solidFill>
              <a:srgbClr val="F05193"/>
            </a:solidFill>
          </c:spPr>
          <c:invertIfNegative val="0"/>
          <c:dLbls>
            <c:txPr>
              <a:bodyPr/>
              <a:lstStyle/>
              <a:p>
                <a:pPr>
                  <a:defRPr>
                    <a:latin typeface="Palatino Linotype" pitchFamily="18" charset="0"/>
                  </a:defRPr>
                </a:pPr>
                <a:endParaRPr lang="en-US"/>
              </a:p>
            </c:txPr>
            <c:showLegendKey val="0"/>
            <c:showVal val="1"/>
            <c:showCatName val="0"/>
            <c:showSerName val="0"/>
            <c:showPercent val="0"/>
            <c:showBubbleSize val="0"/>
            <c:showLeaderLines val="0"/>
          </c:dLbls>
          <c:cat>
            <c:strRef>
              <c:f>'Stacked 100%'!$A$7:$A$14</c:f>
              <c:strCache>
                <c:ptCount val="8"/>
                <c:pt idx="0">
                  <c:v>Waivers, total N=0</c:v>
                </c:pt>
                <c:pt idx="1">
                  <c:v>Confinement, total N=5</c:v>
                </c:pt>
                <c:pt idx="2">
                  <c:v>Delinquent Findings, total N=13</c:v>
                </c:pt>
                <c:pt idx="3">
                  <c:v>Petitions, total N=13</c:v>
                </c:pt>
                <c:pt idx="4">
                  <c:v>Detentions, total N=2</c:v>
                </c:pt>
                <c:pt idx="5">
                  <c:v>Referrals, total N=34</c:v>
                </c:pt>
                <c:pt idx="6">
                  <c:v>Arrests, total N=18</c:v>
                </c:pt>
                <c:pt idx="7">
                  <c:v>Population, total N=1416</c:v>
                </c:pt>
              </c:strCache>
            </c:strRef>
          </c:cat>
          <c:val>
            <c:numRef>
              <c:f>'Stacked 100%'!$C$7:$C$14</c:f>
              <c:numCache>
                <c:formatCode>0%</c:formatCode>
                <c:ptCount val="8"/>
                <c:pt idx="0">
                  <c:v>0</c:v>
                </c:pt>
                <c:pt idx="1">
                  <c:v>0</c:v>
                </c:pt>
                <c:pt idx="2">
                  <c:v>0</c:v>
                </c:pt>
                <c:pt idx="3">
                  <c:v>0</c:v>
                </c:pt>
                <c:pt idx="4">
                  <c:v>0</c:v>
                </c:pt>
                <c:pt idx="5">
                  <c:v>0</c:v>
                </c:pt>
                <c:pt idx="6">
                  <c:v>0</c:v>
                </c:pt>
                <c:pt idx="7">
                  <c:v>3.3898305084745763E-2</c:v>
                </c:pt>
              </c:numCache>
            </c:numRef>
          </c:val>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N=5</c:v>
                </c:pt>
                <c:pt idx="2">
                  <c:v>Delinquent Findings, total N=13</c:v>
                </c:pt>
                <c:pt idx="3">
                  <c:v>Petitions, total N=13</c:v>
                </c:pt>
                <c:pt idx="4">
                  <c:v>Detentions, total N=2</c:v>
                </c:pt>
                <c:pt idx="5">
                  <c:v>Referrals, total N=34</c:v>
                </c:pt>
                <c:pt idx="6">
                  <c:v>Arrests, total N=18</c:v>
                </c:pt>
                <c:pt idx="7">
                  <c:v>Population, total N=1416</c:v>
                </c:pt>
              </c:strCache>
            </c:strRef>
          </c:cat>
          <c:val>
            <c:numRef>
              <c:f>'Stacked 100%'!$H$7:$H$14</c:f>
              <c:numCache>
                <c:formatCode>0%</c:formatCode>
                <c:ptCount val="8"/>
                <c:pt idx="0">
                  <c:v>0</c:v>
                </c:pt>
                <c:pt idx="1">
                  <c:v>0</c:v>
                </c:pt>
                <c:pt idx="2">
                  <c:v>0</c:v>
                </c:pt>
                <c:pt idx="3">
                  <c:v>0</c:v>
                </c:pt>
                <c:pt idx="4">
                  <c:v>0</c:v>
                </c:pt>
                <c:pt idx="5">
                  <c:v>0</c:v>
                </c:pt>
                <c:pt idx="6">
                  <c:v>0</c:v>
                </c:pt>
                <c:pt idx="7">
                  <c:v>8.9773053720195351E-6</c:v>
                </c:pt>
              </c:numCache>
            </c:numRef>
          </c:val>
        </c:ser>
        <c:ser>
          <c:idx val="3"/>
          <c:order val="3"/>
          <c:tx>
            <c:strRef>
              <c:f>'Stacked 100%'!$I$6</c:f>
              <c:strCache>
                <c:ptCount val="1"/>
                <c:pt idx="0">
                  <c:v>White</c:v>
                </c:pt>
              </c:strCache>
            </c:strRef>
          </c:tx>
          <c:spPr>
            <a:solidFill>
              <a:srgbClr val="A6C9F7"/>
            </a:solidFill>
          </c:spPr>
          <c:invertIfNegative val="0"/>
          <c:dLbls>
            <c:txPr>
              <a:bodyPr/>
              <a:lstStyle/>
              <a:p>
                <a:pPr>
                  <a:defRPr>
                    <a:latin typeface="Palatino Linotype" pitchFamily="18" charset="0"/>
                  </a:defRPr>
                </a:pPr>
                <a:endParaRPr lang="en-US"/>
              </a:p>
            </c:txPr>
            <c:showLegendKey val="0"/>
            <c:showVal val="1"/>
            <c:showCatName val="0"/>
            <c:showSerName val="0"/>
            <c:showPercent val="0"/>
            <c:showBubbleSize val="0"/>
            <c:showLeaderLines val="0"/>
          </c:dLbls>
          <c:cat>
            <c:strRef>
              <c:f>'Stacked 100%'!$A$7:$A$14</c:f>
              <c:strCache>
                <c:ptCount val="8"/>
                <c:pt idx="0">
                  <c:v>Waivers, total N=0</c:v>
                </c:pt>
                <c:pt idx="1">
                  <c:v>Confinement, total N=5</c:v>
                </c:pt>
                <c:pt idx="2">
                  <c:v>Delinquent Findings, total N=13</c:v>
                </c:pt>
                <c:pt idx="3">
                  <c:v>Petitions, total N=13</c:v>
                </c:pt>
                <c:pt idx="4">
                  <c:v>Detentions, total N=2</c:v>
                </c:pt>
                <c:pt idx="5">
                  <c:v>Referrals, total N=34</c:v>
                </c:pt>
                <c:pt idx="6">
                  <c:v>Arrests, total N=18</c:v>
                </c:pt>
                <c:pt idx="7">
                  <c:v>Population, total N=1416</c:v>
                </c:pt>
              </c:strCache>
            </c:strRef>
          </c:cat>
          <c:val>
            <c:numRef>
              <c:f>'Stacked 100%'!$I$7:$I$14</c:f>
              <c:numCache>
                <c:formatCode>0%</c:formatCode>
                <c:ptCount val="8"/>
                <c:pt idx="0">
                  <c:v>0</c:v>
                </c:pt>
                <c:pt idx="1">
                  <c:v>1</c:v>
                </c:pt>
                <c:pt idx="2">
                  <c:v>1</c:v>
                </c:pt>
                <c:pt idx="3">
                  <c:v>1</c:v>
                </c:pt>
                <c:pt idx="4">
                  <c:v>1</c:v>
                </c:pt>
                <c:pt idx="5">
                  <c:v>1</c:v>
                </c:pt>
                <c:pt idx="6">
                  <c:v>1</c:v>
                </c:pt>
                <c:pt idx="7">
                  <c:v>0.93432203389830504</c:v>
                </c:pt>
              </c:numCache>
            </c:numRef>
          </c:val>
        </c:ser>
        <c:dLbls>
          <c:showLegendKey val="0"/>
          <c:showVal val="0"/>
          <c:showCatName val="0"/>
          <c:showSerName val="0"/>
          <c:showPercent val="0"/>
          <c:showBubbleSize val="0"/>
        </c:dLbls>
        <c:gapWidth val="150"/>
        <c:overlap val="100"/>
        <c:axId val="414672384"/>
        <c:axId val="41467392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N=5</c:v>
                </c:pt>
                <c:pt idx="2">
                  <c:v>Delinquent Findings, total N=13</c:v>
                </c:pt>
                <c:pt idx="3">
                  <c:v>Petitions, total N=13</c:v>
                </c:pt>
                <c:pt idx="4">
                  <c:v>Detentions, total N=2</c:v>
                </c:pt>
                <c:pt idx="5">
                  <c:v>Referrals, total N=34</c:v>
                </c:pt>
                <c:pt idx="6">
                  <c:v>Arrests, total N=18</c:v>
                </c:pt>
                <c:pt idx="7">
                  <c:v>Population, total N=1416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150"/>
        <c:overlap val="100"/>
        <c:axId val="414685440"/>
        <c:axId val="414683904"/>
      </c:barChart>
      <c:catAx>
        <c:axId val="414672384"/>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414673920"/>
        <c:crosses val="autoZero"/>
        <c:auto val="1"/>
        <c:lblAlgn val="ctr"/>
        <c:lblOffset val="100"/>
        <c:noMultiLvlLbl val="0"/>
      </c:catAx>
      <c:valAx>
        <c:axId val="41467392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414672384"/>
        <c:crosses val="autoZero"/>
        <c:crossBetween val="between"/>
      </c:valAx>
      <c:valAx>
        <c:axId val="414683904"/>
        <c:scaling>
          <c:orientation val="minMax"/>
        </c:scaling>
        <c:delete val="1"/>
        <c:axPos val="t"/>
        <c:numFmt formatCode="0%" sourceLinked="1"/>
        <c:majorTickMark val="out"/>
        <c:minorTickMark val="none"/>
        <c:tickLblPos val="nextTo"/>
        <c:crossAx val="414685440"/>
        <c:crosses val="max"/>
        <c:crossBetween val="between"/>
      </c:valAx>
      <c:catAx>
        <c:axId val="414685440"/>
        <c:scaling>
          <c:orientation val="minMax"/>
        </c:scaling>
        <c:delete val="1"/>
        <c:axPos val="l"/>
        <c:majorTickMark val="out"/>
        <c:minorTickMark val="none"/>
        <c:tickLblPos val="nextTo"/>
        <c:crossAx val="414683904"/>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zoomScaleNormal="100" workbookViewId="0">
      <selection activeCell="J19" sqref="J19"/>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7" t="s">
        <v>1</v>
      </c>
      <c r="C1" s="177"/>
      <c r="D1" s="177"/>
      <c r="E1" s="177"/>
      <c r="F1" s="177"/>
      <c r="G1" s="177"/>
      <c r="H1" s="177"/>
    </row>
    <row r="2" spans="1:11" ht="15" customHeight="1">
      <c r="A2" s="3" t="s">
        <v>122</v>
      </c>
      <c r="B2" s="4"/>
      <c r="C2" s="4"/>
      <c r="D2" s="4"/>
      <c r="E2" s="4"/>
      <c r="F2" s="4"/>
    </row>
    <row r="3" spans="1:11" ht="15" customHeight="1">
      <c r="A3" s="142" t="s">
        <v>136</v>
      </c>
      <c r="B3" s="4"/>
      <c r="C3" s="5" t="s">
        <v>107</v>
      </c>
      <c r="D3" s="6"/>
      <c r="E3" s="6"/>
      <c r="F3" s="6"/>
      <c r="G3" s="7"/>
      <c r="H3" s="7"/>
    </row>
    <row r="4" spans="1:11" ht="15" customHeight="1">
      <c r="A4" s="4"/>
      <c r="B4" s="4"/>
      <c r="C4" s="178" t="s">
        <v>138</v>
      </c>
      <c r="D4" s="178"/>
      <c r="E4" s="178"/>
      <c r="F4" s="178"/>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1416</v>
      </c>
      <c r="C6" s="11">
        <v>1323</v>
      </c>
      <c r="D6" s="11">
        <v>27</v>
      </c>
      <c r="E6" s="11">
        <v>48</v>
      </c>
      <c r="F6" s="11">
        <v>10</v>
      </c>
      <c r="G6" s="11">
        <v>0</v>
      </c>
      <c r="H6" s="11">
        <v>8</v>
      </c>
      <c r="I6" s="11"/>
      <c r="J6" s="91">
        <f>SUM(D6:I6)</f>
        <v>93</v>
      </c>
      <c r="K6" s="92"/>
    </row>
    <row r="7" spans="1:11" ht="15.75" customHeight="1" thickBot="1">
      <c r="A7" s="10" t="s">
        <v>8</v>
      </c>
      <c r="B7" s="11">
        <f t="shared" ref="B7:B15" si="0">SUM(C7:I7)+K7</f>
        <v>18</v>
      </c>
      <c r="C7" s="11">
        <v>18</v>
      </c>
      <c r="D7" s="11"/>
      <c r="E7" s="11"/>
      <c r="F7" s="11"/>
      <c r="G7" s="11"/>
      <c r="H7" s="11"/>
      <c r="I7" s="11"/>
      <c r="J7" s="91">
        <f t="shared" ref="J7:J15" si="1">SUM(D7:I7)</f>
        <v>0</v>
      </c>
      <c r="K7" s="92"/>
    </row>
    <row r="8" spans="1:11" ht="15.75" customHeight="1" thickBot="1">
      <c r="A8" s="10" t="s">
        <v>9</v>
      </c>
      <c r="B8" s="11">
        <f t="shared" si="0"/>
        <v>34</v>
      </c>
      <c r="C8" s="11">
        <v>34</v>
      </c>
      <c r="D8" s="11"/>
      <c r="E8" s="11"/>
      <c r="F8" s="11"/>
      <c r="G8" s="11"/>
      <c r="H8" s="11"/>
      <c r="I8" s="11"/>
      <c r="J8" s="91">
        <f t="shared" si="1"/>
        <v>0</v>
      </c>
      <c r="K8" s="92"/>
    </row>
    <row r="9" spans="1:11" ht="15.75" customHeight="1" thickBot="1">
      <c r="A9" s="10" t="s">
        <v>10</v>
      </c>
      <c r="B9" s="11">
        <f t="shared" si="0"/>
        <v>2</v>
      </c>
      <c r="C9" s="11">
        <v>2</v>
      </c>
      <c r="D9" s="11"/>
      <c r="E9" s="11"/>
      <c r="F9" s="11"/>
      <c r="G9" s="11"/>
      <c r="H9" s="11"/>
      <c r="I9" s="11"/>
      <c r="J9" s="91">
        <f t="shared" si="1"/>
        <v>0</v>
      </c>
      <c r="K9" s="92"/>
    </row>
    <row r="10" spans="1:11" ht="15.75" customHeight="1" thickBot="1">
      <c r="A10" s="10" t="s">
        <v>11</v>
      </c>
      <c r="B10" s="11">
        <f t="shared" si="0"/>
        <v>2</v>
      </c>
      <c r="C10" s="11">
        <v>2</v>
      </c>
      <c r="D10" s="11"/>
      <c r="E10" s="11"/>
      <c r="F10" s="11"/>
      <c r="G10" s="11"/>
      <c r="H10" s="11"/>
      <c r="I10" s="11"/>
      <c r="J10" s="91">
        <f t="shared" si="1"/>
        <v>0</v>
      </c>
      <c r="K10" s="92"/>
    </row>
    <row r="11" spans="1:11" ht="15.75" customHeight="1" thickBot="1">
      <c r="A11" s="10" t="s">
        <v>12</v>
      </c>
      <c r="B11" s="11">
        <f t="shared" si="0"/>
        <v>13</v>
      </c>
      <c r="C11" s="11">
        <v>13</v>
      </c>
      <c r="D11" s="11"/>
      <c r="E11" s="11"/>
      <c r="F11" s="11"/>
      <c r="G11" s="11"/>
      <c r="H11" s="11"/>
      <c r="I11" s="11"/>
      <c r="J11" s="91">
        <f t="shared" si="1"/>
        <v>0</v>
      </c>
      <c r="K11" s="92"/>
    </row>
    <row r="12" spans="1:11" ht="15.75" customHeight="1" thickBot="1">
      <c r="A12" s="10" t="s">
        <v>13</v>
      </c>
      <c r="B12" s="11">
        <f t="shared" si="0"/>
        <v>13</v>
      </c>
      <c r="C12" s="11">
        <v>13</v>
      </c>
      <c r="D12" s="11"/>
      <c r="E12" s="11"/>
      <c r="F12" s="11"/>
      <c r="G12" s="11"/>
      <c r="H12" s="11"/>
      <c r="I12" s="11"/>
      <c r="J12" s="91">
        <f t="shared" si="1"/>
        <v>0</v>
      </c>
      <c r="K12" s="92"/>
    </row>
    <row r="13" spans="1:11" ht="15.75" customHeight="1" thickBot="1">
      <c r="A13" s="10" t="s">
        <v>133</v>
      </c>
      <c r="B13" s="11">
        <f t="shared" si="0"/>
        <v>18</v>
      </c>
      <c r="C13" s="11">
        <v>18</v>
      </c>
      <c r="D13" s="11"/>
      <c r="E13" s="11"/>
      <c r="F13" s="11"/>
      <c r="G13" s="11"/>
      <c r="H13" s="11"/>
      <c r="I13" s="11"/>
      <c r="J13" s="91">
        <f t="shared" si="1"/>
        <v>0</v>
      </c>
      <c r="K13" s="92"/>
    </row>
    <row r="14" spans="1:11" ht="26.25" customHeight="1" thickBot="1">
      <c r="A14" s="10" t="s">
        <v>123</v>
      </c>
      <c r="B14" s="11">
        <f t="shared" si="0"/>
        <v>5</v>
      </c>
      <c r="C14" s="11">
        <v>5</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6" t="s">
        <v>139</v>
      </c>
      <c r="B19" s="176"/>
      <c r="C19" s="8"/>
      <c r="D19" s="176" t="s">
        <v>140</v>
      </c>
      <c r="E19" s="176"/>
      <c r="F19" s="176"/>
      <c r="G19" s="176"/>
      <c r="H19" s="176"/>
      <c r="I19" s="176"/>
    </row>
    <row r="20" spans="1:9" ht="15" customHeight="1">
      <c r="A20" s="176" t="s">
        <v>108</v>
      </c>
      <c r="B20" s="176"/>
      <c r="C20" s="8"/>
      <c r="D20" s="176" t="s">
        <v>109</v>
      </c>
      <c r="E20" s="176"/>
      <c r="F20" s="176"/>
      <c r="G20" s="176"/>
      <c r="H20" s="176"/>
      <c r="I20" s="176"/>
    </row>
    <row r="21" spans="1:9" ht="15" customHeight="1">
      <c r="A21" s="176" t="s">
        <v>110</v>
      </c>
      <c r="B21" s="176"/>
      <c r="C21" s="8"/>
      <c r="D21" s="176" t="s">
        <v>111</v>
      </c>
      <c r="E21" s="176"/>
      <c r="F21" s="176"/>
      <c r="G21" s="176"/>
      <c r="H21" s="176"/>
      <c r="I21" s="176"/>
    </row>
    <row r="22" spans="1:9" ht="15" customHeight="1">
      <c r="A22" s="176" t="s">
        <v>112</v>
      </c>
      <c r="B22" s="176"/>
      <c r="C22" s="8"/>
      <c r="D22" s="176" t="s">
        <v>113</v>
      </c>
      <c r="E22" s="176"/>
      <c r="F22" s="176"/>
      <c r="G22" s="176"/>
      <c r="H22" s="176"/>
      <c r="I22" s="176"/>
    </row>
    <row r="23" spans="1:9" ht="15" customHeight="1">
      <c r="A23" s="176" t="s">
        <v>114</v>
      </c>
      <c r="B23" s="176"/>
      <c r="C23" s="8"/>
      <c r="D23" s="176" t="s">
        <v>115</v>
      </c>
      <c r="E23" s="176"/>
      <c r="F23" s="176"/>
      <c r="G23" s="176"/>
      <c r="H23" s="176"/>
      <c r="I23" s="176"/>
    </row>
    <row r="24" spans="1:9" ht="15" customHeight="1">
      <c r="A24" s="8"/>
      <c r="B24" s="8"/>
      <c r="C24" s="8"/>
      <c r="D24" s="8"/>
      <c r="E24" s="8"/>
      <c r="F24" s="8"/>
      <c r="G24" s="8"/>
      <c r="H24" s="8"/>
      <c r="I24" s="8"/>
    </row>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9" t="str">
        <f>'Data Entry'!I5</f>
        <v>Biracial or Other</v>
      </c>
      <c r="G1" s="219"/>
      <c r="H1" s="219"/>
      <c r="I1" s="219"/>
      <c r="J1" s="219"/>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Missaukee</v>
      </c>
      <c r="C3" s="22"/>
      <c r="D3" s="22"/>
      <c r="E3" s="22"/>
      <c r="F3" s="22"/>
      <c r="G3" s="7"/>
      <c r="H3" s="7"/>
      <c r="I3" s="7"/>
      <c r="J3" s="7"/>
      <c r="K3" s="7"/>
      <c r="N3" s="218" t="s">
        <v>31</v>
      </c>
      <c r="O3" s="218"/>
      <c r="P3" s="218"/>
      <c r="Q3" s="218"/>
      <c r="R3" s="218"/>
      <c r="S3" s="218"/>
      <c r="T3" s="218"/>
      <c r="U3" s="218"/>
    </row>
    <row r="4" spans="2:21" ht="8.25" customHeight="1">
      <c r="B4" s="4"/>
      <c r="C4" s="23"/>
      <c r="D4" s="23"/>
      <c r="E4" s="23"/>
      <c r="F4" s="23"/>
      <c r="G4" s="8"/>
      <c r="H4" s="8"/>
      <c r="I4" s="8"/>
      <c r="N4" s="218"/>
      <c r="O4" s="218"/>
      <c r="P4" s="218"/>
      <c r="Q4" s="218"/>
      <c r="R4" s="218"/>
      <c r="S4" s="218"/>
      <c r="T4" s="218"/>
      <c r="U4" s="218"/>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 through 16) </v>
      </c>
      <c r="C6" s="33">
        <f>'Data Entry'!C6</f>
        <v>1323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13.605442176870749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18</v>
      </c>
      <c r="Q7" s="42">
        <f>C6-C7</f>
        <v>1305</v>
      </c>
      <c r="R7" s="42">
        <f t="shared" ref="R7:R15" si="5">SUM(N7:Q7)</f>
        <v>1323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34</v>
      </c>
      <c r="D8" s="34">
        <f>IF((AND(C67&gt;0,C8&gt;0)),(C8/C67),0)</f>
        <v>188.88888888888889</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34</v>
      </c>
      <c r="Q8" s="42">
        <f>(C$67*L67)-C8</f>
        <v>-16</v>
      </c>
      <c r="R8" s="42">
        <f t="shared" si="5"/>
        <v>18.049999999999997</v>
      </c>
      <c r="S8" s="30">
        <f t="shared" si="6"/>
        <v>52.164500000000004</v>
      </c>
      <c r="T8" s="30">
        <f t="shared" si="7"/>
        <v>-488.07</v>
      </c>
      <c r="U8" s="31">
        <f t="shared" si="8"/>
        <v>-0.10687913618948103</v>
      </c>
    </row>
    <row r="9" spans="2:21" ht="18" customHeight="1">
      <c r="B9" s="32" t="str">
        <f>'Data Entry'!A9</f>
        <v xml:space="preserve">4. Cases Diverted </v>
      </c>
      <c r="C9" s="33">
        <f>'Data Entry'!C9</f>
        <v>2</v>
      </c>
      <c r="D9" s="34">
        <f>IF((AND(C68&gt;0,C9&gt;0)),((C9/C68)),0)</f>
        <v>5.8823529411764701</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32</v>
      </c>
      <c r="R9" s="42">
        <f t="shared" si="5"/>
        <v>34</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5.8823529411764701</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32</v>
      </c>
      <c r="R10" s="42">
        <f t="shared" si="5"/>
        <v>34</v>
      </c>
      <c r="S10" s="30">
        <f t="shared" si="6"/>
        <v>0</v>
      </c>
      <c r="T10" s="30">
        <f t="shared" si="7"/>
        <v>0</v>
      </c>
      <c r="U10" s="31" t="str">
        <f t="shared" si="8"/>
        <v>- -</v>
      </c>
    </row>
    <row r="11" spans="2:21" ht="18" customHeight="1">
      <c r="B11" s="32" t="str">
        <f>'Data Entry'!A11</f>
        <v>6. Cases Petitioned (Charge Filed)</v>
      </c>
      <c r="C11" s="33">
        <f>'Data Entry'!C11</f>
        <v>13</v>
      </c>
      <c r="D11" s="34">
        <f>IF(((AND(C68&gt;0,C11&gt;0))),(C11/(C68)),0)</f>
        <v>38.235294117647058</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v>
      </c>
      <c r="Q11" s="42">
        <f>(C$68*L68)-C11</f>
        <v>21</v>
      </c>
      <c r="R11" s="42">
        <f t="shared" si="5"/>
        <v>34</v>
      </c>
      <c r="S11" s="30">
        <f t="shared" si="6"/>
        <v>0</v>
      </c>
      <c r="T11" s="30">
        <f t="shared" si="7"/>
        <v>0</v>
      </c>
      <c r="U11" s="31" t="str">
        <f t="shared" si="8"/>
        <v>- -</v>
      </c>
    </row>
    <row r="12" spans="2:21" ht="18" customHeight="1">
      <c r="B12" s="32" t="str">
        <f>'Data Entry'!A12</f>
        <v>7. Cases Resulting in Delinquent Findings</v>
      </c>
      <c r="C12" s="33">
        <f>'Data Entry'!C12</f>
        <v>13</v>
      </c>
      <c r="D12" s="34">
        <f>IF(((AND(C69&gt;0,C12&gt;0))),(C12/(C69)),0)</f>
        <v>100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v>
      </c>
      <c r="Q12" s="42">
        <f>(C69*L69)-C12</f>
        <v>0</v>
      </c>
      <c r="R12" s="42">
        <f t="shared" si="5"/>
        <v>13</v>
      </c>
      <c r="S12" s="30">
        <f t="shared" si="6"/>
        <v>0</v>
      </c>
      <c r="T12" s="30">
        <f t="shared" si="7"/>
        <v>0</v>
      </c>
      <c r="U12" s="31" t="str">
        <f t="shared" si="8"/>
        <v>- -</v>
      </c>
    </row>
    <row r="13" spans="2:21" ht="18" customHeight="1">
      <c r="B13" s="32" t="str">
        <f>'Data Entry'!A13</f>
        <v>8. Cases Resulting in Probation Placement</v>
      </c>
      <c r="C13" s="33">
        <f>'Data Entry'!C13</f>
        <v>18</v>
      </c>
      <c r="D13" s="34">
        <f>IF(((AND(C70&gt;0,C13&gt;0))),(C13/(C70)),0)</f>
        <v>138.46153846153845</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18</v>
      </c>
      <c r="Q13" s="42">
        <f>(C70*L70)-C13</f>
        <v>-5</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38.46153846153846</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8</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7" t="s">
        <v>79</v>
      </c>
      <c r="C40" s="217"/>
      <c r="D40" s="217"/>
      <c r="E40" s="217"/>
      <c r="F40" s="217"/>
      <c r="G40" s="217"/>
      <c r="H40" s="217"/>
      <c r="I40" s="217"/>
      <c r="J40" s="217"/>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1.323</v>
      </c>
      <c r="D42" s="56">
        <f>E6/1000</f>
        <v>0</v>
      </c>
      <c r="E42" s="56">
        <f>MAX(C42:D42)</f>
        <v>1.323</v>
      </c>
      <c r="G42" s="1" t="str">
        <f>B42</f>
        <v>per 1000 youth</v>
      </c>
      <c r="L42" s="57">
        <v>1000</v>
      </c>
      <c r="M42" s="57"/>
      <c r="R42" s="49"/>
    </row>
    <row r="43" spans="2:18" ht="15" hidden="1" customHeight="1">
      <c r="B43" s="49" t="s">
        <v>87</v>
      </c>
      <c r="C43" s="56">
        <f>C7/100</f>
        <v>0.18</v>
      </c>
      <c r="D43" s="56">
        <f>E7/100</f>
        <v>0</v>
      </c>
      <c r="E43" s="56">
        <f>MAX(C43:D43,0)</f>
        <v>0.18</v>
      </c>
      <c r="G43" s="1" t="str">
        <f>B43</f>
        <v>per 100 arrests</v>
      </c>
      <c r="L43" s="57">
        <v>100</v>
      </c>
      <c r="M43" s="57"/>
      <c r="R43" s="49"/>
    </row>
    <row r="44" spans="2:18" ht="15" hidden="1" customHeight="1">
      <c r="B44" s="49" t="s">
        <v>88</v>
      </c>
      <c r="C44" s="56">
        <f>C8/100</f>
        <v>0.34</v>
      </c>
      <c r="D44" s="56">
        <f>E8/100</f>
        <v>0</v>
      </c>
      <c r="E44" s="56">
        <f>MAX(C44:D44,0)</f>
        <v>0.34</v>
      </c>
      <c r="G44" s="1" t="str">
        <f>B44</f>
        <v>per 100 referrals</v>
      </c>
      <c r="L44" s="57">
        <v>100</v>
      </c>
      <c r="M44" s="57"/>
      <c r="R44" s="49"/>
    </row>
    <row r="45" spans="2:18" ht="15" hidden="1" customHeight="1">
      <c r="B45" s="49" t="s">
        <v>89</v>
      </c>
      <c r="C45" s="49">
        <f>C11/100</f>
        <v>0.13</v>
      </c>
      <c r="D45" s="49">
        <f>E11/100</f>
        <v>0</v>
      </c>
      <c r="E45" s="56">
        <f>MAX(C45:D45,0)</f>
        <v>0.13</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1.323</v>
      </c>
      <c r="D48" s="56">
        <f>D42</f>
        <v>0</v>
      </c>
      <c r="E48" s="56">
        <f>MAX(C48:D48)</f>
        <v>1.323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c r="B50" s="49" t="str">
        <f t="shared" si="9"/>
        <v>per 100 referrals</v>
      </c>
      <c r="C50" s="49">
        <f t="shared" si="9"/>
        <v>0.34</v>
      </c>
      <c r="D50" s="49">
        <f t="shared" si="9"/>
        <v>0</v>
      </c>
      <c r="E50" s="49">
        <f>MAX(C50:D50)</f>
        <v>0.34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1.323</v>
      </c>
      <c r="D54" s="56">
        <f>D48</f>
        <v>0</v>
      </c>
      <c r="E54" s="56">
        <f>MAX(C54:D54)</f>
        <v>1.323</v>
      </c>
      <c r="G54" s="1" t="str">
        <f>G48</f>
        <v>per 1000 youth</v>
      </c>
      <c r="L54" s="58">
        <f>L48</f>
        <v>1000</v>
      </c>
      <c r="M54" s="58"/>
    </row>
    <row r="55" spans="2:18" ht="15" hidden="1" customHeight="1">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c r="B56" s="49" t="str">
        <f t="shared" si="10"/>
        <v>per 100 referrals</v>
      </c>
      <c r="C56" s="49">
        <f t="shared" si="10"/>
        <v>0.34</v>
      </c>
      <c r="D56" s="49">
        <f t="shared" si="10"/>
        <v>0</v>
      </c>
      <c r="E56" s="49">
        <f>MAX(C56:D56)</f>
        <v>0.34</v>
      </c>
      <c r="G56" s="1" t="str">
        <f>G50</f>
        <v>per 100 referrals</v>
      </c>
      <c r="L56" s="58">
        <f>IF(($E50&gt;0),L50,L49)</f>
        <v>100</v>
      </c>
      <c r="M56" s="58"/>
    </row>
    <row r="57" spans="2:18" ht="15" hidden="1" customHeight="1">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1.323</v>
      </c>
      <c r="D60" s="56">
        <f>D54</f>
        <v>0</v>
      </c>
      <c r="E60" s="56">
        <f>MAX(C60:D60)</f>
        <v>1.323</v>
      </c>
      <c r="G60" s="1" t="str">
        <f>G54</f>
        <v>per 1000 youth</v>
      </c>
      <c r="L60" s="58">
        <f>L54</f>
        <v>1000</v>
      </c>
      <c r="M60" s="58"/>
    </row>
    <row r="61" spans="2:18" ht="15" hidden="1" customHeight="1">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c r="B62" s="49" t="str">
        <f t="shared" si="11"/>
        <v>per 100 referrals</v>
      </c>
      <c r="C62" s="49">
        <f t="shared" si="11"/>
        <v>0.34</v>
      </c>
      <c r="D62" s="49">
        <f t="shared" si="11"/>
        <v>0</v>
      </c>
      <c r="E62" s="49">
        <f>MAX(C62:D62)</f>
        <v>0.34</v>
      </c>
      <c r="G62" s="1" t="str">
        <f>G56</f>
        <v>per 100 referrals</v>
      </c>
      <c r="L62" s="58">
        <f>IF(($E56&gt;0),L56,L55)</f>
        <v>100</v>
      </c>
      <c r="M62" s="58"/>
    </row>
    <row r="63" spans="2:18" ht="15" hidden="1" customHeight="1">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1.323</v>
      </c>
      <c r="D66" s="56">
        <f>D60</f>
        <v>0</v>
      </c>
      <c r="E66" s="56">
        <f>MAX(C66:D66)</f>
        <v>1.323</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c r="B68" s="49" t="str">
        <f t="shared" si="12"/>
        <v>per 100 referrals</v>
      </c>
      <c r="C68" s="49">
        <f t="shared" si="12"/>
        <v>0.34</v>
      </c>
      <c r="D68" s="49">
        <f t="shared" si="12"/>
        <v>0</v>
      </c>
      <c r="E68" s="49">
        <f>MAX(C68:D68)</f>
        <v>0.34</v>
      </c>
      <c r="G68" s="1" t="str">
        <f>G62</f>
        <v>per 100 referrals</v>
      </c>
      <c r="L68" s="58">
        <f>IF(($E62&gt;0),L62,L61)</f>
        <v>100</v>
      </c>
      <c r="M68" s="58">
        <f>IF((B68=G68),1,2)</f>
        <v>1</v>
      </c>
    </row>
    <row r="69" spans="2:13" ht="15" hidden="1" customHeight="1">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9" t="str">
        <f>'Data Entry'!J5</f>
        <v>All Minorities</v>
      </c>
      <c r="G1" s="219"/>
      <c r="H1" s="219"/>
      <c r="I1" s="219"/>
      <c r="J1" s="219"/>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Missaukee</v>
      </c>
      <c r="C3" s="22"/>
      <c r="D3" s="22"/>
      <c r="E3" s="22"/>
      <c r="F3" s="22"/>
      <c r="G3" s="7"/>
      <c r="H3" s="7"/>
      <c r="I3" s="7"/>
      <c r="J3" s="7"/>
      <c r="K3" s="7"/>
      <c r="N3" s="218" t="s">
        <v>31</v>
      </c>
      <c r="O3" s="218"/>
      <c r="P3" s="218"/>
      <c r="Q3" s="218"/>
      <c r="R3" s="218"/>
      <c r="S3" s="218"/>
      <c r="T3" s="218"/>
      <c r="U3" s="218"/>
    </row>
    <row r="4" spans="2:21" ht="8.25" customHeight="1">
      <c r="B4" s="4"/>
      <c r="C4" s="23"/>
      <c r="D4" s="23"/>
      <c r="E4" s="23"/>
      <c r="F4" s="23"/>
      <c r="G4" s="8"/>
      <c r="H4" s="8"/>
      <c r="I4" s="8"/>
      <c r="N4" s="218"/>
      <c r="O4" s="218"/>
      <c r="P4" s="218"/>
      <c r="Q4" s="218"/>
      <c r="R4" s="218"/>
      <c r="S4" s="218"/>
      <c r="T4" s="218"/>
      <c r="U4" s="218"/>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 through 16) </v>
      </c>
      <c r="C6" s="33">
        <f>'Data Entry'!C6</f>
        <v>1323</v>
      </c>
      <c r="D6" s="34"/>
      <c r="E6" s="33">
        <f>'Data Entry'!J6</f>
        <v>93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13.605442176870749</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93</v>
      </c>
      <c r="P7" s="42">
        <f t="shared" ref="P7:P15" si="4">C7</f>
        <v>18</v>
      </c>
      <c r="Q7" s="42">
        <f>C6-C7</f>
        <v>1305</v>
      </c>
      <c r="R7" s="42">
        <f t="shared" ref="R7:R15" si="5">SUM(N7:Q7)</f>
        <v>1416</v>
      </c>
      <c r="S7" s="30">
        <f t="shared" ref="S7:S15" si="6">R7*((((N7*Q7)-(O7*P7))^2))</f>
        <v>3968022816</v>
      </c>
      <c r="T7" s="30">
        <f t="shared" ref="T7:T15" si="7">(N7+O7)*(P7+Q7)*(N7+P7)*(O7+Q7)</f>
        <v>3096153396</v>
      </c>
      <c r="U7" s="31">
        <f t="shared" ref="U7:U15" si="8">IF((S7&gt;0),S7/T7,"- -")</f>
        <v>1.2815976175878077</v>
      </c>
    </row>
    <row r="8" spans="2:21" ht="18" customHeight="1">
      <c r="B8" s="32" t="str">
        <f>'Data Entry'!A8</f>
        <v>3. Refer to Juvenile Court</v>
      </c>
      <c r="C8" s="33">
        <f>'Data Entry'!C8</f>
        <v>34</v>
      </c>
      <c r="D8" s="34">
        <f>IF((AND(C67&gt;0,C8&gt;0)),(C8/C67),0)</f>
        <v>188.88888888888889</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34</v>
      </c>
      <c r="Q8" s="42">
        <f>(C$67*L67)-C8</f>
        <v>-16</v>
      </c>
      <c r="R8" s="42">
        <f t="shared" si="5"/>
        <v>18.049999999999997</v>
      </c>
      <c r="S8" s="30">
        <f t="shared" si="6"/>
        <v>52.164500000000004</v>
      </c>
      <c r="T8" s="30">
        <f t="shared" si="7"/>
        <v>-488.07</v>
      </c>
      <c r="U8" s="31">
        <f t="shared" si="8"/>
        <v>-0.10687913618948103</v>
      </c>
    </row>
    <row r="9" spans="2:21" ht="18" customHeight="1">
      <c r="B9" s="32" t="str">
        <f>'Data Entry'!A9</f>
        <v xml:space="preserve">4. Cases Diverted </v>
      </c>
      <c r="C9" s="33">
        <f>'Data Entry'!C9</f>
        <v>2</v>
      </c>
      <c r="D9" s="34">
        <f>IF((AND(C68&gt;0,C9&gt;0)),((C9/C68)),0)</f>
        <v>5.8823529411764701</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32</v>
      </c>
      <c r="R9" s="42">
        <f t="shared" si="5"/>
        <v>34</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5.8823529411764701</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32</v>
      </c>
      <c r="R10" s="42">
        <f t="shared" si="5"/>
        <v>34</v>
      </c>
      <c r="S10" s="30">
        <f t="shared" si="6"/>
        <v>0</v>
      </c>
      <c r="T10" s="30">
        <f t="shared" si="7"/>
        <v>0</v>
      </c>
      <c r="U10" s="31" t="str">
        <f t="shared" si="8"/>
        <v>- -</v>
      </c>
    </row>
    <row r="11" spans="2:21" ht="18" customHeight="1">
      <c r="B11" s="32" t="str">
        <f>'Data Entry'!A11</f>
        <v>6. Cases Petitioned (Charge Filed)</v>
      </c>
      <c r="C11" s="33">
        <f>'Data Entry'!C11</f>
        <v>13</v>
      </c>
      <c r="D11" s="34">
        <f>IF(((AND(C68&gt;0,C11&gt;0))),(C11/(C68)),0)</f>
        <v>38.235294117647058</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v>
      </c>
      <c r="Q11" s="42">
        <f>(C$68*L68)-C11</f>
        <v>21</v>
      </c>
      <c r="R11" s="42">
        <f t="shared" si="5"/>
        <v>34</v>
      </c>
      <c r="S11" s="30">
        <f t="shared" si="6"/>
        <v>0</v>
      </c>
      <c r="T11" s="30">
        <f t="shared" si="7"/>
        <v>0</v>
      </c>
      <c r="U11" s="31" t="str">
        <f t="shared" si="8"/>
        <v>- -</v>
      </c>
    </row>
    <row r="12" spans="2:21" ht="18" customHeight="1">
      <c r="B12" s="32" t="str">
        <f>'Data Entry'!A12</f>
        <v>7. Cases Resulting in Delinquent Findings</v>
      </c>
      <c r="C12" s="33">
        <f>'Data Entry'!C12</f>
        <v>13</v>
      </c>
      <c r="D12" s="34">
        <f>IF(((AND(C69&gt;0,C12&gt;0))),(C12/(C69)),0)</f>
        <v>100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v>
      </c>
      <c r="Q12" s="42">
        <f>(C69*L69)-C12</f>
        <v>0</v>
      </c>
      <c r="R12" s="42">
        <f t="shared" si="5"/>
        <v>13</v>
      </c>
      <c r="S12" s="30">
        <f t="shared" si="6"/>
        <v>0</v>
      </c>
      <c r="T12" s="30">
        <f t="shared" si="7"/>
        <v>0</v>
      </c>
      <c r="U12" s="31" t="str">
        <f t="shared" si="8"/>
        <v>- -</v>
      </c>
    </row>
    <row r="13" spans="2:21" ht="18" customHeight="1">
      <c r="B13" s="32" t="str">
        <f>'Data Entry'!A13</f>
        <v>8. Cases Resulting in Probation Placement</v>
      </c>
      <c r="C13" s="33">
        <f>'Data Entry'!C13</f>
        <v>18</v>
      </c>
      <c r="D13" s="34">
        <f>IF(((AND(C70&gt;0,C13&gt;0))),(C13/(C70)),0)</f>
        <v>138.46153846153845</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18</v>
      </c>
      <c r="Q13" s="42">
        <f>(C70*L70)-C13</f>
        <v>-5</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38.46153846153846</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8</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7" t="s">
        <v>79</v>
      </c>
      <c r="C40" s="217"/>
      <c r="D40" s="217"/>
      <c r="E40" s="217"/>
      <c r="F40" s="217"/>
      <c r="G40" s="217"/>
      <c r="H40" s="217"/>
      <c r="I40" s="217"/>
      <c r="J40" s="217"/>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1.323</v>
      </c>
      <c r="D42" s="56">
        <f>E6/1000</f>
        <v>9.2999999999999999E-2</v>
      </c>
      <c r="E42" s="56">
        <f>MAX(C42:D42)</f>
        <v>1.323</v>
      </c>
      <c r="G42" s="1" t="str">
        <f>B42</f>
        <v>per 1000 youth</v>
      </c>
      <c r="L42" s="57">
        <v>1000</v>
      </c>
      <c r="M42" s="57"/>
      <c r="R42" s="49"/>
    </row>
    <row r="43" spans="2:18" ht="15" hidden="1" customHeight="1">
      <c r="B43" s="49" t="s">
        <v>87</v>
      </c>
      <c r="C43" s="56">
        <f>C7/100</f>
        <v>0.18</v>
      </c>
      <c r="D43" s="56">
        <f>E7/100</f>
        <v>0</v>
      </c>
      <c r="E43" s="56">
        <f>MAX(C43:D43,0)</f>
        <v>0.18</v>
      </c>
      <c r="G43" s="1" t="str">
        <f>B43</f>
        <v>per 100 arrests</v>
      </c>
      <c r="L43" s="57">
        <v>100</v>
      </c>
      <c r="M43" s="57"/>
      <c r="R43" s="49"/>
    </row>
    <row r="44" spans="2:18" ht="15" hidden="1" customHeight="1">
      <c r="B44" s="49" t="s">
        <v>88</v>
      </c>
      <c r="C44" s="56">
        <f>C8/100</f>
        <v>0.34</v>
      </c>
      <c r="D44" s="56">
        <f>E8/100</f>
        <v>0</v>
      </c>
      <c r="E44" s="56">
        <f>MAX(C44:D44,0)</f>
        <v>0.34</v>
      </c>
      <c r="G44" s="1" t="str">
        <f>B44</f>
        <v>per 100 referrals</v>
      </c>
      <c r="L44" s="57">
        <v>100</v>
      </c>
      <c r="M44" s="57"/>
      <c r="R44" s="49"/>
    </row>
    <row r="45" spans="2:18" ht="15" hidden="1" customHeight="1">
      <c r="B45" s="49" t="s">
        <v>89</v>
      </c>
      <c r="C45" s="49">
        <f>C11/100</f>
        <v>0.13</v>
      </c>
      <c r="D45" s="49">
        <f>E11/100</f>
        <v>0</v>
      </c>
      <c r="E45" s="56">
        <f>MAX(C45:D45,0)</f>
        <v>0.13</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1.323</v>
      </c>
      <c r="D48" s="56">
        <f>D42</f>
        <v>9.2999999999999999E-2</v>
      </c>
      <c r="E48" s="56">
        <f>MAX(C48:D48)</f>
        <v>1.323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c r="B50" s="49" t="str">
        <f t="shared" si="9"/>
        <v>per 100 referrals</v>
      </c>
      <c r="C50" s="49">
        <f t="shared" si="9"/>
        <v>0.34</v>
      </c>
      <c r="D50" s="49">
        <f t="shared" si="9"/>
        <v>0</v>
      </c>
      <c r="E50" s="49">
        <f>MAX(C50:D50)</f>
        <v>0.34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1.323</v>
      </c>
      <c r="D54" s="56">
        <f>D48</f>
        <v>9.2999999999999999E-2</v>
      </c>
      <c r="E54" s="56">
        <f>MAX(C54:D54)</f>
        <v>1.323</v>
      </c>
      <c r="G54" s="1" t="str">
        <f>G48</f>
        <v>per 1000 youth</v>
      </c>
      <c r="L54" s="58">
        <f>L48</f>
        <v>1000</v>
      </c>
      <c r="M54" s="58"/>
    </row>
    <row r="55" spans="2:18" ht="15" hidden="1" customHeight="1">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c r="B56" s="49" t="str">
        <f t="shared" si="10"/>
        <v>per 100 referrals</v>
      </c>
      <c r="C56" s="49">
        <f t="shared" si="10"/>
        <v>0.34</v>
      </c>
      <c r="D56" s="49">
        <f t="shared" si="10"/>
        <v>0</v>
      </c>
      <c r="E56" s="49">
        <f>MAX(C56:D56)</f>
        <v>0.34</v>
      </c>
      <c r="G56" s="1" t="str">
        <f>G50</f>
        <v>per 100 referrals</v>
      </c>
      <c r="L56" s="58">
        <f>IF(($E50&gt;0),L50,L49)</f>
        <v>100</v>
      </c>
      <c r="M56" s="58"/>
    </row>
    <row r="57" spans="2:18" ht="15" hidden="1" customHeight="1">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1.323</v>
      </c>
      <c r="D60" s="56">
        <f>D54</f>
        <v>9.2999999999999999E-2</v>
      </c>
      <c r="E60" s="56">
        <f>MAX(C60:D60)</f>
        <v>1.323</v>
      </c>
      <c r="G60" s="1" t="str">
        <f>G54</f>
        <v>per 1000 youth</v>
      </c>
      <c r="L60" s="58">
        <f>L54</f>
        <v>1000</v>
      </c>
      <c r="M60" s="58"/>
    </row>
    <row r="61" spans="2:18" ht="15" hidden="1" customHeight="1">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c r="B62" s="49" t="str">
        <f t="shared" si="11"/>
        <v>per 100 referrals</v>
      </c>
      <c r="C62" s="49">
        <f t="shared" si="11"/>
        <v>0.34</v>
      </c>
      <c r="D62" s="49">
        <f t="shared" si="11"/>
        <v>0</v>
      </c>
      <c r="E62" s="49">
        <f>MAX(C62:D62)</f>
        <v>0.34</v>
      </c>
      <c r="G62" s="1" t="str">
        <f>G56</f>
        <v>per 100 referrals</v>
      </c>
      <c r="L62" s="58">
        <f>IF(($E56&gt;0),L56,L55)</f>
        <v>100</v>
      </c>
      <c r="M62" s="58"/>
    </row>
    <row r="63" spans="2:18" ht="15" hidden="1" customHeight="1">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1.323</v>
      </c>
      <c r="D66" s="56">
        <f>D60</f>
        <v>9.2999999999999999E-2</v>
      </c>
      <c r="E66" s="56">
        <f>MAX(C66:D66)</f>
        <v>1.323</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c r="B68" s="49" t="str">
        <f t="shared" si="12"/>
        <v>per 100 referrals</v>
      </c>
      <c r="C68" s="49">
        <f t="shared" si="12"/>
        <v>0.34</v>
      </c>
      <c r="D68" s="49">
        <f t="shared" si="12"/>
        <v>0</v>
      </c>
      <c r="E68" s="49">
        <f>MAX(C68:D68)</f>
        <v>0.34</v>
      </c>
      <c r="G68" s="1" t="str">
        <f>G62</f>
        <v>per 100 referrals</v>
      </c>
      <c r="L68" s="58">
        <f>IF(($E62&gt;0),L62,L61)</f>
        <v>100</v>
      </c>
      <c r="M68" s="58">
        <f>IF((B68=G68),1,2)</f>
        <v>1</v>
      </c>
    </row>
    <row r="69" spans="2:13" ht="15" hidden="1" customHeight="1">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S25"/>
  <sheetViews>
    <sheetView topLeftCell="B1" zoomScale="130" zoomScaleNormal="130" workbookViewId="0">
      <selection activeCell="B13" sqref="B13"/>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1/1/14 through 12/31/14</v>
      </c>
      <c r="I4" s="67"/>
    </row>
    <row r="5" spans="2:18" ht="15" customHeight="1">
      <c r="B5" s="66" t="str">
        <f>'Data Entry'!A3</f>
        <v>County: Missaukee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133</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30"/>
  <sheetViews>
    <sheetView showGridLines="0" showRowColHeaders="0" showZeros="0" topLeftCell="A13" zoomScale="120" zoomScaleNormal="120" workbookViewId="0">
      <selection activeCell="B33" sqref="B33"/>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 xml:space="preserve">1. Population at Risk (age 10 through 16) </v>
      </c>
      <c r="C3" s="57">
        <f>'Data Entry'!B6</f>
        <v>1416</v>
      </c>
      <c r="D3" s="57">
        <f>'Data Entry'!C6</f>
        <v>1323</v>
      </c>
      <c r="E3" s="57">
        <f>'Data Entry'!D6</f>
        <v>27</v>
      </c>
      <c r="F3" s="57">
        <f>'Data Entry'!E6</f>
        <v>48</v>
      </c>
      <c r="G3" s="57">
        <f>'Data Entry'!F6</f>
        <v>10</v>
      </c>
      <c r="H3" s="57">
        <f>'Data Entry'!G6</f>
        <v>0</v>
      </c>
      <c r="I3" s="57">
        <f>'Data Entry'!H6</f>
        <v>8</v>
      </c>
      <c r="J3" s="57">
        <f>'Data Entry'!I6</f>
        <v>0</v>
      </c>
      <c r="K3" s="57">
        <f>'Data Entry'!J6</f>
        <v>93</v>
      </c>
    </row>
    <row r="4" spans="2:11" ht="15" customHeight="1">
      <c r="B4" s="16" t="s">
        <v>8</v>
      </c>
      <c r="C4" s="1">
        <f>IF((C$3&gt;0),(1000*('Data Entry'!B7/'Data Entry'!B$6)), 0)</f>
        <v>12.711864406779663</v>
      </c>
      <c r="D4" s="1">
        <f>IF((D$3&gt;0),(1000*('Data Entry'!C7/'Data Entry'!C$6)), 0)</f>
        <v>13.605442176870747</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24.011299435028249</v>
      </c>
      <c r="D5" s="1">
        <f>IF((D$3&gt;0),(1000*('Data Entry'!C8/'Data Entry'!C$6)), 0)</f>
        <v>25.699168556311417</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1.4124293785310735</v>
      </c>
      <c r="D6" s="1">
        <f>IF((D$3&gt;0),(1000*('Data Entry'!C9/'Data Entry'!C$6)), 0)</f>
        <v>1.5117157974300832</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1.4124293785310735</v>
      </c>
      <c r="D7" s="1">
        <f>IF((D$3&gt;0),(1000*('Data Entry'!C10/'Data Entry'!C$6)), 0)</f>
        <v>1.5117157974300832</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9.1807909604519775</v>
      </c>
      <c r="D8" s="1">
        <f>IF((D$3&gt;0),(1000*('Data Entry'!C11/'Data Entry'!C$6)), 0)</f>
        <v>9.8261526832955415</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9.1807909604519775</v>
      </c>
      <c r="D9" s="1">
        <f>IF((D$3&gt;0),(1000*('Data Entry'!C12/'Data Entry'!C$6)), 0)</f>
        <v>9.8261526832955415</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12.711864406779663</v>
      </c>
      <c r="D10" s="1">
        <f>IF((D$3&gt;0),(1000*('Data Entry'!C13/'Data Entry'!C$6)), 0)</f>
        <v>13.605442176870747</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3.5310734463276834</v>
      </c>
      <c r="D11" s="1">
        <f>IF((D$3&gt;0),(1000*('Data Entry'!C14/'Data Entry'!C$6)), 0)</f>
        <v>3.7792894935752082</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20" t="s">
        <v>98</v>
      </c>
      <c r="C14" s="221"/>
      <c r="D14" s="221"/>
      <c r="E14" s="221"/>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1/1/14 through 12/31/14</v>
      </c>
      <c r="G16" s="1"/>
      <c r="H16" s="1"/>
      <c r="I16" s="1"/>
      <c r="J16" s="67"/>
    </row>
    <row r="17" spans="2:10" ht="15" customHeight="1">
      <c r="B17" s="81" t="str">
        <f>'Data Entry'!A3</f>
        <v>County: Missaukee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133</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23" t="s">
        <v>100</v>
      </c>
      <c r="B4" s="223"/>
      <c r="C4" s="223"/>
      <c r="D4" s="223"/>
      <c r="E4" s="223"/>
      <c r="F4" s="223"/>
      <c r="G4" s="223"/>
      <c r="H4" s="223"/>
      <c r="I4" s="223"/>
      <c r="J4" s="223"/>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22" t="s">
        <v>104</v>
      </c>
      <c r="B10" s="222"/>
      <c r="C10" s="222"/>
      <c r="D10" s="222"/>
      <c r="E10" s="222"/>
      <c r="F10" s="222"/>
      <c r="G10" s="222"/>
      <c r="H10" s="222"/>
      <c r="I10" s="222"/>
      <c r="J10" s="222"/>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A30"/>
  <sheetViews>
    <sheetView showGridLines="0" tabSelected="1" zoomScaleNormal="100" workbookViewId="0">
      <selection activeCell="AB9" sqref="AB9"/>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9" t="s">
        <v>121</v>
      </c>
      <c r="C2" s="180"/>
      <c r="D2" s="180"/>
      <c r="E2" s="180"/>
      <c r="F2" s="180"/>
      <c r="G2" s="180"/>
      <c r="H2" s="180"/>
      <c r="I2" s="180"/>
      <c r="J2" s="180"/>
      <c r="K2" s="180"/>
      <c r="L2" s="180"/>
      <c r="M2" s="180"/>
      <c r="N2" s="180"/>
      <c r="O2" s="180"/>
      <c r="P2" s="180"/>
      <c r="Q2" s="181"/>
    </row>
    <row r="3" spans="2:26" s="1" customFormat="1" ht="19.5" thickTop="1">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c r="B4" s="102" t="str">
        <f>'Data Entry'!A3</f>
        <v>County: Missaukee</v>
      </c>
      <c r="C4" s="103"/>
      <c r="D4" s="103"/>
      <c r="E4" s="103"/>
      <c r="F4" s="103"/>
      <c r="G4" s="103"/>
      <c r="H4" s="103"/>
      <c r="I4" s="103"/>
      <c r="J4" s="103"/>
      <c r="K4" s="103"/>
      <c r="L4" s="103"/>
      <c r="M4" s="103"/>
      <c r="N4" s="184" t="str">
        <f>'Data Entry'!C4</f>
        <v>1/1/14 through 12/31/14</v>
      </c>
      <c r="O4" s="185"/>
      <c r="P4" s="185"/>
      <c r="Q4" s="186"/>
      <c r="R4"/>
    </row>
    <row r="5" spans="2:26" s="93" customFormat="1" ht="71.25" customHeight="1">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c r="B7" s="150" t="str">
        <f>'Data Entry'!A6</f>
        <v xml:space="preserve">1. Population at Risk (age 10 through 16) </v>
      </c>
      <c r="C7" s="104">
        <f>'Data Entry'!C6</f>
        <v>1323</v>
      </c>
      <c r="D7" s="105">
        <f>'Data Entry'!D6</f>
        <v>27</v>
      </c>
      <c r="E7" s="106"/>
      <c r="F7" s="107">
        <f>'Data Entry'!E6</f>
        <v>48</v>
      </c>
      <c r="G7" s="106"/>
      <c r="H7" s="107">
        <f>'Data Entry'!F6</f>
        <v>10</v>
      </c>
      <c r="I7" s="106"/>
      <c r="J7" s="107">
        <f>'Data Entry'!G6</f>
        <v>0</v>
      </c>
      <c r="K7" s="106"/>
      <c r="L7" s="107">
        <f>'Data Entry'!H6</f>
        <v>8</v>
      </c>
      <c r="M7" s="106"/>
      <c r="N7" s="107">
        <f>'Data Entry'!I6</f>
        <v>0</v>
      </c>
      <c r="O7" s="106"/>
      <c r="P7" s="107">
        <f>'Data Entry'!J6</f>
        <v>93</v>
      </c>
      <c r="Q7" s="108"/>
    </row>
    <row r="8" spans="2:26" s="1" customFormat="1" ht="15" customHeight="1">
      <c r="B8" s="149" t="s">
        <v>8</v>
      </c>
      <c r="C8" s="104">
        <f>'Data Entry'!C7</f>
        <v>18</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9" t="s">
        <v>134</v>
      </c>
      <c r="C9" s="104">
        <f>'Data Entry'!C8</f>
        <v>34</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f>'Black or African-American'!L8</f>
        <v>40</v>
      </c>
      <c r="U9" s="1">
        <f>Hispanic!L8</f>
        <v>40</v>
      </c>
      <c r="V9" s="1">
        <f>Asian!L8</f>
        <v>139</v>
      </c>
      <c r="W9" s="1">
        <f>Hawaiian!L8</f>
        <v>139</v>
      </c>
      <c r="X9" s="1">
        <f>'Am Indian'!L8</f>
        <v>139</v>
      </c>
      <c r="Y9" s="1">
        <f>'Other - Mixed'!L8</f>
        <v>139</v>
      </c>
      <c r="Z9" s="1">
        <f>'All Minorities'!L8</f>
        <v>40</v>
      </c>
    </row>
    <row r="10" spans="2:26" s="1" customFormat="1" ht="15" customHeight="1">
      <c r="B10" s="149" t="s">
        <v>10</v>
      </c>
      <c r="C10" s="104">
        <f>'Data Entry'!C9</f>
        <v>2</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9" t="s">
        <v>11</v>
      </c>
      <c r="C11" s="104">
        <f>'Data Entry'!C10</f>
        <v>2</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9" t="s">
        <v>95</v>
      </c>
      <c r="C12" s="104">
        <f>'Data Entry'!C11</f>
        <v>13</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9" t="s">
        <v>13</v>
      </c>
      <c r="C13" s="104">
        <f>'Data Entry'!C12</f>
        <v>13</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9" t="s">
        <v>133</v>
      </c>
      <c r="C14" s="104">
        <f>'Data Entry'!C13</f>
        <v>18</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51" t="s">
        <v>123</v>
      </c>
      <c r="C15" s="104">
        <f>'Data Entry'!C14</f>
        <v>5</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c r="B18" s="94"/>
      <c r="C18" s="94"/>
      <c r="D18" s="94"/>
      <c r="E18" s="94"/>
      <c r="F18" s="94"/>
      <c r="G18" s="94"/>
      <c r="H18" s="94"/>
      <c r="I18" s="94"/>
      <c r="J18" s="94"/>
      <c r="K18" s="94"/>
      <c r="L18" s="94"/>
      <c r="M18" s="94"/>
      <c r="N18" s="94"/>
      <c r="O18" s="94"/>
      <c r="P18" s="94"/>
      <c r="Q18" s="94"/>
    </row>
    <row r="19" spans="2:18" ht="18" customHeight="1" thickBot="1">
      <c r="B19" s="95"/>
      <c r="C19" s="134"/>
      <c r="D19" s="136"/>
      <c r="E19" s="136"/>
      <c r="F19" s="136"/>
      <c r="G19" s="136"/>
      <c r="H19" s="138" t="s">
        <v>128</v>
      </c>
      <c r="I19" s="139" t="s">
        <v>51</v>
      </c>
      <c r="J19" s="136"/>
      <c r="K19" s="136"/>
      <c r="L19" s="136"/>
      <c r="M19" s="136"/>
      <c r="N19" s="136"/>
      <c r="O19" s="137"/>
      <c r="P19" s="94"/>
      <c r="Q19" s="94"/>
    </row>
    <row r="20" spans="2:18" ht="16.5">
      <c r="B20" s="94"/>
      <c r="C20" s="160" t="s">
        <v>125</v>
      </c>
      <c r="D20" s="166"/>
      <c r="E20" s="167"/>
      <c r="F20" s="168"/>
      <c r="G20" s="169" t="s">
        <v>53</v>
      </c>
      <c r="H20" s="166"/>
      <c r="I20" s="160" t="s">
        <v>56</v>
      </c>
      <c r="J20" s="166"/>
      <c r="K20" s="166"/>
      <c r="L20" s="166"/>
      <c r="M20" s="166"/>
      <c r="N20" s="166"/>
      <c r="O20" s="161" t="s">
        <v>57</v>
      </c>
      <c r="Q20" s="94"/>
    </row>
    <row r="21" spans="2:18" ht="15" customHeight="1">
      <c r="B21" s="94"/>
      <c r="C21" s="162" t="s">
        <v>127</v>
      </c>
      <c r="D21" s="166"/>
      <c r="E21" s="170"/>
      <c r="F21" s="166"/>
      <c r="G21" s="171" t="s">
        <v>55</v>
      </c>
      <c r="H21" s="166"/>
      <c r="I21" s="162" t="s">
        <v>58</v>
      </c>
      <c r="J21" s="166"/>
      <c r="K21" s="166"/>
      <c r="L21" s="166"/>
      <c r="M21" s="166"/>
      <c r="N21" s="166"/>
      <c r="O21" s="163" t="s">
        <v>59</v>
      </c>
      <c r="Q21" s="94"/>
    </row>
    <row r="22" spans="2:18" ht="15" customHeight="1" thickBot="1">
      <c r="B22" s="94"/>
      <c r="C22" s="172"/>
      <c r="D22" s="173"/>
      <c r="E22" s="173"/>
      <c r="F22" s="173"/>
      <c r="G22" s="173"/>
      <c r="H22" s="173"/>
      <c r="I22" s="174" t="s">
        <v>60</v>
      </c>
      <c r="J22" s="173"/>
      <c r="K22" s="173"/>
      <c r="L22" s="173"/>
      <c r="M22" s="173"/>
      <c r="N22" s="173"/>
      <c r="O22" s="164" t="s">
        <v>61</v>
      </c>
      <c r="Q22" s="94"/>
    </row>
    <row r="23" spans="2:18" ht="15" customHeight="1">
      <c r="B23" s="94"/>
      <c r="C23" s="94"/>
      <c r="D23" s="94"/>
      <c r="E23"/>
      <c r="F23"/>
      <c r="G23"/>
      <c r="H23"/>
      <c r="K23"/>
      <c r="L23"/>
      <c r="M23" s="94"/>
      <c r="N23" s="94"/>
      <c r="O23" s="94"/>
      <c r="P23" s="94"/>
      <c r="Q23" s="94"/>
    </row>
    <row r="24" spans="2:18" ht="15" customHeight="1">
      <c r="B24" s="94"/>
      <c r="C24" s="94"/>
      <c r="D24" s="94"/>
      <c r="E24"/>
      <c r="F24"/>
      <c r="G24"/>
      <c r="H24"/>
      <c r="K24"/>
      <c r="L24"/>
      <c r="M24" s="94"/>
      <c r="N24" s="94"/>
      <c r="O24" s="94"/>
      <c r="P24" s="94"/>
      <c r="Q24" s="94"/>
    </row>
    <row r="25" spans="2:18" ht="15" customHeight="1">
      <c r="B25" s="1" t="str">
        <f>'Data Entry'!A18</f>
        <v>5. DATA SOURCES &amp; NOTES</v>
      </c>
    </row>
    <row r="26" spans="2:18" ht="15" customHeight="1">
      <c r="B26" s="1" t="str">
        <f>'Data Entry'!A19</f>
        <v>Item 1. Population (figures for 2014): U.S. Census estimate (from "Easy Access to Juvenile Populations: 1990-2014," C. Puzzanchera, A. Sladky, and W. Kang, Office of Juvenile Justice and Delinquency Prevention, 2015, accessed January 26, 2016, http://www.ojjdp.gov/ojstatbb/ezapop/)</v>
      </c>
      <c r="E26" s="1" t="str">
        <f>'Data Entry'!D19</f>
        <v>Item 2.Arrest: Michigan State Police</v>
      </c>
      <c r="I26" s="97"/>
      <c r="J26" s="97"/>
    </row>
    <row r="27" spans="2:18" ht="12.75" customHeight="1">
      <c r="B27" s="1" t="str">
        <f>'Data Entry'!A20</f>
        <v>Item 3.Referral: State Court Administrative Office</v>
      </c>
      <c r="E27" s="1" t="str">
        <f>'Data Entry'!D20</f>
        <v>Item 4.Diversion: State Court Administrative Office</v>
      </c>
      <c r="I27" s="97"/>
      <c r="J27" s="97"/>
    </row>
    <row r="28" spans="2:18" ht="12.75" customHeight="1">
      <c r="B28" s="1" t="str">
        <f>'Data Entry'!A21</f>
        <v>Item 5.Detention: State Court Administrative Office</v>
      </c>
      <c r="E28" s="1" t="str">
        <f>'Data Entry'!D21</f>
        <v>Item 6.Petitioned: State Court Administrative Office</v>
      </c>
      <c r="I28" s="97"/>
      <c r="J28" s="97"/>
    </row>
    <row r="29" spans="2:18" ht="12.75" customHeight="1">
      <c r="B29" s="1" t="str">
        <f>'Data Entry'!A22</f>
        <v>Item 7.Delinquent: State Court Administrative Office</v>
      </c>
      <c r="E29" s="1" t="str">
        <f>'Data Entry'!D22</f>
        <v>Item 8.Probation: State Court Administrative Office</v>
      </c>
      <c r="I29" s="97"/>
      <c r="J29" s="97"/>
    </row>
    <row r="30" spans="2:18" ht="12.75" customHeight="1">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L17"/>
  <sheetViews>
    <sheetView topLeftCell="A4" workbookViewId="0">
      <selection activeCell="A45" sqref="A45"/>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7" t="str">
        <f>'Data Entry'!A3</f>
        <v>County: Missaukee</v>
      </c>
      <c r="B5" s="141"/>
      <c r="C5" s="141"/>
      <c r="D5" s="141"/>
      <c r="E5" s="141"/>
      <c r="F5" s="141"/>
      <c r="G5" s="141"/>
      <c r="H5" s="141"/>
      <c r="I5" s="141"/>
    </row>
    <row r="6" spans="1:12">
      <c r="A6" s="140" t="str">
        <f>CONCATENATE("Percentage of Minorities at Stages of the Juvenile Justice System, ", A5, " 2012")</f>
        <v>Percentage of Minorities at Stages of the Juvenile Justice System, County: Missaukee 2012</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14.225806451612904</v>
      </c>
    </row>
    <row r="8" spans="1:12" ht="25.5" customHeight="1">
      <c r="A8" s="158" t="str">
        <f>CONCATENATE("Confinement, total N=", 'Data Entry'!B14)</f>
        <v>Confinement, total N=5</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1</v>
      </c>
      <c r="K8" s="97" t="str">
        <f>A8</f>
        <v>Confinement, total N=5</v>
      </c>
      <c r="L8">
        <f>I14/(SUM(B14:G14))</f>
        <v>14.225806451612904</v>
      </c>
    </row>
    <row r="9" spans="1:12">
      <c r="A9" s="132" t="str">
        <f>CONCATENATE("Delinquent Findings, total N=", 'Data Entry'!B12)</f>
        <v>Delinquent Findings, total N=13</v>
      </c>
      <c r="B9" s="157">
        <f>'Data Entry'!D12/'Data Entry'!B12</f>
        <v>0</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1</v>
      </c>
      <c r="K9" s="97" t="str">
        <f t="shared" si="0"/>
        <v>Delinquent Findings, total N=13</v>
      </c>
      <c r="L9">
        <f>I14/(SUM(B14:G14))</f>
        <v>14.225806451612904</v>
      </c>
    </row>
    <row r="10" spans="1:12">
      <c r="A10" s="132" t="str">
        <f>CONCATENATE("Petitions, total N=", 'Data Entry'!B11)</f>
        <v>Petitions, total N=13</v>
      </c>
      <c r="B10" s="157">
        <f>'Data Entry'!D11/'Data Entry'!B11</f>
        <v>0</v>
      </c>
      <c r="C10" s="157">
        <f>'Data Entry'!E11/'Data Entry'!B11</f>
        <v>0</v>
      </c>
      <c r="D10" s="157">
        <f>'Data Entry'!F11/'Data Entry'!B11</f>
        <v>0</v>
      </c>
      <c r="E10" s="157">
        <f>'Data Entry'!G11/'Data Entry'!B11</f>
        <v>0</v>
      </c>
      <c r="F10" s="157">
        <f>'Data Entry'!H11/'Data Entry'!B11</f>
        <v>0</v>
      </c>
      <c r="G10" s="157">
        <f>'Data Entry'!I11/'Data Entry'!B11</f>
        <v>0</v>
      </c>
      <c r="H10" s="157">
        <f>SUM(D10:G10)/'Data Entry'!B11</f>
        <v>0</v>
      </c>
      <c r="I10" s="157">
        <f>'Data Entry'!C11/'Data Entry'!B11</f>
        <v>1</v>
      </c>
      <c r="K10" s="97" t="str">
        <f t="shared" si="0"/>
        <v>Petitions, total N=13</v>
      </c>
      <c r="L10">
        <f>I14/(SUM(B14:G14))</f>
        <v>14.225806451612904</v>
      </c>
    </row>
    <row r="11" spans="1:12">
      <c r="A11" s="132" t="str">
        <f>CONCATENATE("Detentions, total N=", 'Data Entry'!B10)</f>
        <v>Detentions, total N=2</v>
      </c>
      <c r="B11" s="157">
        <f>'Data Entry'!D10/'Data Entry'!B10</f>
        <v>0</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1</v>
      </c>
      <c r="K11" s="97" t="str">
        <f t="shared" si="0"/>
        <v>Detentions, total N=2</v>
      </c>
      <c r="L11">
        <f>I14/(SUM(B14:G14))</f>
        <v>14.225806451612904</v>
      </c>
    </row>
    <row r="12" spans="1:12">
      <c r="A12" s="132" t="str">
        <f>CONCATENATE("Referrals, total N=", 'Data Entry'!B8)</f>
        <v>Referrals, total N=34</v>
      </c>
      <c r="B12" s="157">
        <f>'Data Entry'!D8/'Data Entry'!B8</f>
        <v>0</v>
      </c>
      <c r="C12" s="157">
        <f>'Data Entry'!E8/'Data Entry'!B8</f>
        <v>0</v>
      </c>
      <c r="D12" s="157">
        <f>'Data Entry'!F8/'Data Entry'!B8</f>
        <v>0</v>
      </c>
      <c r="E12" s="157">
        <f>'Data Entry'!G8/'Data Entry'!B8</f>
        <v>0</v>
      </c>
      <c r="F12" s="157">
        <f>'Data Entry'!H8/'Data Entry'!B8</f>
        <v>0</v>
      </c>
      <c r="G12" s="157">
        <f>'Data Entry'!I8/'Data Entry'!B8</f>
        <v>0</v>
      </c>
      <c r="H12" s="157">
        <f>SUM(D12:G12)/'Data Entry'!B8</f>
        <v>0</v>
      </c>
      <c r="I12" s="157">
        <f>'Data Entry'!C8/'Data Entry'!B8</f>
        <v>1</v>
      </c>
      <c r="K12" s="97" t="str">
        <f t="shared" si="0"/>
        <v>Referrals, total N=34</v>
      </c>
      <c r="L12">
        <f>I14/(SUM(B14:G14))</f>
        <v>14.225806451612904</v>
      </c>
    </row>
    <row r="13" spans="1:12">
      <c r="A13" s="132" t="str">
        <f>CONCATENATE("Arrests, total N=", 'Data Entry'!B7)</f>
        <v>Arrests, total N=18</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1</v>
      </c>
      <c r="K13" s="97" t="str">
        <f t="shared" si="0"/>
        <v>Arrests, total N=18</v>
      </c>
      <c r="L13">
        <f>I14/(SUM(B14:G14))</f>
        <v>14.225806451612904</v>
      </c>
    </row>
    <row r="14" spans="1:12">
      <c r="A14" s="132" t="str">
        <f>CONCATENATE("Population, total N=", 'Data Entry'!B6)</f>
        <v>Population, total N=1416</v>
      </c>
      <c r="B14" s="157">
        <f>'Data Entry'!D6/'Data Entry'!B6</f>
        <v>1.9067796610169493E-2</v>
      </c>
      <c r="C14" s="157">
        <f>'Data Entry'!E6/'Data Entry'!B6</f>
        <v>3.3898305084745763E-2</v>
      </c>
      <c r="D14" s="157">
        <f>'Data Entry'!F6/'Data Entry'!B6</f>
        <v>7.0621468926553672E-3</v>
      </c>
      <c r="E14" s="157">
        <f>'Data Entry'!G6/'Data Entry'!B6</f>
        <v>0</v>
      </c>
      <c r="F14" s="157">
        <f>'Data Entry'!H6/'Data Entry'!B6</f>
        <v>5.6497175141242938E-3</v>
      </c>
      <c r="G14" s="157">
        <f>'Data Entry'!I6/'Data Entry'!B6</f>
        <v>0</v>
      </c>
      <c r="H14" s="157">
        <f>SUM(D14:G14)/'Data Entry'!B6</f>
        <v>8.9773053720195351E-6</v>
      </c>
      <c r="I14" s="157">
        <f>'Data Entry'!C6/'Data Entry'!B6</f>
        <v>0.93432203389830504</v>
      </c>
      <c r="K14" s="97" t="str">
        <f t="shared" si="0"/>
        <v>Population, total N=1416</v>
      </c>
      <c r="L14">
        <f>I14/(SUM(B14:G14))</f>
        <v>14.225806451612904</v>
      </c>
    </row>
    <row r="15" spans="1:12">
      <c r="A15" s="97"/>
    </row>
    <row r="17" spans="2:9">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D30"/>
  <sheetViews>
    <sheetView showGridLines="0" zoomScaleNormal="100" workbookViewId="0">
      <selection activeCell="B14" sqref="B14"/>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9" t="s">
        <v>121</v>
      </c>
      <c r="C2" s="180"/>
      <c r="D2" s="180"/>
      <c r="E2" s="180"/>
      <c r="F2" s="180"/>
      <c r="G2" s="180"/>
      <c r="H2" s="180"/>
      <c r="I2" s="180"/>
      <c r="J2" s="180"/>
      <c r="K2" s="181"/>
    </row>
    <row r="3" spans="2:30" s="1" customFormat="1" ht="19.5" thickTop="1">
      <c r="B3" s="98" t="str">
        <f>'Data Entry'!A2</f>
        <v>State: Michigan</v>
      </c>
      <c r="C3" s="122"/>
      <c r="D3" s="122"/>
      <c r="H3" s="212" t="str">
        <f>'Data Entry'!C3</f>
        <v xml:space="preserve">Reporting Period:  </v>
      </c>
      <c r="I3" s="213"/>
      <c r="J3" s="213"/>
      <c r="K3" s="214"/>
    </row>
    <row r="4" spans="2:30" s="1" customFormat="1" ht="19.5" thickBot="1">
      <c r="B4" s="102" t="str">
        <f>'Data Entry'!A3</f>
        <v>County: Missaukee</v>
      </c>
      <c r="C4" s="121"/>
      <c r="D4" s="121"/>
      <c r="E4" s="124"/>
      <c r="F4" s="124"/>
      <c r="G4" s="124"/>
      <c r="H4" s="184" t="str">
        <f>'Data Entry'!C4</f>
        <v>1/1/14 through 12/31/14</v>
      </c>
      <c r="I4" s="215"/>
      <c r="J4" s="215"/>
      <c r="K4" s="216"/>
    </row>
    <row r="5" spans="2:30" s="123" customFormat="1" ht="69" customHeight="1">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c r="B6" s="159" t="s">
        <v>119</v>
      </c>
      <c r="C6" s="126" t="s">
        <v>117</v>
      </c>
      <c r="D6" s="127" t="s">
        <v>117</v>
      </c>
      <c r="E6" s="128" t="s">
        <v>118</v>
      </c>
      <c r="F6" s="127" t="s">
        <v>117</v>
      </c>
      <c r="G6" s="128" t="s">
        <v>118</v>
      </c>
      <c r="H6" s="127" t="s">
        <v>117</v>
      </c>
      <c r="I6" s="128" t="s">
        <v>118</v>
      </c>
      <c r="J6" s="127" t="s">
        <v>117</v>
      </c>
      <c r="K6" s="129" t="s">
        <v>118</v>
      </c>
    </row>
    <row r="7" spans="2:30" s="135" customFormat="1" ht="18" customHeight="1">
      <c r="B7" s="148" t="str">
        <f>'Data Entry'!A6</f>
        <v xml:space="preserve">1. Population at Risk (age 10 through 16) </v>
      </c>
      <c r="C7" s="104">
        <f>'Data Entry'!C6</f>
        <v>1323</v>
      </c>
      <c r="D7" s="105">
        <f>'Data Entry'!D6</f>
        <v>27</v>
      </c>
      <c r="E7" s="106"/>
      <c r="F7" s="107">
        <f>'Data Entry'!E6</f>
        <v>48</v>
      </c>
      <c r="G7" s="106"/>
      <c r="H7" s="107">
        <f>'Data Entry'!F6</f>
        <v>10</v>
      </c>
      <c r="I7" s="106"/>
      <c r="J7" s="107">
        <f>'Data Entry'!J6</f>
        <v>93</v>
      </c>
      <c r="K7" s="108"/>
    </row>
    <row r="8" spans="2:30" s="1" customFormat="1" ht="15" customHeight="1">
      <c r="B8" s="125" t="s">
        <v>8</v>
      </c>
      <c r="C8" s="104">
        <f>'Data Entry'!C7</f>
        <v>18</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5" t="s">
        <v>134</v>
      </c>
      <c r="C9" s="104">
        <f>'Data Entry'!C8</f>
        <v>34</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f>'Black or African-American'!L8</f>
        <v>40</v>
      </c>
      <c r="O9" s="1">
        <f>Hispanic!L8</f>
        <v>40</v>
      </c>
      <c r="P9" s="1">
        <f>Asian!L8</f>
        <v>139</v>
      </c>
      <c r="Q9" s="1">
        <f>Hawaiian!L8</f>
        <v>139</v>
      </c>
      <c r="R9" s="1">
        <f>'Am Indian'!L8</f>
        <v>139</v>
      </c>
      <c r="S9" s="1">
        <f>'Other - Mixed'!L8</f>
        <v>139</v>
      </c>
      <c r="T9" s="1">
        <f>'All Minorities'!L8</f>
        <v>40</v>
      </c>
    </row>
    <row r="10" spans="2:30" s="1" customFormat="1" ht="15" customHeight="1">
      <c r="B10" s="125" t="s">
        <v>10</v>
      </c>
      <c r="C10" s="104">
        <f>'Data Entry'!C9</f>
        <v>2</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5" t="s">
        <v>11</v>
      </c>
      <c r="C11" s="104">
        <f>'Data Entry'!C10</f>
        <v>2</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5" t="s">
        <v>95</v>
      </c>
      <c r="C12" s="104">
        <f>'Data Entry'!C11</f>
        <v>13</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5" t="s">
        <v>13</v>
      </c>
      <c r="C13" s="104">
        <f>'Data Entry'!C12</f>
        <v>13</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c r="B14" s="125" t="s">
        <v>133</v>
      </c>
      <c r="C14" s="104">
        <f>'Data Entry'!C13</f>
        <v>18</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c r="B15" s="130" t="s">
        <v>123</v>
      </c>
      <c r="C15" s="104">
        <f>'Data Entry'!C14</f>
        <v>5</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c r="B18" s="94"/>
      <c r="C18" s="94"/>
      <c r="D18" s="94"/>
      <c r="E18" s="94"/>
      <c r="F18" s="94"/>
      <c r="G18" s="94"/>
      <c r="H18" s="94"/>
      <c r="I18" s="94"/>
      <c r="J18" s="94"/>
      <c r="K18" s="94"/>
      <c r="W18" s="135"/>
      <c r="X18" s="135"/>
      <c r="Y18" s="135"/>
      <c r="Z18" s="135"/>
      <c r="AA18" s="135"/>
      <c r="AB18" s="135"/>
      <c r="AC18" s="135"/>
      <c r="AD18" s="135"/>
    </row>
    <row r="19" spans="2:30" ht="18" customHeight="1" thickBot="1">
      <c r="B19" s="199" t="s">
        <v>120</v>
      </c>
      <c r="C19" s="200"/>
      <c r="D19" s="200"/>
      <c r="E19" s="200"/>
      <c r="F19" s="200"/>
      <c r="G19" s="200"/>
      <c r="H19" s="200"/>
      <c r="I19" s="201"/>
      <c r="J19" s="202"/>
      <c r="K19" s="203"/>
    </row>
    <row r="20" spans="2:30" ht="15.75">
      <c r="B20" s="160" t="s">
        <v>125</v>
      </c>
      <c r="C20" s="207" t="s">
        <v>53</v>
      </c>
      <c r="D20" s="208"/>
      <c r="E20" s="191" t="s">
        <v>56</v>
      </c>
      <c r="F20" s="192"/>
      <c r="G20" s="192"/>
      <c r="H20" s="192"/>
      <c r="I20" s="192"/>
      <c r="J20" s="192"/>
      <c r="K20" s="161" t="s">
        <v>57</v>
      </c>
    </row>
    <row r="21" spans="2:30" ht="15" customHeight="1">
      <c r="B21" s="162" t="s">
        <v>126</v>
      </c>
      <c r="C21" s="193" t="s">
        <v>55</v>
      </c>
      <c r="D21" s="194"/>
      <c r="E21" s="195" t="s">
        <v>58</v>
      </c>
      <c r="F21" s="196"/>
      <c r="G21" s="196"/>
      <c r="H21" s="196"/>
      <c r="I21" s="196"/>
      <c r="J21" s="196"/>
      <c r="K21" s="163" t="s">
        <v>59</v>
      </c>
    </row>
    <row r="22" spans="2:30" ht="15" customHeight="1" thickBot="1">
      <c r="B22" s="204"/>
      <c r="C22" s="205"/>
      <c r="D22" s="206"/>
      <c r="E22" s="197" t="s">
        <v>60</v>
      </c>
      <c r="F22" s="198"/>
      <c r="G22" s="198"/>
      <c r="H22" s="198"/>
      <c r="I22" s="198"/>
      <c r="J22" s="198"/>
      <c r="K22" s="164" t="s">
        <v>61</v>
      </c>
    </row>
    <row r="23" spans="2:30" ht="15" customHeight="1">
      <c r="B23" s="94"/>
      <c r="C23" s="94"/>
      <c r="D23" s="94"/>
      <c r="E23"/>
      <c r="F23"/>
      <c r="G23"/>
      <c r="H23"/>
      <c r="J23"/>
      <c r="K23"/>
    </row>
    <row r="24" spans="2:30" ht="15" customHeight="1">
      <c r="B24" s="94"/>
      <c r="C24" s="94"/>
      <c r="D24" s="94"/>
      <c r="E24"/>
      <c r="F24"/>
      <c r="G24"/>
      <c r="H24"/>
      <c r="J24"/>
      <c r="K24"/>
    </row>
    <row r="25" spans="2:30" ht="15" customHeight="1">
      <c r="B25" s="1" t="str">
        <f>'Data Entry'!A18</f>
        <v>5. DATA SOURCES &amp; NOTES</v>
      </c>
    </row>
    <row r="26" spans="2:30" ht="15" customHeight="1">
      <c r="B26" s="1" t="str">
        <f>'Data Entry'!A19</f>
        <v>Item 1. Population (figures for 2014): U.S. Census estimate (from "Easy Access to Juvenile Populations: 1990-2014," C. Puzzanchera, A. Sladky, and W. Kang, Office of Juvenile Justice and Delinquency Prevention, 2015, accessed January 26, 2016, http://www.ojjdp.gov/ojstatbb/ezapop/)</v>
      </c>
      <c r="E26" s="1" t="str">
        <f>'Data Entry'!D19</f>
        <v>Item 2.Arrest: Michigan State Police</v>
      </c>
      <c r="I26" s="97"/>
    </row>
    <row r="27" spans="2:30" ht="12.75" customHeight="1">
      <c r="B27" s="1" t="str">
        <f>'Data Entry'!A20</f>
        <v>Item 3.Referral: State Court Administrative Office</v>
      </c>
      <c r="E27" s="1" t="str">
        <f>'Data Entry'!D20</f>
        <v>Item 4.Diversion: State Court Administrative Office</v>
      </c>
      <c r="I27" s="97"/>
    </row>
    <row r="28" spans="2:30" ht="12.75" customHeight="1">
      <c r="B28" s="1" t="str">
        <f>'Data Entry'!A21</f>
        <v>Item 5.Detention: State Court Administrative Office</v>
      </c>
      <c r="E28" s="1" t="str">
        <f>'Data Entry'!D21</f>
        <v>Item 6.Petitioned: State Court Administrative Office</v>
      </c>
      <c r="I28" s="97"/>
    </row>
    <row r="29" spans="2:30" ht="12.75" customHeight="1">
      <c r="B29" s="1" t="str">
        <f>'Data Entry'!A22</f>
        <v>Item 7.Delinquent: State Court Administrative Office</v>
      </c>
      <c r="E29" s="1" t="str">
        <f>'Data Entry'!D22</f>
        <v>Item 8.Probation: State Court Administrative Office</v>
      </c>
      <c r="I29" s="97"/>
    </row>
    <row r="30" spans="2:30" ht="12.75" customHeight="1">
      <c r="B30" s="1" t="str">
        <f>'Data Entry'!A23</f>
        <v>Item 9.Confinement: State Court Administrative Office</v>
      </c>
      <c r="E30" s="1" t="str">
        <f>'Data Entry'!D23</f>
        <v>Item 10.Transferred: State Court Administrative Office</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9" t="str">
        <f>'Data Entry'!D5</f>
        <v>Black or African American</v>
      </c>
      <c r="G1" s="219"/>
      <c r="H1" s="219"/>
      <c r="I1" s="219"/>
      <c r="J1" s="219"/>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Missaukee</v>
      </c>
      <c r="C3" s="22"/>
      <c r="D3" s="22"/>
      <c r="E3" s="22"/>
      <c r="F3" s="22"/>
      <c r="G3" s="7"/>
      <c r="H3" s="7"/>
      <c r="I3" s="7"/>
      <c r="J3" s="7"/>
      <c r="K3" s="7"/>
      <c r="N3" s="218" t="s">
        <v>31</v>
      </c>
      <c r="O3" s="218"/>
      <c r="P3" s="218"/>
      <c r="Q3" s="218"/>
      <c r="R3" s="218"/>
      <c r="S3" s="218"/>
      <c r="T3" s="218"/>
      <c r="U3" s="218"/>
    </row>
    <row r="4" spans="2:21" ht="8.25" customHeight="1">
      <c r="B4" s="4"/>
      <c r="C4" s="23"/>
      <c r="D4" s="23"/>
      <c r="E4" s="23"/>
      <c r="F4" s="23"/>
      <c r="G4" s="8"/>
      <c r="H4" s="8"/>
      <c r="I4" s="8"/>
      <c r="N4" s="218"/>
      <c r="O4" s="218"/>
      <c r="P4" s="218"/>
      <c r="Q4" s="218"/>
      <c r="R4" s="218"/>
      <c r="S4" s="218"/>
      <c r="T4" s="218"/>
      <c r="U4" s="218"/>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 through 16) </v>
      </c>
      <c r="C6" s="33">
        <f>'Data Entry'!C6</f>
        <v>1323</v>
      </c>
      <c r="D6" s="34"/>
      <c r="E6" s="33">
        <f>'Data Entry'!D6</f>
        <v>27</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13.605442176870749</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27</v>
      </c>
      <c r="P7" s="42">
        <f t="shared" ref="P7:P15" si="2">C7</f>
        <v>18</v>
      </c>
      <c r="Q7" s="42">
        <f>C6-C7</f>
        <v>1305</v>
      </c>
      <c r="R7" s="42">
        <f t="shared" ref="R7:R15" si="3">SUM(N7:Q7)</f>
        <v>1350</v>
      </c>
      <c r="S7" s="30">
        <f t="shared" ref="S7:S15" si="4">R7*((((N7*Q7)-(O7*P7))^2))</f>
        <v>318864600</v>
      </c>
      <c r="T7" s="30">
        <f t="shared" ref="T7:T15" si="5">(N7+O7)*(P7+Q7)*(N7+P7)*(O7+Q7)</f>
        <v>856446696</v>
      </c>
      <c r="U7" s="31">
        <f t="shared" ref="U7:U15" si="6">IF((S7&gt;0),S7/T7,"- -")</f>
        <v>0.3723110865968009</v>
      </c>
    </row>
    <row r="8" spans="2:21" ht="18" customHeight="1">
      <c r="B8" s="32" t="str">
        <f>'Data Entry'!A8</f>
        <v>3. Refer to Juvenile Court</v>
      </c>
      <c r="C8" s="33">
        <f>'Data Entry'!C8</f>
        <v>34</v>
      </c>
      <c r="D8" s="34">
        <f>IF((AND(C67&gt;0,C8&gt;0)),(C8/C67),0)</f>
        <v>188.88888888888889</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34</v>
      </c>
      <c r="Q8" s="42">
        <f>(C$67*L67)-C8</f>
        <v>-16</v>
      </c>
      <c r="R8" s="42">
        <f t="shared" si="3"/>
        <v>18.049999999999997</v>
      </c>
      <c r="S8" s="30">
        <f t="shared" si="4"/>
        <v>52.164500000000004</v>
      </c>
      <c r="T8" s="30">
        <f t="shared" si="5"/>
        <v>-488.07</v>
      </c>
      <c r="U8" s="31">
        <f t="shared" si="6"/>
        <v>-0.10687913618948103</v>
      </c>
    </row>
    <row r="9" spans="2:21" ht="18" customHeight="1">
      <c r="B9" s="32" t="str">
        <f>'Data Entry'!A9</f>
        <v xml:space="preserve">4. Cases Diverted </v>
      </c>
      <c r="C9" s="33">
        <f>'Data Entry'!C9</f>
        <v>2</v>
      </c>
      <c r="D9" s="34">
        <f>IF((AND(C68&gt;0,C9&gt;0)),((C9/C68)),0)</f>
        <v>5.8823529411764701</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2</v>
      </c>
      <c r="Q9" s="42">
        <f>(C$68*L68)-C9</f>
        <v>32</v>
      </c>
      <c r="R9" s="42">
        <f t="shared" si="3"/>
        <v>34</v>
      </c>
      <c r="S9" s="30">
        <f t="shared" si="4"/>
        <v>0</v>
      </c>
      <c r="T9" s="30">
        <f t="shared" si="5"/>
        <v>0</v>
      </c>
      <c r="U9" s="31" t="str">
        <f t="shared" si="6"/>
        <v>- -</v>
      </c>
    </row>
    <row r="10" spans="2:21" ht="18" customHeight="1">
      <c r="B10" s="32" t="str">
        <f>'Data Entry'!A10</f>
        <v>5. Cases Involving Secure Detention</v>
      </c>
      <c r="C10" s="33">
        <f>'Data Entry'!C10</f>
        <v>2</v>
      </c>
      <c r="D10" s="34">
        <f>IF(((AND(C68&gt;0,C10&gt;0))),(C10/(C68)),0)</f>
        <v>5.8823529411764701</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2</v>
      </c>
      <c r="Q10" s="42">
        <f>(C$68*L68)-C10</f>
        <v>32</v>
      </c>
      <c r="R10" s="42">
        <f t="shared" si="3"/>
        <v>34</v>
      </c>
      <c r="S10" s="30">
        <f t="shared" si="4"/>
        <v>0</v>
      </c>
      <c r="T10" s="30">
        <f t="shared" si="5"/>
        <v>0</v>
      </c>
      <c r="U10" s="31" t="str">
        <f t="shared" si="6"/>
        <v>- -</v>
      </c>
    </row>
    <row r="11" spans="2:21" ht="18" customHeight="1">
      <c r="B11" s="32" t="str">
        <f>'Data Entry'!A11</f>
        <v>6. Cases Petitioned (Charge Filed)</v>
      </c>
      <c r="C11" s="33">
        <f>'Data Entry'!C11</f>
        <v>13</v>
      </c>
      <c r="D11" s="34">
        <f>IF(((AND(C68&gt;0,C11&gt;0))),(C11/(C68)),0)</f>
        <v>38.235294117647058</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13</v>
      </c>
      <c r="Q11" s="42">
        <f>(C$68*L68)-C11</f>
        <v>21</v>
      </c>
      <c r="R11" s="42">
        <f t="shared" si="3"/>
        <v>34</v>
      </c>
      <c r="S11" s="30">
        <f t="shared" si="4"/>
        <v>0</v>
      </c>
      <c r="T11" s="30">
        <f t="shared" si="5"/>
        <v>0</v>
      </c>
      <c r="U11" s="31" t="str">
        <f t="shared" si="6"/>
        <v>- -</v>
      </c>
    </row>
    <row r="12" spans="2:21" ht="18" customHeight="1">
      <c r="B12" s="32" t="str">
        <f>'Data Entry'!A12</f>
        <v>7. Cases Resulting in Delinquent Findings</v>
      </c>
      <c r="C12" s="33">
        <f>'Data Entry'!C12</f>
        <v>13</v>
      </c>
      <c r="D12" s="34">
        <f>IF(((AND(C69&gt;0,C12&gt;0))),(C12/(C69)),0)</f>
        <v>100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13</v>
      </c>
      <c r="Q12" s="42">
        <f>(C69*L69)-C12</f>
        <v>0</v>
      </c>
      <c r="R12" s="42">
        <f t="shared" si="3"/>
        <v>13</v>
      </c>
      <c r="S12" s="30">
        <f t="shared" si="4"/>
        <v>0</v>
      </c>
      <c r="T12" s="30">
        <f t="shared" si="5"/>
        <v>0</v>
      </c>
      <c r="U12" s="31" t="str">
        <f t="shared" si="6"/>
        <v>- -</v>
      </c>
    </row>
    <row r="13" spans="2:21" ht="18" customHeight="1">
      <c r="B13" s="32" t="str">
        <f>'Data Entry'!A13</f>
        <v>8. Cases Resulting in Probation Placement</v>
      </c>
      <c r="C13" s="33">
        <f>'Data Entry'!C13</f>
        <v>18</v>
      </c>
      <c r="D13" s="34">
        <f>IF(((AND(C70&gt;0,C13&gt;0))),(C13/(C70)),0)</f>
        <v>138.46153846153845</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18</v>
      </c>
      <c r="Q13" s="42">
        <f>(C70*L70)-C13</f>
        <v>-5</v>
      </c>
      <c r="R13" s="42">
        <f t="shared" si="3"/>
        <v>13</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5</v>
      </c>
      <c r="D14" s="34">
        <f>IF(((AND(C70&gt;0,C14&gt;0))), ((C14/(C70))),0)</f>
        <v>38.46153846153846</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5</v>
      </c>
      <c r="Q14" s="42">
        <f>(C70*L70)-C14</f>
        <v>8</v>
      </c>
      <c r="R14" s="42">
        <f t="shared" si="3"/>
        <v>13</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13</v>
      </c>
      <c r="R15" s="42">
        <f t="shared" si="3"/>
        <v>13</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7" t="s">
        <v>79</v>
      </c>
      <c r="C40" s="217"/>
      <c r="D40" s="217"/>
      <c r="E40" s="217"/>
      <c r="F40" s="217"/>
      <c r="G40" s="217"/>
      <c r="H40" s="217"/>
      <c r="I40" s="217"/>
      <c r="J40" s="217"/>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1.323</v>
      </c>
      <c r="D42" s="56">
        <f>E6/1000</f>
        <v>2.7E-2</v>
      </c>
      <c r="E42" s="56">
        <f>MAX(C42:D42)</f>
        <v>1.323</v>
      </c>
      <c r="G42" s="1" t="str">
        <f>B42</f>
        <v>per 1000 youth</v>
      </c>
      <c r="L42" s="57">
        <v>1000</v>
      </c>
      <c r="M42" s="57"/>
      <c r="R42" s="49"/>
    </row>
    <row r="43" spans="2:18" ht="15" hidden="1" customHeight="1">
      <c r="B43" s="49" t="s">
        <v>87</v>
      </c>
      <c r="C43" s="56">
        <f>C7/100</f>
        <v>0.18</v>
      </c>
      <c r="D43" s="56">
        <f>E7/100</f>
        <v>0</v>
      </c>
      <c r="E43" s="56">
        <f>MAX(C43:D43,0)</f>
        <v>0.18</v>
      </c>
      <c r="G43" s="1" t="str">
        <f>B43</f>
        <v>per 100 arrests</v>
      </c>
      <c r="L43" s="57">
        <v>100</v>
      </c>
      <c r="M43" s="57"/>
      <c r="R43" s="49"/>
    </row>
    <row r="44" spans="2:18" ht="15" hidden="1" customHeight="1">
      <c r="B44" s="49" t="s">
        <v>88</v>
      </c>
      <c r="C44" s="56">
        <f>C8/100</f>
        <v>0.34</v>
      </c>
      <c r="D44" s="56">
        <f>E8/100</f>
        <v>0</v>
      </c>
      <c r="E44" s="56">
        <f>MAX(C44:D44,0)</f>
        <v>0.34</v>
      </c>
      <c r="G44" s="1" t="str">
        <f>B44</f>
        <v>per 100 referrals</v>
      </c>
      <c r="L44" s="57">
        <v>100</v>
      </c>
      <c r="M44" s="57"/>
      <c r="R44" s="49"/>
    </row>
    <row r="45" spans="2:18" ht="15" hidden="1" customHeight="1">
      <c r="B45" s="49" t="s">
        <v>89</v>
      </c>
      <c r="C45" s="49">
        <f>C11/100</f>
        <v>0.13</v>
      </c>
      <c r="D45" s="49">
        <f>E11/100</f>
        <v>0</v>
      </c>
      <c r="E45" s="56">
        <f>MAX(C45:D45,0)</f>
        <v>0.13</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1.323</v>
      </c>
      <c r="D48" s="56">
        <f>D42</f>
        <v>2.7E-2</v>
      </c>
      <c r="E48" s="56">
        <f>MAX(C48:D48)</f>
        <v>1.323</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0.18</v>
      </c>
      <c r="D49" s="49">
        <f t="shared" si="9"/>
        <v>0</v>
      </c>
      <c r="E49" s="49">
        <f>MAX(C49:D49)</f>
        <v>0.18</v>
      </c>
      <c r="G49" s="1" t="str">
        <f>G43</f>
        <v>per 100 arrests</v>
      </c>
      <c r="L49" s="58">
        <f>IF(($E43&gt;0),L43,L42)</f>
        <v>100</v>
      </c>
      <c r="M49" s="58"/>
      <c r="N49" s="21"/>
      <c r="O49" s="21"/>
      <c r="P49" s="21"/>
      <c r="Q49" s="21"/>
      <c r="R49" s="21"/>
    </row>
    <row r="50" spans="2:18" ht="15" hidden="1" customHeight="1">
      <c r="B50" s="49" t="str">
        <f t="shared" si="9"/>
        <v>per 100 referrals</v>
      </c>
      <c r="C50" s="49">
        <f t="shared" si="9"/>
        <v>0.34</v>
      </c>
      <c r="D50" s="49">
        <f t="shared" si="9"/>
        <v>0</v>
      </c>
      <c r="E50" s="49">
        <f>MAX(C50:D50)</f>
        <v>0.34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1.323</v>
      </c>
      <c r="D54" s="56">
        <f>D48</f>
        <v>2.7E-2</v>
      </c>
      <c r="E54" s="56">
        <f>MAX(C54:D54)</f>
        <v>1.323</v>
      </c>
      <c r="G54" s="1" t="str">
        <f>G48</f>
        <v>per 1000 youth</v>
      </c>
      <c r="L54" s="58">
        <f>L48</f>
        <v>1000</v>
      </c>
      <c r="M54" s="58"/>
    </row>
    <row r="55" spans="2:18" ht="15" hidden="1" customHeight="1">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c r="B56" s="49" t="str">
        <f t="shared" si="10"/>
        <v>per 100 referrals</v>
      </c>
      <c r="C56" s="49">
        <f t="shared" si="10"/>
        <v>0.34</v>
      </c>
      <c r="D56" s="49">
        <f t="shared" si="10"/>
        <v>0</v>
      </c>
      <c r="E56" s="49">
        <f>MAX(C56:D56)</f>
        <v>0.34</v>
      </c>
      <c r="G56" s="1" t="str">
        <f>G50</f>
        <v>per 100 referrals</v>
      </c>
      <c r="L56" s="58">
        <f>IF(($E50&gt;0),L50,L49)</f>
        <v>100</v>
      </c>
      <c r="M56" s="58"/>
    </row>
    <row r="57" spans="2:18" ht="15" hidden="1" customHeight="1">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1.323</v>
      </c>
      <c r="D60" s="56">
        <f>D54</f>
        <v>2.7E-2</v>
      </c>
      <c r="E60" s="56">
        <f>MAX(C60:D60)</f>
        <v>1.323</v>
      </c>
      <c r="G60" s="1" t="str">
        <f>G54</f>
        <v>per 1000 youth</v>
      </c>
      <c r="L60" s="58">
        <f>L54</f>
        <v>1000</v>
      </c>
      <c r="M60" s="58"/>
    </row>
    <row r="61" spans="2:18" ht="15" hidden="1" customHeight="1">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c r="B62" s="49" t="str">
        <f t="shared" si="11"/>
        <v>per 100 referrals</v>
      </c>
      <c r="C62" s="49">
        <f t="shared" si="11"/>
        <v>0.34</v>
      </c>
      <c r="D62" s="49">
        <f t="shared" si="11"/>
        <v>0</v>
      </c>
      <c r="E62" s="49">
        <f>MAX(C62:D62)</f>
        <v>0.34</v>
      </c>
      <c r="G62" s="1" t="str">
        <f>G56</f>
        <v>per 100 referrals</v>
      </c>
      <c r="L62" s="58">
        <f>IF(($E56&gt;0),L56,L55)</f>
        <v>100</v>
      </c>
      <c r="M62" s="58"/>
    </row>
    <row r="63" spans="2:18" ht="15" hidden="1" customHeight="1">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1.323</v>
      </c>
      <c r="D66" s="56">
        <f>D60</f>
        <v>2.7E-2</v>
      </c>
      <c r="E66" s="56">
        <f>MAX(C66:D66)</f>
        <v>1.323</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c r="B68" s="49" t="str">
        <f t="shared" si="12"/>
        <v>per 100 referrals</v>
      </c>
      <c r="C68" s="49">
        <f t="shared" si="12"/>
        <v>0.34</v>
      </c>
      <c r="D68" s="49">
        <f t="shared" si="12"/>
        <v>0</v>
      </c>
      <c r="E68" s="49">
        <f>MAX(C68:D68)</f>
        <v>0.34</v>
      </c>
      <c r="G68" s="1" t="str">
        <f>G62</f>
        <v>per 100 referrals</v>
      </c>
      <c r="L68" s="58">
        <f>IF(($E62&gt;0),L62,L61)</f>
        <v>100</v>
      </c>
      <c r="M68" s="58">
        <f>IF((B68=G68),1,2)</f>
        <v>1</v>
      </c>
    </row>
    <row r="69" spans="2:13" ht="15" hidden="1" customHeight="1">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9" t="str">
        <f>'Data Entry'!F5</f>
        <v>Asian</v>
      </c>
      <c r="G1" s="219"/>
      <c r="H1" s="219"/>
      <c r="I1" s="219"/>
      <c r="J1" s="219"/>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Missaukee</v>
      </c>
      <c r="C3" s="22"/>
      <c r="D3" s="22"/>
      <c r="E3" s="22"/>
      <c r="F3" s="22"/>
      <c r="G3" s="7"/>
      <c r="H3" s="7"/>
      <c r="I3" s="7"/>
      <c r="J3" s="7"/>
      <c r="K3" s="7"/>
      <c r="N3" s="218" t="s">
        <v>31</v>
      </c>
      <c r="O3" s="218"/>
      <c r="P3" s="218"/>
      <c r="Q3" s="218"/>
      <c r="R3" s="218"/>
      <c r="S3" s="218"/>
      <c r="T3" s="218"/>
      <c r="U3" s="218"/>
    </row>
    <row r="4" spans="2:21" ht="8.25" customHeight="1">
      <c r="B4" s="4"/>
      <c r="C4" s="23"/>
      <c r="D4" s="23"/>
      <c r="E4" s="23"/>
      <c r="F4" s="23"/>
      <c r="G4" s="8"/>
      <c r="H4" s="8"/>
      <c r="I4" s="8"/>
      <c r="N4" s="218"/>
      <c r="O4" s="218"/>
      <c r="P4" s="218"/>
      <c r="Q4" s="218"/>
      <c r="R4" s="218"/>
      <c r="S4" s="218"/>
      <c r="T4" s="218"/>
      <c r="U4" s="218"/>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 through 16) </v>
      </c>
      <c r="C6" s="33">
        <f>'Data Entry'!C6</f>
        <v>1323</v>
      </c>
      <c r="D6" s="34"/>
      <c r="E6" s="33">
        <f>'Data Entry'!F6</f>
        <v>10</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13.605442176870749</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10</v>
      </c>
      <c r="P7" s="42">
        <f t="shared" ref="P7:P15" si="4">C7</f>
        <v>18</v>
      </c>
      <c r="Q7" s="42">
        <f>C6-C7</f>
        <v>1305</v>
      </c>
      <c r="R7" s="42">
        <f t="shared" ref="R7:R15" si="5">SUM(N7:Q7)</f>
        <v>1333</v>
      </c>
      <c r="S7" s="30">
        <f t="shared" ref="S7:S15" si="6">R7*((((N7*Q7)-(O7*P7))^2))</f>
        <v>43189200</v>
      </c>
      <c r="T7" s="30">
        <f t="shared" ref="T7:T15" si="7">(N7+O7)*(P7+Q7)*(N7+P7)*(O7+Q7)</f>
        <v>313154100</v>
      </c>
      <c r="U7" s="31">
        <f t="shared" ref="U7:U15" si="8">IF((S7&gt;0),S7/T7,"- -")</f>
        <v>0.13791676366364036</v>
      </c>
    </row>
    <row r="8" spans="2:21" ht="18" customHeight="1">
      <c r="B8" s="32" t="str">
        <f>'Data Entry'!A8</f>
        <v>3. Refer to Juvenile Court</v>
      </c>
      <c r="C8" s="33">
        <f>'Data Entry'!C8</f>
        <v>34</v>
      </c>
      <c r="D8" s="34">
        <f>IF((AND(C67&gt;0,C8&gt;0)),(C8/C67),0)</f>
        <v>188.88888888888889</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34</v>
      </c>
      <c r="Q8" s="42">
        <f>(C$67*L67)-C8</f>
        <v>-16</v>
      </c>
      <c r="R8" s="42">
        <f t="shared" si="5"/>
        <v>18.049999999999997</v>
      </c>
      <c r="S8" s="30">
        <f t="shared" si="6"/>
        <v>52.164500000000004</v>
      </c>
      <c r="T8" s="30">
        <f t="shared" si="7"/>
        <v>-488.07</v>
      </c>
      <c r="U8" s="31">
        <f t="shared" si="8"/>
        <v>-0.10687913618948103</v>
      </c>
    </row>
    <row r="9" spans="2:21" ht="18" customHeight="1">
      <c r="B9" s="32" t="str">
        <f>'Data Entry'!A9</f>
        <v xml:space="preserve">4. Cases Diverted </v>
      </c>
      <c r="C9" s="33">
        <f>'Data Entry'!C9</f>
        <v>2</v>
      </c>
      <c r="D9" s="34">
        <f>IF((AND(C68&gt;0,C9&gt;0)),((C9/C68)),0)</f>
        <v>5.8823529411764701</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32</v>
      </c>
      <c r="R9" s="42">
        <f t="shared" si="5"/>
        <v>34</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5.8823529411764701</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32</v>
      </c>
      <c r="R10" s="42">
        <f t="shared" si="5"/>
        <v>34</v>
      </c>
      <c r="S10" s="30">
        <f t="shared" si="6"/>
        <v>0</v>
      </c>
      <c r="T10" s="30">
        <f t="shared" si="7"/>
        <v>0</v>
      </c>
      <c r="U10" s="31" t="str">
        <f t="shared" si="8"/>
        <v>- -</v>
      </c>
    </row>
    <row r="11" spans="2:21" ht="18" customHeight="1">
      <c r="B11" s="32" t="str">
        <f>'Data Entry'!A11</f>
        <v>6. Cases Petitioned (Charge Filed)</v>
      </c>
      <c r="C11" s="33">
        <f>'Data Entry'!C11</f>
        <v>13</v>
      </c>
      <c r="D11" s="34">
        <f>IF(((AND(C68&gt;0,C11&gt;0))),(C11/(C68)),0)</f>
        <v>38.235294117647058</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v>
      </c>
      <c r="Q11" s="42">
        <f>(C$68*L68)-C11</f>
        <v>21</v>
      </c>
      <c r="R11" s="42">
        <f t="shared" si="5"/>
        <v>34</v>
      </c>
      <c r="S11" s="30">
        <f t="shared" si="6"/>
        <v>0</v>
      </c>
      <c r="T11" s="30">
        <f t="shared" si="7"/>
        <v>0</v>
      </c>
      <c r="U11" s="31" t="str">
        <f t="shared" si="8"/>
        <v>- -</v>
      </c>
    </row>
    <row r="12" spans="2:21" ht="18" customHeight="1">
      <c r="B12" s="32" t="str">
        <f>'Data Entry'!A12</f>
        <v>7. Cases Resulting in Delinquent Findings</v>
      </c>
      <c r="C12" s="33">
        <f>'Data Entry'!C12</f>
        <v>13</v>
      </c>
      <c r="D12" s="34">
        <f>IF(((AND(C69&gt;0,C12&gt;0))),(C12/(C69)),0)</f>
        <v>100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v>
      </c>
      <c r="Q12" s="42">
        <f>(C69*L69)-C12</f>
        <v>0</v>
      </c>
      <c r="R12" s="42">
        <f t="shared" si="5"/>
        <v>13</v>
      </c>
      <c r="S12" s="30">
        <f t="shared" si="6"/>
        <v>0</v>
      </c>
      <c r="T12" s="30">
        <f t="shared" si="7"/>
        <v>0</v>
      </c>
      <c r="U12" s="31" t="str">
        <f t="shared" si="8"/>
        <v>- -</v>
      </c>
    </row>
    <row r="13" spans="2:21" ht="18" customHeight="1">
      <c r="B13" s="32" t="str">
        <f>'Data Entry'!A13</f>
        <v>8. Cases Resulting in Probation Placement</v>
      </c>
      <c r="C13" s="33">
        <f>'Data Entry'!C13</f>
        <v>18</v>
      </c>
      <c r="D13" s="34">
        <f>IF(((AND(C70&gt;0,C13&gt;0))),(C13/(C70)),0)</f>
        <v>138.46153846153845</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18</v>
      </c>
      <c r="Q13" s="42">
        <f>(C70*L70)-C13</f>
        <v>-5</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38.46153846153846</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8</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7" t="s">
        <v>79</v>
      </c>
      <c r="C40" s="217"/>
      <c r="D40" s="217"/>
      <c r="E40" s="217"/>
      <c r="F40" s="217"/>
      <c r="G40" s="217"/>
      <c r="H40" s="217"/>
      <c r="I40" s="217"/>
      <c r="J40" s="217"/>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1.323</v>
      </c>
      <c r="D42" s="56">
        <f>E6/1000</f>
        <v>0.01</v>
      </c>
      <c r="E42" s="56">
        <f>MAX(C42:D42)</f>
        <v>1.323</v>
      </c>
      <c r="G42" s="1" t="str">
        <f>B42</f>
        <v>per 1000 youth</v>
      </c>
      <c r="L42" s="57">
        <v>1000</v>
      </c>
      <c r="M42" s="57"/>
      <c r="R42" s="49"/>
    </row>
    <row r="43" spans="2:18" ht="15" hidden="1" customHeight="1">
      <c r="B43" s="49" t="s">
        <v>87</v>
      </c>
      <c r="C43" s="56">
        <f>C7/100</f>
        <v>0.18</v>
      </c>
      <c r="D43" s="56">
        <f>E7/100</f>
        <v>0</v>
      </c>
      <c r="E43" s="56">
        <f>MAX(C43:D43,0)</f>
        <v>0.18</v>
      </c>
      <c r="G43" s="1" t="str">
        <f>B43</f>
        <v>per 100 arrests</v>
      </c>
      <c r="L43" s="57">
        <v>100</v>
      </c>
      <c r="M43" s="57"/>
      <c r="R43" s="49"/>
    </row>
    <row r="44" spans="2:18" ht="15" hidden="1" customHeight="1">
      <c r="B44" s="49" t="s">
        <v>88</v>
      </c>
      <c r="C44" s="56">
        <f>C8/100</f>
        <v>0.34</v>
      </c>
      <c r="D44" s="56">
        <f>E8/100</f>
        <v>0</v>
      </c>
      <c r="E44" s="56">
        <f>MAX(C44:D44,0)</f>
        <v>0.34</v>
      </c>
      <c r="G44" s="1" t="str">
        <f>B44</f>
        <v>per 100 referrals</v>
      </c>
      <c r="L44" s="57">
        <v>100</v>
      </c>
      <c r="M44" s="57"/>
      <c r="R44" s="49"/>
    </row>
    <row r="45" spans="2:18" ht="15" hidden="1" customHeight="1">
      <c r="B45" s="49" t="s">
        <v>89</v>
      </c>
      <c r="C45" s="49">
        <f>C11/100</f>
        <v>0.13</v>
      </c>
      <c r="D45" s="49">
        <f>E11/100</f>
        <v>0</v>
      </c>
      <c r="E45" s="56">
        <f>MAX(C45:D45,0)</f>
        <v>0.13</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1.323</v>
      </c>
      <c r="D48" s="56">
        <f>D42</f>
        <v>0.01</v>
      </c>
      <c r="E48" s="56">
        <f>MAX(C48:D48)</f>
        <v>1.323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c r="B50" s="49" t="str">
        <f t="shared" si="9"/>
        <v>per 100 referrals</v>
      </c>
      <c r="C50" s="49">
        <f t="shared" si="9"/>
        <v>0.34</v>
      </c>
      <c r="D50" s="49">
        <f t="shared" si="9"/>
        <v>0</v>
      </c>
      <c r="E50" s="49">
        <f>MAX(C50:D50)</f>
        <v>0.34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1.323</v>
      </c>
      <c r="D54" s="56">
        <f>D48</f>
        <v>0.01</v>
      </c>
      <c r="E54" s="56">
        <f>MAX(C54:D54)</f>
        <v>1.323</v>
      </c>
      <c r="G54" s="1" t="str">
        <f>G48</f>
        <v>per 1000 youth</v>
      </c>
      <c r="L54" s="58">
        <f>L48</f>
        <v>1000</v>
      </c>
      <c r="M54" s="58"/>
    </row>
    <row r="55" spans="2:18" ht="15" hidden="1" customHeight="1">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c r="B56" s="49" t="str">
        <f t="shared" si="10"/>
        <v>per 100 referrals</v>
      </c>
      <c r="C56" s="49">
        <f t="shared" si="10"/>
        <v>0.34</v>
      </c>
      <c r="D56" s="49">
        <f t="shared" si="10"/>
        <v>0</v>
      </c>
      <c r="E56" s="49">
        <f>MAX(C56:D56)</f>
        <v>0.34</v>
      </c>
      <c r="G56" s="1" t="str">
        <f>G50</f>
        <v>per 100 referrals</v>
      </c>
      <c r="L56" s="58">
        <f>IF(($E50&gt;0),L50,L49)</f>
        <v>100</v>
      </c>
      <c r="M56" s="58"/>
    </row>
    <row r="57" spans="2:18" ht="15" hidden="1" customHeight="1">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1.323</v>
      </c>
      <c r="D60" s="56">
        <f>D54</f>
        <v>0.01</v>
      </c>
      <c r="E60" s="56">
        <f>MAX(C60:D60)</f>
        <v>1.323</v>
      </c>
      <c r="G60" s="1" t="str">
        <f>G54</f>
        <v>per 1000 youth</v>
      </c>
      <c r="L60" s="58">
        <f>L54</f>
        <v>1000</v>
      </c>
      <c r="M60" s="58"/>
    </row>
    <row r="61" spans="2:18" ht="15" hidden="1" customHeight="1">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c r="B62" s="49" t="str">
        <f t="shared" si="11"/>
        <v>per 100 referrals</v>
      </c>
      <c r="C62" s="49">
        <f t="shared" si="11"/>
        <v>0.34</v>
      </c>
      <c r="D62" s="49">
        <f t="shared" si="11"/>
        <v>0</v>
      </c>
      <c r="E62" s="49">
        <f>MAX(C62:D62)</f>
        <v>0.34</v>
      </c>
      <c r="G62" s="1" t="str">
        <f>G56</f>
        <v>per 100 referrals</v>
      </c>
      <c r="L62" s="58">
        <f>IF(($E56&gt;0),L56,L55)</f>
        <v>100</v>
      </c>
      <c r="M62" s="58"/>
    </row>
    <row r="63" spans="2:18" ht="15" hidden="1" customHeight="1">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1.323</v>
      </c>
      <c r="D66" s="56">
        <f>D60</f>
        <v>0.01</v>
      </c>
      <c r="E66" s="56">
        <f>MAX(C66:D66)</f>
        <v>1.323</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c r="B68" s="49" t="str">
        <f t="shared" si="12"/>
        <v>per 100 referrals</v>
      </c>
      <c r="C68" s="49">
        <f t="shared" si="12"/>
        <v>0.34</v>
      </c>
      <c r="D68" s="49">
        <f t="shared" si="12"/>
        <v>0</v>
      </c>
      <c r="E68" s="49">
        <f>MAX(C68:D68)</f>
        <v>0.34</v>
      </c>
      <c r="G68" s="1" t="str">
        <f>G62</f>
        <v>per 100 referrals</v>
      </c>
      <c r="L68" s="58">
        <f>IF(($E62&gt;0),L62,L61)</f>
        <v>100</v>
      </c>
      <c r="M68" s="58">
        <f>IF((B68=G68),1,2)</f>
        <v>1</v>
      </c>
    </row>
    <row r="69" spans="2:13" ht="15" hidden="1" customHeight="1">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9" t="str">
        <f>'Data Entry'!E5</f>
        <v>Hispanic or Latino</v>
      </c>
      <c r="G1" s="219"/>
      <c r="H1" s="219"/>
      <c r="I1" s="219"/>
      <c r="J1" s="219"/>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Missaukee</v>
      </c>
      <c r="C3" s="22"/>
      <c r="D3" s="22"/>
      <c r="E3" s="22"/>
      <c r="F3" s="22"/>
      <c r="G3" s="7"/>
      <c r="H3" s="7"/>
      <c r="I3" s="7"/>
      <c r="J3" s="7"/>
      <c r="K3" s="7"/>
      <c r="N3" s="218" t="s">
        <v>31</v>
      </c>
      <c r="O3" s="218"/>
      <c r="P3" s="218"/>
      <c r="Q3" s="218"/>
      <c r="R3" s="218"/>
      <c r="S3" s="218"/>
      <c r="T3" s="218"/>
      <c r="U3" s="218"/>
    </row>
    <row r="4" spans="2:21" ht="24.75" customHeight="1">
      <c r="B4" s="4"/>
      <c r="C4" s="23"/>
      <c r="D4" s="23"/>
      <c r="E4" s="23"/>
      <c r="F4" s="23"/>
      <c r="G4" s="8"/>
      <c r="H4" s="8"/>
      <c r="I4" s="8"/>
      <c r="N4" s="218"/>
      <c r="O4" s="218"/>
      <c r="P4" s="218"/>
      <c r="Q4" s="218"/>
      <c r="R4" s="218"/>
      <c r="S4" s="218"/>
      <c r="T4" s="218"/>
      <c r="U4" s="218"/>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 through 16) </v>
      </c>
      <c r="C6" s="33">
        <f>'Data Entry'!C6</f>
        <v>1323</v>
      </c>
      <c r="D6" s="34"/>
      <c r="E6" s="33">
        <f>'Data Entry'!E6</f>
        <v>48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13.605442176870749</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48</v>
      </c>
      <c r="P7" s="42">
        <f t="shared" ref="P7:P15" si="4">C7</f>
        <v>18</v>
      </c>
      <c r="Q7" s="42">
        <f>C6-C7</f>
        <v>1305</v>
      </c>
      <c r="R7" s="42">
        <f t="shared" ref="R7:R15" si="5">SUM(N7:Q7)</f>
        <v>1371</v>
      </c>
      <c r="S7" s="30">
        <f t="shared" ref="S7:S15" si="6">R7*((((N7*Q7)-(O7*P7))^2))</f>
        <v>1023446016</v>
      </c>
      <c r="T7" s="30">
        <f t="shared" ref="T7:T15" si="7">(N7+O7)*(P7+Q7)*(N7+P7)*(O7+Q7)</f>
        <v>1546576416</v>
      </c>
      <c r="U7" s="31">
        <f t="shared" ref="U7:U15" si="8">IF((S7&gt;0),S7/T7,"- -")</f>
        <v>0.66174940042535857</v>
      </c>
    </row>
    <row r="8" spans="2:21" ht="18" customHeight="1">
      <c r="B8" s="32" t="str">
        <f>'Data Entry'!A8</f>
        <v>3. Refer to Juvenile Court</v>
      </c>
      <c r="C8" s="33">
        <f>'Data Entry'!C8</f>
        <v>34</v>
      </c>
      <c r="D8" s="34">
        <f>IF((AND(C67&gt;0,C8&gt;0)),(C8/C67),0)</f>
        <v>188.88888888888889</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34</v>
      </c>
      <c r="Q8" s="42">
        <f>(C$67*L67)-C8</f>
        <v>-16</v>
      </c>
      <c r="R8" s="42">
        <f t="shared" si="5"/>
        <v>18.049999999999997</v>
      </c>
      <c r="S8" s="30">
        <f t="shared" si="6"/>
        <v>52.164500000000004</v>
      </c>
      <c r="T8" s="30">
        <f t="shared" si="7"/>
        <v>-488.07</v>
      </c>
      <c r="U8" s="31">
        <f t="shared" si="8"/>
        <v>-0.10687913618948103</v>
      </c>
    </row>
    <row r="9" spans="2:21" ht="18" customHeight="1">
      <c r="B9" s="32" t="str">
        <f>'Data Entry'!A9</f>
        <v xml:space="preserve">4. Cases Diverted </v>
      </c>
      <c r="C9" s="33">
        <f>'Data Entry'!C9</f>
        <v>2</v>
      </c>
      <c r="D9" s="34">
        <f>IF((AND(C68&gt;0,C9&gt;0)),((C9/C68)),0)</f>
        <v>5.8823529411764701</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32</v>
      </c>
      <c r="R9" s="42">
        <f t="shared" si="5"/>
        <v>34</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5.8823529411764701</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32</v>
      </c>
      <c r="R10" s="42">
        <f t="shared" si="5"/>
        <v>34</v>
      </c>
      <c r="S10" s="30">
        <f t="shared" si="6"/>
        <v>0</v>
      </c>
      <c r="T10" s="30">
        <f t="shared" si="7"/>
        <v>0</v>
      </c>
      <c r="U10" s="31" t="str">
        <f t="shared" si="8"/>
        <v>- -</v>
      </c>
    </row>
    <row r="11" spans="2:21" ht="18" customHeight="1">
      <c r="B11" s="32" t="str">
        <f>'Data Entry'!A11</f>
        <v>6. Cases Petitioned (Charge Filed)</v>
      </c>
      <c r="C11" s="33">
        <f>'Data Entry'!C11</f>
        <v>13</v>
      </c>
      <c r="D11" s="34">
        <f>IF(((AND(C68&gt;0,C11&gt;0))),(C11/(C68)),0)</f>
        <v>38.235294117647058</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v>
      </c>
      <c r="Q11" s="42">
        <f>(C$68*L68)-C11</f>
        <v>21</v>
      </c>
      <c r="R11" s="42">
        <f t="shared" si="5"/>
        <v>34</v>
      </c>
      <c r="S11" s="30">
        <f t="shared" si="6"/>
        <v>0</v>
      </c>
      <c r="T11" s="30">
        <f t="shared" si="7"/>
        <v>0</v>
      </c>
      <c r="U11" s="31" t="str">
        <f t="shared" si="8"/>
        <v>- -</v>
      </c>
    </row>
    <row r="12" spans="2:21" ht="18" customHeight="1">
      <c r="B12" s="32" t="str">
        <f>'Data Entry'!A12</f>
        <v>7. Cases Resulting in Delinquent Findings</v>
      </c>
      <c r="C12" s="33">
        <f>'Data Entry'!C12</f>
        <v>13</v>
      </c>
      <c r="D12" s="34">
        <f>IF(((AND(C69&gt;0,C12&gt;0))),(C12/(C69)),0)</f>
        <v>100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v>
      </c>
      <c r="Q12" s="42">
        <f>(C69*L69)-C12</f>
        <v>0</v>
      </c>
      <c r="R12" s="42">
        <f t="shared" si="5"/>
        <v>13</v>
      </c>
      <c r="S12" s="30">
        <f t="shared" si="6"/>
        <v>0</v>
      </c>
      <c r="T12" s="30">
        <f t="shared" si="7"/>
        <v>0</v>
      </c>
      <c r="U12" s="31" t="str">
        <f t="shared" si="8"/>
        <v>- -</v>
      </c>
    </row>
    <row r="13" spans="2:21" ht="18" customHeight="1">
      <c r="B13" s="32" t="str">
        <f>'Data Entry'!A13</f>
        <v>8. Cases Resulting in Probation Placement</v>
      </c>
      <c r="C13" s="33">
        <f>'Data Entry'!C13</f>
        <v>18</v>
      </c>
      <c r="D13" s="34">
        <f>IF(((AND(C70&gt;0,C13&gt;0))),(C13/(C70)),0)</f>
        <v>138.46153846153845</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18</v>
      </c>
      <c r="Q13" s="42">
        <f>(C70*L70)-C13</f>
        <v>-5</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38.46153846153846</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8</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7" t="s">
        <v>79</v>
      </c>
      <c r="C40" s="217"/>
      <c r="D40" s="217"/>
      <c r="E40" s="217"/>
      <c r="F40" s="217"/>
      <c r="G40" s="217"/>
      <c r="H40" s="217"/>
      <c r="I40" s="217"/>
      <c r="J40" s="217"/>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1.323</v>
      </c>
      <c r="D42" s="56">
        <f>E6/1000</f>
        <v>4.8000000000000001E-2</v>
      </c>
      <c r="E42" s="56">
        <f>MAX(C42:D42)</f>
        <v>1.323</v>
      </c>
      <c r="G42" s="1" t="str">
        <f>B42</f>
        <v>per 1000 youth</v>
      </c>
      <c r="L42" s="57">
        <v>1000</v>
      </c>
      <c r="M42" s="57"/>
      <c r="R42" s="49"/>
    </row>
    <row r="43" spans="2:18" ht="15" hidden="1" customHeight="1">
      <c r="B43" s="49" t="s">
        <v>87</v>
      </c>
      <c r="C43" s="56">
        <f>C7/100</f>
        <v>0.18</v>
      </c>
      <c r="D43" s="56">
        <f>E7/100</f>
        <v>0</v>
      </c>
      <c r="E43" s="56">
        <f>MAX(C43:D43,0)</f>
        <v>0.18</v>
      </c>
      <c r="G43" s="1" t="str">
        <f>B43</f>
        <v>per 100 arrests</v>
      </c>
      <c r="L43" s="57">
        <v>100</v>
      </c>
      <c r="M43" s="57"/>
      <c r="R43" s="49"/>
    </row>
    <row r="44" spans="2:18" ht="15" hidden="1" customHeight="1">
      <c r="B44" s="49" t="s">
        <v>88</v>
      </c>
      <c r="C44" s="56">
        <f>C8/100</f>
        <v>0.34</v>
      </c>
      <c r="D44" s="56">
        <f>E8/100</f>
        <v>0</v>
      </c>
      <c r="E44" s="56">
        <f>MAX(C44:D44,0)</f>
        <v>0.34</v>
      </c>
      <c r="G44" s="1" t="str">
        <f>B44</f>
        <v>per 100 referrals</v>
      </c>
      <c r="L44" s="57">
        <v>100</v>
      </c>
      <c r="M44" s="57"/>
      <c r="R44" s="49"/>
    </row>
    <row r="45" spans="2:18" ht="15" hidden="1" customHeight="1">
      <c r="B45" s="49" t="s">
        <v>89</v>
      </c>
      <c r="C45" s="49">
        <f>C11/100</f>
        <v>0.13</v>
      </c>
      <c r="D45" s="49">
        <f>E11/100</f>
        <v>0</v>
      </c>
      <c r="E45" s="56">
        <f>MAX(C45:D45,0)</f>
        <v>0.13</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1.323</v>
      </c>
      <c r="D48" s="56">
        <f>D42</f>
        <v>4.8000000000000001E-2</v>
      </c>
      <c r="E48" s="56">
        <f>MAX(C48:D48)</f>
        <v>1.323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c r="B50" s="49" t="str">
        <f t="shared" si="9"/>
        <v>per 100 referrals</v>
      </c>
      <c r="C50" s="49">
        <f t="shared" si="9"/>
        <v>0.34</v>
      </c>
      <c r="D50" s="49">
        <f t="shared" si="9"/>
        <v>0</v>
      </c>
      <c r="E50" s="49">
        <f>MAX(C50:D50)</f>
        <v>0.34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1.323</v>
      </c>
      <c r="D54" s="56">
        <f>D48</f>
        <v>4.8000000000000001E-2</v>
      </c>
      <c r="E54" s="56">
        <f>MAX(C54:D54)</f>
        <v>1.323</v>
      </c>
      <c r="G54" s="1" t="str">
        <f>G48</f>
        <v>per 1000 youth</v>
      </c>
      <c r="L54" s="58">
        <f>L48</f>
        <v>1000</v>
      </c>
      <c r="M54" s="58"/>
    </row>
    <row r="55" spans="2:18" ht="15" hidden="1" customHeight="1">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c r="B56" s="49" t="str">
        <f t="shared" si="10"/>
        <v>per 100 referrals</v>
      </c>
      <c r="C56" s="49">
        <f t="shared" si="10"/>
        <v>0.34</v>
      </c>
      <c r="D56" s="49">
        <f t="shared" si="10"/>
        <v>0</v>
      </c>
      <c r="E56" s="49">
        <f>MAX(C56:D56)</f>
        <v>0.34</v>
      </c>
      <c r="G56" s="1" t="str">
        <f>G50</f>
        <v>per 100 referrals</v>
      </c>
      <c r="L56" s="58">
        <f>IF(($E50&gt;0),L50,L49)</f>
        <v>100</v>
      </c>
      <c r="M56" s="58"/>
    </row>
    <row r="57" spans="2:18" ht="15" hidden="1" customHeight="1">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1.323</v>
      </c>
      <c r="D60" s="56">
        <f>D54</f>
        <v>4.8000000000000001E-2</v>
      </c>
      <c r="E60" s="56">
        <f>MAX(C60:D60)</f>
        <v>1.323</v>
      </c>
      <c r="G60" s="1" t="str">
        <f>G54</f>
        <v>per 1000 youth</v>
      </c>
      <c r="L60" s="58">
        <f>L54</f>
        <v>1000</v>
      </c>
      <c r="M60" s="58"/>
    </row>
    <row r="61" spans="2:18" ht="15" hidden="1" customHeight="1">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c r="B62" s="49" t="str">
        <f t="shared" si="11"/>
        <v>per 100 referrals</v>
      </c>
      <c r="C62" s="49">
        <f t="shared" si="11"/>
        <v>0.34</v>
      </c>
      <c r="D62" s="49">
        <f t="shared" si="11"/>
        <v>0</v>
      </c>
      <c r="E62" s="49">
        <f>MAX(C62:D62)</f>
        <v>0.34</v>
      </c>
      <c r="G62" s="1" t="str">
        <f>G56</f>
        <v>per 100 referrals</v>
      </c>
      <c r="L62" s="58">
        <f>IF(($E56&gt;0),L56,L55)</f>
        <v>100</v>
      </c>
      <c r="M62" s="58"/>
    </row>
    <row r="63" spans="2:18" ht="15" hidden="1" customHeight="1">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1.323</v>
      </c>
      <c r="D66" s="56">
        <f>D60</f>
        <v>4.8000000000000001E-2</v>
      </c>
      <c r="E66" s="56">
        <f>MAX(C66:D66)</f>
        <v>1.323</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c r="B68" s="49" t="str">
        <f t="shared" si="12"/>
        <v>per 100 referrals</v>
      </c>
      <c r="C68" s="49">
        <f t="shared" si="12"/>
        <v>0.34</v>
      </c>
      <c r="D68" s="49">
        <f t="shared" si="12"/>
        <v>0</v>
      </c>
      <c r="E68" s="49">
        <f>MAX(C68:D68)</f>
        <v>0.34</v>
      </c>
      <c r="G68" s="1" t="str">
        <f>G62</f>
        <v>per 100 referrals</v>
      </c>
      <c r="L68" s="58">
        <f>IF(($E62&gt;0),L62,L61)</f>
        <v>100</v>
      </c>
      <c r="M68" s="58">
        <f>IF((B68=G68),1,2)</f>
        <v>1</v>
      </c>
    </row>
    <row r="69" spans="2:13" ht="15" hidden="1" customHeight="1">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9" t="str">
        <f>'Data Entry'!G5</f>
        <v>Native Hawaiian or Other Pacific Islanders</v>
      </c>
      <c r="G1" s="219"/>
      <c r="H1" s="219"/>
      <c r="I1" s="219"/>
      <c r="J1" s="219"/>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Missaukee</v>
      </c>
      <c r="C3" s="22"/>
      <c r="D3" s="22"/>
      <c r="E3" s="22"/>
      <c r="F3" s="22"/>
      <c r="G3" s="7"/>
      <c r="H3" s="7"/>
      <c r="I3" s="7"/>
      <c r="J3" s="7"/>
      <c r="K3" s="7"/>
      <c r="N3" s="218" t="s">
        <v>31</v>
      </c>
      <c r="O3" s="218"/>
      <c r="P3" s="218"/>
      <c r="Q3" s="218"/>
      <c r="R3" s="218"/>
      <c r="S3" s="218"/>
      <c r="T3" s="218"/>
      <c r="U3" s="218"/>
    </row>
    <row r="4" spans="2:21" ht="8.25" customHeight="1">
      <c r="B4" s="4"/>
      <c r="C4" s="23"/>
      <c r="D4" s="23"/>
      <c r="E4" s="23"/>
      <c r="F4" s="23"/>
      <c r="G4" s="8"/>
      <c r="H4" s="8"/>
      <c r="I4" s="8"/>
      <c r="N4" s="218"/>
      <c r="O4" s="218"/>
      <c r="P4" s="218"/>
      <c r="Q4" s="218"/>
      <c r="R4" s="218"/>
      <c r="S4" s="218"/>
      <c r="T4" s="218"/>
      <c r="U4" s="218"/>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 through 16) </v>
      </c>
      <c r="C6" s="33">
        <f>'Data Entry'!C6</f>
        <v>1323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13.605442176870749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18</v>
      </c>
      <c r="Q7" s="42">
        <f>C6-C7</f>
        <v>1305</v>
      </c>
      <c r="R7" s="42">
        <f t="shared" ref="R7:R15" si="5">SUM(N7:Q7)</f>
        <v>1323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34</v>
      </c>
      <c r="D8" s="34">
        <f>IF((AND(C67&gt;0,C8&gt;0)),(C8/C67),0)</f>
        <v>188.88888888888889</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34</v>
      </c>
      <c r="Q8" s="42">
        <f>(C$67*L67)-C8</f>
        <v>-16</v>
      </c>
      <c r="R8" s="42">
        <f t="shared" si="5"/>
        <v>18.049999999999997</v>
      </c>
      <c r="S8" s="30">
        <f t="shared" si="6"/>
        <v>52.164500000000004</v>
      </c>
      <c r="T8" s="30">
        <f t="shared" si="7"/>
        <v>-488.07</v>
      </c>
      <c r="U8" s="31">
        <f t="shared" si="8"/>
        <v>-0.10687913618948103</v>
      </c>
    </row>
    <row r="9" spans="2:21" ht="18" customHeight="1">
      <c r="B9" s="32" t="str">
        <f>'Data Entry'!A9</f>
        <v xml:space="preserve">4. Cases Diverted </v>
      </c>
      <c r="C9" s="33">
        <f>'Data Entry'!C9</f>
        <v>2</v>
      </c>
      <c r="D9" s="34">
        <f>IF((AND(C68&gt;0,C9&gt;0)),((C9/C68)),0)</f>
        <v>5.8823529411764701</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32</v>
      </c>
      <c r="R9" s="42">
        <f t="shared" si="5"/>
        <v>34</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5.8823529411764701</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32</v>
      </c>
      <c r="R10" s="42">
        <f t="shared" si="5"/>
        <v>34</v>
      </c>
      <c r="S10" s="30">
        <f t="shared" si="6"/>
        <v>0</v>
      </c>
      <c r="T10" s="30">
        <f t="shared" si="7"/>
        <v>0</v>
      </c>
      <c r="U10" s="31" t="str">
        <f t="shared" si="8"/>
        <v>- -</v>
      </c>
    </row>
    <row r="11" spans="2:21" ht="18" customHeight="1">
      <c r="B11" s="32" t="str">
        <f>'Data Entry'!A11</f>
        <v>6. Cases Petitioned (Charge Filed)</v>
      </c>
      <c r="C11" s="33">
        <f>'Data Entry'!C11</f>
        <v>13</v>
      </c>
      <c r="D11" s="34">
        <f>IF(((AND(C68&gt;0,C11&gt;0))),(C11/(C68)),0)</f>
        <v>38.235294117647058</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v>
      </c>
      <c r="Q11" s="42">
        <f>(C$68*L68)-C11</f>
        <v>21</v>
      </c>
      <c r="R11" s="42">
        <f t="shared" si="5"/>
        <v>34</v>
      </c>
      <c r="S11" s="30">
        <f t="shared" si="6"/>
        <v>0</v>
      </c>
      <c r="T11" s="30">
        <f t="shared" si="7"/>
        <v>0</v>
      </c>
      <c r="U11" s="31" t="str">
        <f t="shared" si="8"/>
        <v>- -</v>
      </c>
    </row>
    <row r="12" spans="2:21" ht="18" customHeight="1">
      <c r="B12" s="32" t="str">
        <f>'Data Entry'!A12</f>
        <v>7. Cases Resulting in Delinquent Findings</v>
      </c>
      <c r="C12" s="33">
        <f>'Data Entry'!C12</f>
        <v>13</v>
      </c>
      <c r="D12" s="34">
        <f>IF(((AND(C69&gt;0,C12&gt;0))),(C12/(C69)),0)</f>
        <v>100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v>
      </c>
      <c r="Q12" s="42">
        <f>(C69*L69)-C12</f>
        <v>0</v>
      </c>
      <c r="R12" s="42">
        <f t="shared" si="5"/>
        <v>13</v>
      </c>
      <c r="S12" s="30">
        <f t="shared" si="6"/>
        <v>0</v>
      </c>
      <c r="T12" s="30">
        <f t="shared" si="7"/>
        <v>0</v>
      </c>
      <c r="U12" s="31" t="str">
        <f t="shared" si="8"/>
        <v>- -</v>
      </c>
    </row>
    <row r="13" spans="2:21" ht="18" customHeight="1">
      <c r="B13" s="32" t="str">
        <f>'Data Entry'!A13</f>
        <v>8. Cases Resulting in Probation Placement</v>
      </c>
      <c r="C13" s="33">
        <f>'Data Entry'!C13</f>
        <v>18</v>
      </c>
      <c r="D13" s="34">
        <f>IF(((AND(C70&gt;0,C13&gt;0))),(C13/(C70)),0)</f>
        <v>138.46153846153845</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18</v>
      </c>
      <c r="Q13" s="42">
        <f>(C70*L70)-C13</f>
        <v>-5</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38.46153846153846</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8</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7" t="s">
        <v>79</v>
      </c>
      <c r="C40" s="217"/>
      <c r="D40" s="217"/>
      <c r="E40" s="217"/>
      <c r="F40" s="217"/>
      <c r="G40" s="217"/>
      <c r="H40" s="217"/>
      <c r="I40" s="217"/>
      <c r="J40" s="217"/>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1.323</v>
      </c>
      <c r="D42" s="56">
        <f>E6/1000</f>
        <v>0</v>
      </c>
      <c r="E42" s="56">
        <f>MAX(C42:D42)</f>
        <v>1.323</v>
      </c>
      <c r="G42" s="1" t="str">
        <f>B42</f>
        <v>per 1000 youth</v>
      </c>
      <c r="L42" s="57">
        <v>1000</v>
      </c>
      <c r="M42" s="57"/>
      <c r="R42" s="49"/>
    </row>
    <row r="43" spans="2:18" ht="15" hidden="1" customHeight="1">
      <c r="B43" s="49" t="s">
        <v>87</v>
      </c>
      <c r="C43" s="56">
        <f>C7/100</f>
        <v>0.18</v>
      </c>
      <c r="D43" s="56">
        <f>E7/100</f>
        <v>0</v>
      </c>
      <c r="E43" s="56">
        <f>MAX(C43:D43,0)</f>
        <v>0.18</v>
      </c>
      <c r="G43" s="1" t="str">
        <f>B43</f>
        <v>per 100 arrests</v>
      </c>
      <c r="L43" s="57">
        <v>100</v>
      </c>
      <c r="M43" s="57"/>
      <c r="R43" s="49"/>
    </row>
    <row r="44" spans="2:18" ht="15" hidden="1" customHeight="1">
      <c r="B44" s="49" t="s">
        <v>88</v>
      </c>
      <c r="C44" s="56">
        <f>C8/100</f>
        <v>0.34</v>
      </c>
      <c r="D44" s="56">
        <f>E8/100</f>
        <v>0</v>
      </c>
      <c r="E44" s="56">
        <f>MAX(C44:D44,0)</f>
        <v>0.34</v>
      </c>
      <c r="G44" s="1" t="str">
        <f>B44</f>
        <v>per 100 referrals</v>
      </c>
      <c r="L44" s="57">
        <v>100</v>
      </c>
      <c r="M44" s="57"/>
      <c r="R44" s="49"/>
    </row>
    <row r="45" spans="2:18" ht="15" hidden="1" customHeight="1">
      <c r="B45" s="49" t="s">
        <v>89</v>
      </c>
      <c r="C45" s="49">
        <f>C11/100</f>
        <v>0.13</v>
      </c>
      <c r="D45" s="49">
        <f>E11/100</f>
        <v>0</v>
      </c>
      <c r="E45" s="56">
        <f>MAX(C45:D45,0)</f>
        <v>0.13</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1.323</v>
      </c>
      <c r="D48" s="56">
        <f>D42</f>
        <v>0</v>
      </c>
      <c r="E48" s="56">
        <f>MAX(C48:D48)</f>
        <v>1.323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c r="B50" s="49" t="str">
        <f t="shared" si="9"/>
        <v>per 100 referrals</v>
      </c>
      <c r="C50" s="49">
        <f t="shared" si="9"/>
        <v>0.34</v>
      </c>
      <c r="D50" s="49">
        <f t="shared" si="9"/>
        <v>0</v>
      </c>
      <c r="E50" s="49">
        <f>MAX(C50:D50)</f>
        <v>0.34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1.323</v>
      </c>
      <c r="D54" s="56">
        <f>D48</f>
        <v>0</v>
      </c>
      <c r="E54" s="56">
        <f>MAX(C54:D54)</f>
        <v>1.323</v>
      </c>
      <c r="G54" s="1" t="str">
        <f>G48</f>
        <v>per 1000 youth</v>
      </c>
      <c r="L54" s="58">
        <f>L48</f>
        <v>1000</v>
      </c>
      <c r="M54" s="58"/>
    </row>
    <row r="55" spans="2:18" ht="15" hidden="1" customHeight="1">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c r="B56" s="49" t="str">
        <f t="shared" si="10"/>
        <v>per 100 referrals</v>
      </c>
      <c r="C56" s="49">
        <f t="shared" si="10"/>
        <v>0.34</v>
      </c>
      <c r="D56" s="49">
        <f t="shared" si="10"/>
        <v>0</v>
      </c>
      <c r="E56" s="49">
        <f>MAX(C56:D56)</f>
        <v>0.34</v>
      </c>
      <c r="G56" s="1" t="str">
        <f>G50</f>
        <v>per 100 referrals</v>
      </c>
      <c r="L56" s="58">
        <f>IF(($E50&gt;0),L50,L49)</f>
        <v>100</v>
      </c>
      <c r="M56" s="58"/>
    </row>
    <row r="57" spans="2:18" ht="15" hidden="1" customHeight="1">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1.323</v>
      </c>
      <c r="D60" s="56">
        <f>D54</f>
        <v>0</v>
      </c>
      <c r="E60" s="56">
        <f>MAX(C60:D60)</f>
        <v>1.323</v>
      </c>
      <c r="G60" s="1" t="str">
        <f>G54</f>
        <v>per 1000 youth</v>
      </c>
      <c r="L60" s="58">
        <f>L54</f>
        <v>1000</v>
      </c>
      <c r="M60" s="58"/>
    </row>
    <row r="61" spans="2:18" ht="15" hidden="1" customHeight="1">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c r="B62" s="49" t="str">
        <f t="shared" si="11"/>
        <v>per 100 referrals</v>
      </c>
      <c r="C62" s="49">
        <f t="shared" si="11"/>
        <v>0.34</v>
      </c>
      <c r="D62" s="49">
        <f t="shared" si="11"/>
        <v>0</v>
      </c>
      <c r="E62" s="49">
        <f>MAX(C62:D62)</f>
        <v>0.34</v>
      </c>
      <c r="G62" s="1" t="str">
        <f>G56</f>
        <v>per 100 referrals</v>
      </c>
      <c r="L62" s="58">
        <f>IF(($E56&gt;0),L56,L55)</f>
        <v>100</v>
      </c>
      <c r="M62" s="58"/>
    </row>
    <row r="63" spans="2:18" ht="15" hidden="1" customHeight="1">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1.323</v>
      </c>
      <c r="D66" s="56">
        <f>D60</f>
        <v>0</v>
      </c>
      <c r="E66" s="56">
        <f>MAX(C66:D66)</f>
        <v>1.323</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c r="B68" s="49" t="str">
        <f t="shared" si="12"/>
        <v>per 100 referrals</v>
      </c>
      <c r="C68" s="49">
        <f t="shared" si="12"/>
        <v>0.34</v>
      </c>
      <c r="D68" s="49">
        <f t="shared" si="12"/>
        <v>0</v>
      </c>
      <c r="E68" s="49">
        <f>MAX(C68:D68)</f>
        <v>0.34</v>
      </c>
      <c r="G68" s="1" t="str">
        <f>G62</f>
        <v>per 100 referrals</v>
      </c>
      <c r="L68" s="58">
        <f>IF(($E62&gt;0),L62,L61)</f>
        <v>100</v>
      </c>
      <c r="M68" s="58">
        <f>IF((B68=G68),1,2)</f>
        <v>1</v>
      </c>
    </row>
    <row r="69" spans="2:13" ht="15" hidden="1" customHeight="1">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9" t="str">
        <f>'Data Entry'!H5</f>
        <v>American Indian or Alaska Native</v>
      </c>
      <c r="G1" s="219"/>
      <c r="H1" s="219"/>
      <c r="I1" s="219"/>
      <c r="J1" s="219"/>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Missaukee</v>
      </c>
      <c r="C3" s="22"/>
      <c r="D3" s="22"/>
      <c r="E3" s="22"/>
      <c r="F3" s="22"/>
      <c r="G3" s="7"/>
      <c r="H3" s="7"/>
      <c r="I3" s="7"/>
      <c r="J3" s="7"/>
      <c r="K3" s="7"/>
      <c r="N3" s="218" t="s">
        <v>31</v>
      </c>
      <c r="O3" s="218"/>
      <c r="P3" s="218"/>
      <c r="Q3" s="218"/>
      <c r="R3" s="218"/>
      <c r="S3" s="218"/>
      <c r="T3" s="218"/>
      <c r="U3" s="218"/>
    </row>
    <row r="4" spans="2:21" ht="8.25" customHeight="1">
      <c r="B4" s="4"/>
      <c r="C4" s="23"/>
      <c r="D4" s="23"/>
      <c r="E4" s="23"/>
      <c r="F4" s="23"/>
      <c r="G4" s="8"/>
      <c r="H4" s="8"/>
      <c r="I4" s="8"/>
      <c r="N4" s="218"/>
      <c r="O4" s="218"/>
      <c r="P4" s="218"/>
      <c r="Q4" s="218"/>
      <c r="R4" s="218"/>
      <c r="S4" s="218"/>
      <c r="T4" s="218"/>
      <c r="U4" s="218"/>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 through 16) </v>
      </c>
      <c r="C6" s="33">
        <f>'Data Entry'!C6</f>
        <v>1323</v>
      </c>
      <c r="D6" s="34"/>
      <c r="E6" s="33">
        <f>'Data Entry'!H6</f>
        <v>8</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13.605442176870749</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8</v>
      </c>
      <c r="P7" s="42">
        <f t="shared" ref="P7:P15" si="4">C7</f>
        <v>18</v>
      </c>
      <c r="Q7" s="42">
        <f>C6-C7</f>
        <v>1305</v>
      </c>
      <c r="R7" s="42">
        <f t="shared" ref="R7:R15" si="5">SUM(N7:Q7)</f>
        <v>1331</v>
      </c>
      <c r="S7" s="30">
        <f t="shared" ref="S7:S15" si="6">R7*((((N7*Q7)-(O7*P7))^2))</f>
        <v>27599616</v>
      </c>
      <c r="T7" s="30">
        <f t="shared" ref="T7:T15" si="7">(N7+O7)*(P7+Q7)*(N7+P7)*(O7+Q7)</f>
        <v>250142256</v>
      </c>
      <c r="U7" s="31">
        <f t="shared" ref="U7:U15" si="8">IF((S7&gt;0),S7/T7,"- -")</f>
        <v>0.11033568034982462</v>
      </c>
    </row>
    <row r="8" spans="2:21" ht="18" customHeight="1">
      <c r="B8" s="32" t="str">
        <f>'Data Entry'!A8</f>
        <v>3. Refer to Juvenile Court</v>
      </c>
      <c r="C8" s="33">
        <f>'Data Entry'!C8</f>
        <v>34</v>
      </c>
      <c r="D8" s="34">
        <f>IF((AND(C67&gt;0,C8&gt;0)),(C8/C67),0)</f>
        <v>188.88888888888889</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34</v>
      </c>
      <c r="Q8" s="42">
        <f>(C$67*L67)-C8</f>
        <v>-16</v>
      </c>
      <c r="R8" s="42">
        <f t="shared" si="5"/>
        <v>18.049999999999997</v>
      </c>
      <c r="S8" s="30">
        <f t="shared" si="6"/>
        <v>52.164500000000004</v>
      </c>
      <c r="T8" s="30">
        <f t="shared" si="7"/>
        <v>-488.07</v>
      </c>
      <c r="U8" s="31">
        <f t="shared" si="8"/>
        <v>-0.10687913618948103</v>
      </c>
    </row>
    <row r="9" spans="2:21" ht="18" customHeight="1">
      <c r="B9" s="32" t="str">
        <f>'Data Entry'!A9</f>
        <v xml:space="preserve">4. Cases Diverted </v>
      </c>
      <c r="C9" s="33">
        <f>'Data Entry'!C9</f>
        <v>2</v>
      </c>
      <c r="D9" s="34">
        <f>IF((AND(C68&gt;0,C9&gt;0)),((C9/C68)),0)</f>
        <v>5.8823529411764701</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32</v>
      </c>
      <c r="R9" s="42">
        <f t="shared" si="5"/>
        <v>34</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5.8823529411764701</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32</v>
      </c>
      <c r="R10" s="42">
        <f t="shared" si="5"/>
        <v>34</v>
      </c>
      <c r="S10" s="30">
        <f t="shared" si="6"/>
        <v>0</v>
      </c>
      <c r="T10" s="30">
        <f t="shared" si="7"/>
        <v>0</v>
      </c>
      <c r="U10" s="31" t="str">
        <f t="shared" si="8"/>
        <v>- -</v>
      </c>
    </row>
    <row r="11" spans="2:21" ht="18" customHeight="1">
      <c r="B11" s="32" t="str">
        <f>'Data Entry'!A11</f>
        <v>6. Cases Petitioned (Charge Filed)</v>
      </c>
      <c r="C11" s="33">
        <f>'Data Entry'!C11</f>
        <v>13</v>
      </c>
      <c r="D11" s="34">
        <f>IF(((AND(C68&gt;0,C11&gt;0))),(C11/(C68)),0)</f>
        <v>38.235294117647058</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v>
      </c>
      <c r="Q11" s="42">
        <f>(C$68*L68)-C11</f>
        <v>21</v>
      </c>
      <c r="R11" s="42">
        <f t="shared" si="5"/>
        <v>34</v>
      </c>
      <c r="S11" s="30">
        <f t="shared" si="6"/>
        <v>0</v>
      </c>
      <c r="T11" s="30">
        <f t="shared" si="7"/>
        <v>0</v>
      </c>
      <c r="U11" s="31" t="str">
        <f t="shared" si="8"/>
        <v>- -</v>
      </c>
    </row>
    <row r="12" spans="2:21" ht="18" customHeight="1">
      <c r="B12" s="32" t="str">
        <f>'Data Entry'!A12</f>
        <v>7. Cases Resulting in Delinquent Findings</v>
      </c>
      <c r="C12" s="33">
        <f>'Data Entry'!C12</f>
        <v>13</v>
      </c>
      <c r="D12" s="34">
        <f>IF(((AND(C69&gt;0,C12&gt;0))),(C12/(C69)),0)</f>
        <v>100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v>
      </c>
      <c r="Q12" s="42">
        <f>(C69*L69)-C12</f>
        <v>0</v>
      </c>
      <c r="R12" s="42">
        <f t="shared" si="5"/>
        <v>13</v>
      </c>
      <c r="S12" s="30">
        <f t="shared" si="6"/>
        <v>0</v>
      </c>
      <c r="T12" s="30">
        <f t="shared" si="7"/>
        <v>0</v>
      </c>
      <c r="U12" s="31" t="str">
        <f t="shared" si="8"/>
        <v>- -</v>
      </c>
    </row>
    <row r="13" spans="2:21" ht="18" customHeight="1">
      <c r="B13" s="32" t="str">
        <f>'Data Entry'!A13</f>
        <v>8. Cases Resulting in Probation Placement</v>
      </c>
      <c r="C13" s="33">
        <f>'Data Entry'!C13</f>
        <v>18</v>
      </c>
      <c r="D13" s="34">
        <f>IF(((AND(C70&gt;0,C13&gt;0))),(C13/(C70)),0)</f>
        <v>138.46153846153845</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18</v>
      </c>
      <c r="Q13" s="42">
        <f>(C70*L70)-C13</f>
        <v>-5</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38.46153846153846</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8</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7" t="s">
        <v>79</v>
      </c>
      <c r="C40" s="217"/>
      <c r="D40" s="217"/>
      <c r="E40" s="217"/>
      <c r="F40" s="217"/>
      <c r="G40" s="217"/>
      <c r="H40" s="217"/>
      <c r="I40" s="217"/>
      <c r="J40" s="217"/>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1.323</v>
      </c>
      <c r="D42" s="56">
        <f>E6/1000</f>
        <v>8.0000000000000002E-3</v>
      </c>
      <c r="E42" s="56">
        <f>MAX(C42:D42)</f>
        <v>1.323</v>
      </c>
      <c r="G42" s="1" t="str">
        <f>B42</f>
        <v>per 1000 youth</v>
      </c>
      <c r="L42" s="57">
        <v>1000</v>
      </c>
      <c r="M42" s="57"/>
      <c r="R42" s="49"/>
    </row>
    <row r="43" spans="2:18" ht="15" hidden="1" customHeight="1">
      <c r="B43" s="49" t="s">
        <v>87</v>
      </c>
      <c r="C43" s="56">
        <f>C7/100</f>
        <v>0.18</v>
      </c>
      <c r="D43" s="56">
        <f>E7/100</f>
        <v>0</v>
      </c>
      <c r="E43" s="56">
        <f>MAX(C43:D43,0)</f>
        <v>0.18</v>
      </c>
      <c r="G43" s="1" t="str">
        <f>B43</f>
        <v>per 100 arrests</v>
      </c>
      <c r="L43" s="57">
        <v>100</v>
      </c>
      <c r="M43" s="57"/>
      <c r="R43" s="49"/>
    </row>
    <row r="44" spans="2:18" ht="15" hidden="1" customHeight="1">
      <c r="B44" s="49" t="s">
        <v>88</v>
      </c>
      <c r="C44" s="56">
        <f>C8/100</f>
        <v>0.34</v>
      </c>
      <c r="D44" s="56">
        <f>E8/100</f>
        <v>0</v>
      </c>
      <c r="E44" s="56">
        <f>MAX(C44:D44,0)</f>
        <v>0.34</v>
      </c>
      <c r="G44" s="1" t="str">
        <f>B44</f>
        <v>per 100 referrals</v>
      </c>
      <c r="L44" s="57">
        <v>100</v>
      </c>
      <c r="M44" s="57"/>
      <c r="R44" s="49"/>
    </row>
    <row r="45" spans="2:18" ht="15" hidden="1" customHeight="1">
      <c r="B45" s="49" t="s">
        <v>89</v>
      </c>
      <c r="C45" s="49">
        <f>C11/100</f>
        <v>0.13</v>
      </c>
      <c r="D45" s="49">
        <f>E11/100</f>
        <v>0</v>
      </c>
      <c r="E45" s="56">
        <f>MAX(C45:D45,0)</f>
        <v>0.13</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1.323</v>
      </c>
      <c r="D48" s="56">
        <f>D42</f>
        <v>8.0000000000000002E-3</v>
      </c>
      <c r="E48" s="56">
        <f>MAX(C48:D48)</f>
        <v>1.323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c r="B50" s="49" t="str">
        <f t="shared" si="9"/>
        <v>per 100 referrals</v>
      </c>
      <c r="C50" s="49">
        <f t="shared" si="9"/>
        <v>0.34</v>
      </c>
      <c r="D50" s="49">
        <f t="shared" si="9"/>
        <v>0</v>
      </c>
      <c r="E50" s="49">
        <f>MAX(C50:D50)</f>
        <v>0.34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1.323</v>
      </c>
      <c r="D54" s="56">
        <f>D48</f>
        <v>8.0000000000000002E-3</v>
      </c>
      <c r="E54" s="56">
        <f>MAX(C54:D54)</f>
        <v>1.323</v>
      </c>
      <c r="G54" s="1" t="str">
        <f>G48</f>
        <v>per 1000 youth</v>
      </c>
      <c r="L54" s="58">
        <f>L48</f>
        <v>1000</v>
      </c>
      <c r="M54" s="58"/>
    </row>
    <row r="55" spans="2:18" ht="15" hidden="1" customHeight="1">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c r="B56" s="49" t="str">
        <f t="shared" si="10"/>
        <v>per 100 referrals</v>
      </c>
      <c r="C56" s="49">
        <f t="shared" si="10"/>
        <v>0.34</v>
      </c>
      <c r="D56" s="49">
        <f t="shared" si="10"/>
        <v>0</v>
      </c>
      <c r="E56" s="49">
        <f>MAX(C56:D56)</f>
        <v>0.34</v>
      </c>
      <c r="G56" s="1" t="str">
        <f>G50</f>
        <v>per 100 referrals</v>
      </c>
      <c r="L56" s="58">
        <f>IF(($E50&gt;0),L50,L49)</f>
        <v>100</v>
      </c>
      <c r="M56" s="58"/>
    </row>
    <row r="57" spans="2:18" ht="15" hidden="1" customHeight="1">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1.323</v>
      </c>
      <c r="D60" s="56">
        <f>D54</f>
        <v>8.0000000000000002E-3</v>
      </c>
      <c r="E60" s="56">
        <f>MAX(C60:D60)</f>
        <v>1.323</v>
      </c>
      <c r="G60" s="1" t="str">
        <f>G54</f>
        <v>per 1000 youth</v>
      </c>
      <c r="L60" s="58">
        <f>L54</f>
        <v>1000</v>
      </c>
      <c r="M60" s="58"/>
    </row>
    <row r="61" spans="2:18" ht="15" hidden="1" customHeight="1">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c r="B62" s="49" t="str">
        <f t="shared" si="11"/>
        <v>per 100 referrals</v>
      </c>
      <c r="C62" s="49">
        <f t="shared" si="11"/>
        <v>0.34</v>
      </c>
      <c r="D62" s="49">
        <f t="shared" si="11"/>
        <v>0</v>
      </c>
      <c r="E62" s="49">
        <f>MAX(C62:D62)</f>
        <v>0.34</v>
      </c>
      <c r="G62" s="1" t="str">
        <f>G56</f>
        <v>per 100 referrals</v>
      </c>
      <c r="L62" s="58">
        <f>IF(($E56&gt;0),L56,L55)</f>
        <v>100</v>
      </c>
      <c r="M62" s="58"/>
    </row>
    <row r="63" spans="2:18" ht="15" hidden="1" customHeight="1">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1.323</v>
      </c>
      <c r="D66" s="56">
        <f>D60</f>
        <v>8.0000000000000002E-3</v>
      </c>
      <c r="E66" s="56">
        <f>MAX(C66:D66)</f>
        <v>1.323</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c r="B68" s="49" t="str">
        <f t="shared" si="12"/>
        <v>per 100 referrals</v>
      </c>
      <c r="C68" s="49">
        <f t="shared" si="12"/>
        <v>0.34</v>
      </c>
      <c r="D68" s="49">
        <f t="shared" si="12"/>
        <v>0</v>
      </c>
      <c r="E68" s="49">
        <f>MAX(C68:D68)</f>
        <v>0.34</v>
      </c>
      <c r="G68" s="1" t="str">
        <f>G62</f>
        <v>per 100 referrals</v>
      </c>
      <c r="L68" s="58">
        <f>IF(($E62&gt;0),L62,L61)</f>
        <v>100</v>
      </c>
      <c r="M68" s="58">
        <f>IF((B68=G68),1,2)</f>
        <v>1</v>
      </c>
    </row>
    <row r="69" spans="2:13" ht="15" hidden="1" customHeight="1">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2017-03-07T17:07:29Z</dcterms:modified>
</cp:coreProperties>
</file>