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2" documentId="8_{83043B47-7017-4BD2-9847-20B2BD30A5E9}" xr6:coauthVersionLast="47" xr6:coauthVersionMax="47" xr10:uidLastSave="{EB24AD18-937E-4987-B6FF-1FF16F08BC3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2"/>
  <c r="M66" i="2"/>
  <c r="M66" i="8"/>
  <c r="F27" i="8"/>
  <c r="F27" i="5"/>
  <c r="M66" i="5"/>
  <c r="F27" i="4"/>
  <c r="M66" i="4"/>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E46" i="3"/>
  <c r="L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2" i="3" l="1"/>
  <c r="D50" i="5"/>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B56" i="8"/>
  <c r="L64" i="3"/>
  <c r="E58" i="8"/>
  <c r="L64" i="8" s="1"/>
  <c r="L64" i="5"/>
  <c r="D64" i="5"/>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E64" i="5"/>
  <c r="C63" i="3"/>
  <c r="C64" i="8"/>
  <c r="E64" i="8" s="1"/>
  <c r="Q8" i="13"/>
  <c r="I7" i="9"/>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B70" i="5" s="1"/>
  <c r="F33" i="5" s="1"/>
  <c r="L63" i="5"/>
  <c r="L70" i="5" s="1"/>
  <c r="F8" i="5"/>
  <c r="D70" i="5" l="1"/>
  <c r="F14" i="5" s="1"/>
  <c r="B70" i="3"/>
  <c r="M70" i="3" s="1"/>
  <c r="E63" i="3"/>
  <c r="C69" i="3" s="1"/>
  <c r="D63" i="8"/>
  <c r="L63" i="8"/>
  <c r="L70" i="8" s="1"/>
  <c r="D70" i="6"/>
  <c r="F14" i="6" s="1"/>
  <c r="C63" i="8"/>
  <c r="C69" i="7"/>
  <c r="D12" i="7" s="1"/>
  <c r="L69" i="7"/>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69" i="3"/>
  <c r="M69" i="3" s="1"/>
  <c r="B70" i="8"/>
  <c r="M70" i="8" s="1"/>
  <c r="E64" i="2"/>
  <c r="L70" i="2" s="1"/>
  <c r="L67" i="6"/>
  <c r="F10" i="3"/>
  <c r="F11" i="3"/>
  <c r="F34"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D69" i="3" l="1"/>
  <c r="E69" i="3" s="1"/>
  <c r="F13" i="6"/>
  <c r="E63" i="8"/>
  <c r="D69" i="8" s="1"/>
  <c r="F12" i="8" s="1"/>
  <c r="F14" i="3"/>
  <c r="E70" i="6"/>
  <c r="B69" i="6"/>
  <c r="M69" i="6" s="1"/>
  <c r="C70" i="8"/>
  <c r="Q13" i="8" s="1"/>
  <c r="D13" i="3"/>
  <c r="D13" i="6"/>
  <c r="O13" i="6"/>
  <c r="O13" i="3"/>
  <c r="Q12" i="7"/>
  <c r="O14" i="6"/>
  <c r="E69" i="7"/>
  <c r="D15" i="7"/>
  <c r="Q15" i="7"/>
  <c r="C69" i="6"/>
  <c r="D12" i="6" s="1"/>
  <c r="Q14" i="3"/>
  <c r="F12" i="7"/>
  <c r="O12" i="7"/>
  <c r="D14" i="6"/>
  <c r="O15" i="7"/>
  <c r="Q13" i="3"/>
  <c r="Q13" i="6"/>
  <c r="Q14" i="6"/>
  <c r="E70" i="3"/>
  <c r="O14" i="3"/>
  <c r="D69" i="6"/>
  <c r="F12" i="6" s="1"/>
  <c r="T10" i="3"/>
  <c r="K10" i="4"/>
  <c r="F8" i="7"/>
  <c r="T9" i="4"/>
  <c r="T11" i="4"/>
  <c r="U11" i="4" s="1"/>
  <c r="J11" i="4" s="1"/>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T9" i="3"/>
  <c r="F34" i="8"/>
  <c r="R14" i="5"/>
  <c r="S14" i="5" s="1"/>
  <c r="U14" i="5" s="1"/>
  <c r="J14" i="5" s="1"/>
  <c r="M14" i="5" s="1"/>
  <c r="F33" i="8"/>
  <c r="C70" i="2"/>
  <c r="D14" i="2" s="1"/>
  <c r="T14" i="5"/>
  <c r="O15" i="3"/>
  <c r="K14" i="5"/>
  <c r="Q15" i="3"/>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4" i="6" l="1"/>
  <c r="C69" i="8"/>
  <c r="E69" i="8" s="1"/>
  <c r="O15" i="6"/>
  <c r="B69" i="8"/>
  <c r="M69" i="8" s="1"/>
  <c r="L69" i="8"/>
  <c r="O15" i="8" s="1"/>
  <c r="K15" i="7"/>
  <c r="K13" i="3"/>
  <c r="F35" i="6"/>
  <c r="T12" i="7"/>
  <c r="F32" i="6"/>
  <c r="E70" i="8"/>
  <c r="D13" i="8"/>
  <c r="R13" i="8"/>
  <c r="S13" i="8" s="1"/>
  <c r="Q12" i="6"/>
  <c r="D14" i="8"/>
  <c r="Q14" i="8"/>
  <c r="R14" i="8" s="1"/>
  <c r="S14" i="8" s="1"/>
  <c r="Q15" i="6"/>
  <c r="T15" i="6" s="1"/>
  <c r="D15" i="6"/>
  <c r="U10" i="4"/>
  <c r="J10" i="4" s="1"/>
  <c r="M10" i="4" s="1"/>
  <c r="G10" i="4" s="1"/>
  <c r="G11" i="16" s="1"/>
  <c r="R15" i="7"/>
  <c r="S15" i="7" s="1"/>
  <c r="U15" i="7" s="1"/>
  <c r="J15" i="7" s="1"/>
  <c r="M15" i="7" s="1"/>
  <c r="T13" i="6"/>
  <c r="R14" i="3"/>
  <c r="S14" i="3" s="1"/>
  <c r="U14" i="3" s="1"/>
  <c r="J14" i="3" s="1"/>
  <c r="M14" i="3" s="1"/>
  <c r="G14" i="3" s="1"/>
  <c r="I15" i="16" s="1"/>
  <c r="K13" i="6"/>
  <c r="R13" i="6"/>
  <c r="S13" i="6" s="1"/>
  <c r="U13" i="6" s="1"/>
  <c r="J13" i="6" s="1"/>
  <c r="M13" i="6" s="1"/>
  <c r="G13" i="6" s="1"/>
  <c r="G13" i="9" s="1"/>
  <c r="T13" i="8"/>
  <c r="K14" i="6"/>
  <c r="R14" i="6"/>
  <c r="S14" i="6" s="1"/>
  <c r="U14" i="6" s="1"/>
  <c r="J14" i="6" s="1"/>
  <c r="M14" i="6" s="1"/>
  <c r="G14" i="6" s="1"/>
  <c r="M15" i="13" s="1"/>
  <c r="K12" i="7"/>
  <c r="R12" i="7"/>
  <c r="S12" i="7" s="1"/>
  <c r="U12" i="7" s="1"/>
  <c r="J12" i="7" s="1"/>
  <c r="O12" i="6"/>
  <c r="E69" i="6"/>
  <c r="T13" i="3"/>
  <c r="K14" i="3"/>
  <c r="T14" i="3"/>
  <c r="R13" i="3"/>
  <c r="S13" i="3" s="1"/>
  <c r="U13" i="3" s="1"/>
  <c r="J13" i="3" s="1"/>
  <c r="L13" i="3" s="1"/>
  <c r="P14" i="16" s="1"/>
  <c r="T15" i="7"/>
  <c r="F15" i="6"/>
  <c r="L13" i="4"/>
  <c r="O14" i="16" s="1"/>
  <c r="L11" i="4"/>
  <c r="O12" i="16" s="1"/>
  <c r="K8" i="7"/>
  <c r="O13" i="2"/>
  <c r="O12" i="8"/>
  <c r="F35" i="8"/>
  <c r="T8" i="7"/>
  <c r="U8" i="7" s="1"/>
  <c r="J8" i="7" s="1"/>
  <c r="M8" i="7" s="1"/>
  <c r="T13" i="7"/>
  <c r="F32" i="8"/>
  <c r="Q10" i="7"/>
  <c r="F13" i="2"/>
  <c r="Q11" i="7"/>
  <c r="R8" i="6"/>
  <c r="S8" i="6" s="1"/>
  <c r="F14" i="2"/>
  <c r="F10" i="7"/>
  <c r="L10" i="3"/>
  <c r="P11" i="16" s="1"/>
  <c r="F30" i="7"/>
  <c r="M68" i="7"/>
  <c r="F29" i="7"/>
  <c r="F15" i="5"/>
  <c r="T8" i="6"/>
  <c r="K8" i="6"/>
  <c r="K15"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D12" i="8" l="1"/>
  <c r="Q12" i="8"/>
  <c r="D15" i="8"/>
  <c r="Q15" i="8"/>
  <c r="R15" i="8" s="1"/>
  <c r="S15" i="8" s="1"/>
  <c r="K14" i="8"/>
  <c r="T14" i="8"/>
  <c r="U14" i="8" s="1"/>
  <c r="J14" i="8" s="1"/>
  <c r="N30" i="8" s="1"/>
  <c r="G11" i="13"/>
  <c r="D10" i="9"/>
  <c r="L10" i="4"/>
  <c r="O11" i="16" s="1"/>
  <c r="U13" i="8"/>
  <c r="J13" i="8" s="1"/>
  <c r="M13" i="8" s="1"/>
  <c r="G13" i="8" s="1"/>
  <c r="Q14" i="13" s="1"/>
  <c r="R15" i="6"/>
  <c r="S15" i="6" s="1"/>
  <c r="U15" i="6" s="1"/>
  <c r="J15" i="6" s="1"/>
  <c r="M15" i="6" s="1"/>
  <c r="G15" i="6" s="1"/>
  <c r="K12" i="6"/>
  <c r="L15" i="7"/>
  <c r="S16" i="16" s="1"/>
  <c r="M14" i="13"/>
  <c r="E14" i="9"/>
  <c r="R12" i="6"/>
  <c r="S12" i="6" s="1"/>
  <c r="U12" i="6" s="1"/>
  <c r="J12" i="6" s="1"/>
  <c r="L14" i="3"/>
  <c r="P15" i="16" s="1"/>
  <c r="I15" i="13"/>
  <c r="N30" i="3"/>
  <c r="L13" i="6"/>
  <c r="R14" i="16" s="1"/>
  <c r="U13" i="7"/>
  <c r="J13" i="7" s="1"/>
  <c r="M13" i="7" s="1"/>
  <c r="M13" i="3"/>
  <c r="G13" i="3" s="1"/>
  <c r="E13" i="9" s="1"/>
  <c r="L12" i="7"/>
  <c r="S13" i="16" s="1"/>
  <c r="M12" i="7"/>
  <c r="T12" i="6"/>
  <c r="M13" i="9"/>
  <c r="U14" i="13"/>
  <c r="U12" i="13"/>
  <c r="M11" i="9"/>
  <c r="R12" i="8"/>
  <c r="S12" i="8" s="1"/>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K9" i="7"/>
  <c r="T14" i="2"/>
  <c r="V12" i="13"/>
  <c r="U10" i="13"/>
  <c r="N11" i="9"/>
  <c r="T15" i="5"/>
  <c r="W14" i="13"/>
  <c r="N13" i="9"/>
  <c r="L15" i="3"/>
  <c r="P16" i="16" s="1"/>
  <c r="M9" i="3"/>
  <c r="G9" i="3" s="1"/>
  <c r="I10" i="13" s="1"/>
  <c r="G12" i="13"/>
  <c r="G12" i="16"/>
  <c r="N9" i="9"/>
  <c r="P10" i="16"/>
  <c r="M14" i="7"/>
  <c r="N30" i="7"/>
  <c r="L14" i="7"/>
  <c r="S15" i="16" s="1"/>
  <c r="L8" i="7"/>
  <c r="S9" i="16" s="1"/>
  <c r="O13" i="9"/>
  <c r="V14" i="13"/>
  <c r="M9" i="9"/>
  <c r="M10"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U13" i="2" l="1"/>
  <c r="J13" i="2" s="1"/>
  <c r="M13" i="2" s="1"/>
  <c r="G13" i="2" s="1"/>
  <c r="E14" i="16" s="1"/>
  <c r="Y16" i="13"/>
  <c r="Q15" i="9"/>
  <c r="U11" i="13"/>
  <c r="L12" i="6"/>
  <c r="R13" i="16" s="1"/>
  <c r="L15" i="6"/>
  <c r="R16" i="16" s="1"/>
  <c r="L13" i="8"/>
  <c r="T14" i="16" s="1"/>
  <c r="M12" i="6"/>
  <c r="G12" i="6" s="1"/>
  <c r="G12" i="9" s="1"/>
  <c r="Q12" i="9"/>
  <c r="U12" i="8"/>
  <c r="J12" i="8" s="1"/>
  <c r="L12" i="8" s="1"/>
  <c r="T13" i="16" s="1"/>
  <c r="U14" i="2"/>
  <c r="J14" i="2" s="1"/>
  <c r="M14" i="2" s="1"/>
  <c r="G14" i="2" s="1"/>
  <c r="E15" i="16" s="1"/>
  <c r="M14" i="8"/>
  <c r="G14" i="8" s="1"/>
  <c r="K15" i="16" s="1"/>
  <c r="L14" i="8"/>
  <c r="T15" i="16" s="1"/>
  <c r="X14" i="13"/>
  <c r="V15" i="13"/>
  <c r="I14" i="16"/>
  <c r="P13" i="9"/>
  <c r="U11" i="7"/>
  <c r="J11" i="7" s="1"/>
  <c r="L11" i="7" s="1"/>
  <c r="S12" i="16" s="1"/>
  <c r="I14" i="13"/>
  <c r="N14" i="9"/>
  <c r="L13" i="7"/>
  <c r="S14" i="16" s="1"/>
  <c r="K14" i="16"/>
  <c r="I13" i="9"/>
  <c r="Y13" i="13"/>
  <c r="U10" i="7"/>
  <c r="J10" i="7" s="1"/>
  <c r="L10" i="7" s="1"/>
  <c r="S11" i="16" s="1"/>
  <c r="L8" i="6"/>
  <c r="R9" i="16" s="1"/>
  <c r="L15" i="5"/>
  <c r="Q16" i="16" s="1"/>
  <c r="T9" i="13"/>
  <c r="L8" i="9"/>
  <c r="X15" i="13"/>
  <c r="P14"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3" i="2" l="1"/>
  <c r="N14" i="16" s="1"/>
  <c r="P12" i="9"/>
  <c r="R13" i="9"/>
  <c r="P15" i="9"/>
  <c r="M13" i="13"/>
  <c r="X13" i="13"/>
  <c r="C13" i="9"/>
  <c r="X16" i="13"/>
  <c r="E14" i="13"/>
  <c r="Z14" i="13"/>
  <c r="L14" i="2"/>
  <c r="N15" i="16" s="1"/>
  <c r="I14" i="9"/>
  <c r="M12" i="8"/>
  <c r="G12" i="8" s="1"/>
  <c r="K13" i="16" s="1"/>
  <c r="N30" i="2"/>
  <c r="E15" i="13"/>
  <c r="C14" i="9"/>
  <c r="Q15" i="13"/>
  <c r="Z15" i="13"/>
  <c r="R14" i="9"/>
  <c r="Y14" i="13"/>
  <c r="M11" i="7"/>
  <c r="M10" i="7"/>
  <c r="Q13" i="9"/>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T15" i="13" l="1"/>
  <c r="L14" i="9"/>
  <c r="I12" i="9"/>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<sst xmlns="http://schemas.openxmlformats.org/spreadsheetml/2006/main" count="654" uniqueCount="141">
  <si>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</si>
  <si>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</si>
  <si>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</si>
  <si>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</si>
  <si>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</si>
  <si>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</si>
  <si>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</si>
  <si>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</si>
  <si>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</si>
  <si>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</si>
  <si>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</si>
  <si>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</si>
  <si>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</si>
  <si>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</si>
  <si>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</si>
  <si>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</si>
  <si>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</si>
  <si>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</si>
  <si>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</si>
  <si>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</si>
  <si>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</si>
  <si>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</si>
  <si>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</si>
  <si>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</si>
  <si>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</si>
  <si>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</si>
  <si>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</si>
  <si>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</si>
  <si>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</si>
  <si>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</si>
  <si>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</si>
  <si>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</si>
  <si>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</si>
  <si>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</si>
  <si>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</si>
  <si>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</si>
  <si>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</si>
  <si>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</si>
  <si>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</si>
  <si>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</si>
  <si>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</si>
  <si>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</si>
  <si>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</si>
  <si>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</si>
  <si>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</si>
  <si>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</si>
  <si>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</si>
  <si>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</si>
  <si>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</si>
  <si>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</si>
  <si>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</si>
  <si>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</si>
  <si>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</si>
  <si>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</si>
  <si>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</si>
  <si>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</si>
  <si>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</si>
  <si>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</si>
  <si>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</si>
  <si>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</si>
  <si>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</si>
  <si>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</si>
  <si>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</si>
  <si>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</si>
  <si>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</si>
  <si>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</si>
  <si>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</si>
  <si>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</si>
  <si>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</si>
  <si>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</si>
  <si>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</si>
  <si>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</si>
  <si>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</si>
  <si>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</si>
  <si>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</si>
  <si>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</si>
  <si>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</si>
  <si>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</si>
  <si>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</si>
  <si>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</si>
  <si>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</si>
  <si>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</si>
  <si>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</si>
  <si>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</si>
  <si>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</si>
  <si>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</si>
  <si>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</si>
  <si>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</si>
  <si>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</si>
  <si>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</si>
  <si>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</si>
  <si>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</si>
  <si>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</si>
  <si>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</si>
  <si>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</si>
  <si>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</si>
  <si>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</si>
  <si>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</si>
  <si>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</si>
  <si>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</si>
  <si>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</si>
  <si>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</si>
  <si>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</si>
  <si>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</si>
  <si>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</si>
  <si>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</si>
  <si>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</si>
  <si>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</si>
  <si>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</si>
  <si>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</si>
  <si>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</si>
  <si>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</si>
  <si>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</si>
  <si>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</si>
  <si>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</si>
  <si>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</si>
  <si>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</si>
  <si>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</si>
  <si>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</si>
  <si>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</si>
  <si>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</si>
  <si>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</si>
  <si>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</si>
  <si>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</si>
  <si>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</si>
  <si>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</si>
  <si>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</si>
  <si>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</si>
  <si>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</si>
  <si>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</si>
  <si>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</si>
  <si>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</si>
  <si>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</si>
  <si>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</si>
  <si>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</si>
  <si>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</si>
  <si>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Midland</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</si>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</sst>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Midland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N=45</c:v>
                </c:pt>
                <c:pt idx="2">
                  <c:v>Delinquent Findings, total N=50</c:v>
                </c:pt>
                <c:pt idx="3">
                  <c:v>Petitions, total N=85</c:v>
                </c:pt>
                <c:pt idx="4">
                  <c:v>Detentions, total N=12</c:v>
                </c:pt>
                <c:pt idx="5">
                  <c:v>Referrals, total N=107</c:v>
                </c:pt>
                <c:pt idx="6">
                  <c:v>Arrests, total N=20</c:v>
                </c:pt>
                <c:pt idx="7">
                  <c:v>Population, total N=8298</c:v>
                </c:pt>
              </c:strCache>
            </c:strRef>
          </c:cat>
          <c:val>
            <c:numRef>
              <c:f>'Stacked 100%'!$B$7:$B$14</c:f>
              <c:numCache>
                <c:formatCode>0%</c:formatCode>
                <c:ptCount val="8"/>
                <c:pt idx="0">
                  <c:v>0</c:v>
                </c:pt>
                <c:pt idx="1">
                  <c:v>0</c:v>
                </c:pt>
                <c:pt idx="2">
                  <c:v>0.04</c:v>
                </c:pt>
                <c:pt idx="3">
                  <c:v>4.7058823529411764E-2</c:v>
                </c:pt>
                <c:pt idx="4">
                  <c:v>0</c:v>
                </c:pt>
                <c:pt idx="5">
                  <c:v>4.6728971962616821E-2</c:v>
                </c:pt>
                <c:pt idx="6">
                  <c:v>0</c:v>
                </c:pt>
                <c:pt idx="7">
                  <c:v>2.4704748132080019E-2</c:v>
                </c:pt>
              </c:numCache>
            </c:numRef>
          </c:val>
          <c:extLst>
            <c:ext xmlns:c16="http://schemas.microsoft.com/office/drawing/2014/chart" uri="{C3380CC4-5D6E-409C-BE32-E72D297353CC}">
              <c16:uniqueId val="{00000000-9AFF-4704-8ED4-808D61F2BA0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N=45</c:v>
                </c:pt>
                <c:pt idx="2">
                  <c:v>Delinquent Findings, total N=50</c:v>
                </c:pt>
                <c:pt idx="3">
                  <c:v>Petitions, total N=85</c:v>
                </c:pt>
                <c:pt idx="4">
                  <c:v>Detentions, total N=12</c:v>
                </c:pt>
                <c:pt idx="5">
                  <c:v>Referrals, total N=107</c:v>
                </c:pt>
                <c:pt idx="6">
                  <c:v>Arrests, total N=20</c:v>
                </c:pt>
                <c:pt idx="7">
                  <c:v>Population, total N=8298</c:v>
                </c:pt>
              </c:strCache>
            </c:strRef>
          </c:cat>
          <c:val>
            <c:numRef>
              <c:f>'Stacked 100%'!$C$7:$C$14</c:f>
              <c:numCache>
                <c:formatCode>0%</c:formatCode>
                <c:ptCount val="8"/>
                <c:pt idx="0">
                  <c:v>0</c:v>
                </c:pt>
                <c:pt idx="1">
                  <c:v>0</c:v>
                </c:pt>
                <c:pt idx="2">
                  <c:v>0.02</c:v>
                </c:pt>
                <c:pt idx="3">
                  <c:v>2.3529411764705882E-2</c:v>
                </c:pt>
                <c:pt idx="4">
                  <c:v>0</c:v>
                </c:pt>
                <c:pt idx="5">
                  <c:v>1.8691588785046728E-2</c:v>
                </c:pt>
                <c:pt idx="6">
                  <c:v>0</c:v>
                </c:pt>
                <c:pt idx="7">
                  <c:v>4.4107013738250184E-2</c:v>
                </c:pt>
              </c:numCache>
            </c:numRef>
          </c:val>
          <c:extLst>
            <c:ext xmlns:c16="http://schemas.microsoft.com/office/drawing/2014/chart" uri="{C3380CC4-5D6E-409C-BE32-E72D297353CC}">
              <c16:uniqueId val="{00000001-9AFF-4704-8ED4-808D61F2BA0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N=45</c:v>
                </c:pt>
                <c:pt idx="2">
                  <c:v>Delinquent Findings, total N=50</c:v>
                </c:pt>
                <c:pt idx="3">
                  <c:v>Petitions, total N=85</c:v>
                </c:pt>
                <c:pt idx="4">
                  <c:v>Detentions, total N=12</c:v>
                </c:pt>
                <c:pt idx="5">
                  <c:v>Referrals, total N=107</c:v>
                </c:pt>
                <c:pt idx="6">
                  <c:v>Arrests, total N=20</c:v>
                </c:pt>
                <c:pt idx="7">
                  <c:v>Population, total N=8298</c:v>
                </c:pt>
              </c:strCache>
            </c:strRef>
          </c:cat>
          <c:val>
            <c:numRef>
              <c:f>'Stacked 100%'!$H$7:$H$14</c:f>
              <c:numCache>
                <c:formatCode>0%</c:formatCode>
                <c:ptCount val="8"/>
                <c:pt idx="0">
                  <c:v>0</c:v>
                </c:pt>
                <c:pt idx="1">
                  <c:v>0</c:v>
                </c:pt>
                <c:pt idx="2">
                  <c:v>0</c:v>
                </c:pt>
                <c:pt idx="3">
                  <c:v>0</c:v>
                </c:pt>
                <c:pt idx="4">
                  <c:v>0</c:v>
                </c:pt>
                <c:pt idx="5">
                  <c:v>0</c:v>
                </c:pt>
                <c:pt idx="6">
                  <c:v>0</c:v>
                </c:pt>
                <c:pt idx="7">
                  <c:v>4.6328028817602397E-6</c:v>
                </c:pt>
              </c:numCache>
            </c:numRef>
          </c:val>
          <c:extLst>
            <c:ext xmlns:c16="http://schemas.microsoft.com/office/drawing/2014/chart" uri="{C3380CC4-5D6E-409C-BE32-E72D297353CC}">
              <c16:uniqueId val="{00000002-9AFF-4704-8ED4-808D61F2BA0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N=45</c:v>
                </c:pt>
                <c:pt idx="2">
                  <c:v>Delinquent Findings, total N=50</c:v>
                </c:pt>
                <c:pt idx="3">
                  <c:v>Petitions, total N=85</c:v>
                </c:pt>
                <c:pt idx="4">
                  <c:v>Detentions, total N=12</c:v>
                </c:pt>
                <c:pt idx="5">
                  <c:v>Referrals, total N=107</c:v>
                </c:pt>
                <c:pt idx="6">
                  <c:v>Arrests, total N=20</c:v>
                </c:pt>
                <c:pt idx="7">
                  <c:v>Population, total N=8298</c:v>
                </c:pt>
              </c:strCache>
            </c:strRef>
          </c:cat>
          <c:val>
            <c:numRef>
              <c:f>'Stacked 100%'!$I$7:$I$14</c:f>
              <c:numCache>
                <c:formatCode>0%</c:formatCode>
                <c:ptCount val="8"/>
                <c:pt idx="0">
                  <c:v>0</c:v>
                </c:pt>
                <c:pt idx="1">
                  <c:v>0.62222222222222223</c:v>
                </c:pt>
                <c:pt idx="2">
                  <c:v>0.68</c:v>
                </c:pt>
                <c:pt idx="3">
                  <c:v>0.6705882352941176</c:v>
                </c:pt>
                <c:pt idx="4">
                  <c:v>0.75</c:v>
                </c:pt>
                <c:pt idx="5">
                  <c:v>0.66355140186915884</c:v>
                </c:pt>
                <c:pt idx="6">
                  <c:v>1</c:v>
                </c:pt>
                <c:pt idx="7">
                  <c:v>0.8927452398168233</c:v>
                </c:pt>
              </c:numCache>
            </c:numRef>
          </c:val>
          <c:extLst>
            <c:ext xmlns:c16="http://schemas.microsoft.com/office/drawing/2014/chart" uri="{C3380CC4-5D6E-409C-BE32-E72D297353CC}">
              <c16:uniqueId val="{00000003-9AFF-4704-8ED4-808D61F2BA0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N=45</c:v>
                </c:pt>
                <c:pt idx="2">
                  <c:v>Delinquent Findings, total N=50</c:v>
                </c:pt>
                <c:pt idx="3">
                  <c:v>Petitions, total N=85</c:v>
                </c:pt>
                <c:pt idx="4">
                  <c:v>Detentions, total N=12</c:v>
                </c:pt>
                <c:pt idx="5">
                  <c:v>Referrals, total N=107</c:v>
                </c:pt>
                <c:pt idx="6">
                  <c:v>Arrests, total N=20</c:v>
                </c:pt>
                <c:pt idx="7">
                  <c:v>Population, total N=8298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AFF-4704-8ED4-808D61F2BA0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8298</v>
      </c>
      <c r="C6" s="11">
        <v>7408</v>
      </c>
      <c r="D6" s="11">
        <v>205</v>
      </c>
      <c r="E6" s="11">
        <v>366</v>
      </c>
      <c r="F6" s="11">
        <v>269</v>
      </c>
      <c r="G6" s="11"/>
      <c r="H6" s="11">
        <v>50</v>
      </c>
      <c r="I6" s="11"/>
      <c r="J6" s="91">
        <f>SUM(D6:I6)</f>
        <v>890</v>
      </c>
      <c r="K6" s="92"/>
    </row>
    <row r="7" spans="1:11" ht="15.75" customHeight="1" thickBot="1">
      <c r="A7" s="10" t="s">
        <v>8</v>
      </c>
      <c r="B7" s="11">
        <f t="shared" ref="B7:B15" si="0">SUM(C7:I7)+K7</f>
        <v>20</v>
      </c>
      <c r="C7" s="11">
        <v>20</v>
      </c>
      <c r="D7" s="11"/>
      <c r="E7" s="11"/>
      <c r="F7" s="11"/>
      <c r="G7" s="11"/>
      <c r="H7" s="11"/>
      <c r="I7" s="11"/>
      <c r="J7" s="91">
        <f t="shared" ref="J7:J15" si="1">SUM(D7:I7)</f>
        <v>0</v>
      </c>
      <c r="K7" s="92"/>
    </row>
    <row r="8" spans="1:11" ht="15.75" customHeight="1" thickBot="1">
      <c r="A8" s="10" t="s">
        <v>9</v>
      </c>
      <c r="B8" s="11">
        <f t="shared" si="0"/>
        <v>107</v>
      </c>
      <c r="C8" s="11">
        <v>71</v>
      </c>
      <c r="D8" s="11">
        <v>5</v>
      </c>
      <c r="E8" s="11">
        <v>2</v>
      </c>
      <c r="F8" s="11"/>
      <c r="G8" s="11"/>
      <c r="H8" s="11"/>
      <c r="I8" s="11"/>
      <c r="J8" s="91">
        <f t="shared" si="1"/>
        <v>7</v>
      </c>
      <c r="K8" s="92">
        <v>29</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12</v>
      </c>
      <c r="C10" s="11">
        <v>9</v>
      </c>
      <c r="D10" s="11"/>
      <c r="E10" s="11"/>
      <c r="F10" s="11"/>
      <c r="G10" s="11"/>
      <c r="H10" s="11"/>
      <c r="I10" s="11"/>
      <c r="J10" s="91">
        <f t="shared" si="1"/>
        <v>0</v>
      </c>
      <c r="K10" s="92">
        <v>3</v>
      </c>
    </row>
    <row r="11" spans="1:11" ht="15.75" customHeight="1" thickBot="1">
      <c r="A11" s="10" t="s">
        <v>12</v>
      </c>
      <c r="B11" s="11">
        <f t="shared" si="0"/>
        <v>85</v>
      </c>
      <c r="C11" s="11">
        <v>57</v>
      </c>
      <c r="D11" s="11">
        <v>4</v>
      </c>
      <c r="E11" s="11">
        <v>2</v>
      </c>
      <c r="F11" s="11"/>
      <c r="G11" s="11"/>
      <c r="H11" s="11"/>
      <c r="I11" s="11"/>
      <c r="J11" s="91">
        <f t="shared" si="1"/>
        <v>6</v>
      </c>
      <c r="K11" s="92">
        <v>22</v>
      </c>
    </row>
    <row r="12" spans="1:11" ht="15.75" customHeight="1" thickBot="1">
      <c r="A12" s="10" t="s">
        <v>13</v>
      </c>
      <c r="B12" s="11">
        <f t="shared" si="0"/>
        <v>50</v>
      </c>
      <c r="C12" s="11">
        <v>34</v>
      </c>
      <c r="D12" s="11">
        <v>2</v>
      </c>
      <c r="E12" s="11">
        <v>1</v>
      </c>
      <c r="F12" s="11"/>
      <c r="G12" s="11"/>
      <c r="H12" s="11"/>
      <c r="I12" s="11"/>
      <c r="J12" s="91">
        <f t="shared" si="1"/>
        <v>3</v>
      </c>
      <c r="K12" s="92">
        <v>13</v>
      </c>
    </row>
    <row r="13" spans="1:11" ht="15.75" customHeight="1" thickBot="1">
      <c r="A13" s="10" t="s">
        <v>133</v>
      </c>
      <c r="B13" s="11">
        <f t="shared" si="0"/>
        <v>73</v>
      </c>
      <c r="C13" s="11">
        <v>52</v>
      </c>
      <c r="D13" s="11">
        <v>2</v>
      </c>
      <c r="E13" s="11"/>
      <c r="F13" s="11"/>
      <c r="G13" s="11"/>
      <c r="H13" s="11"/>
      <c r="I13" s="11"/>
      <c r="J13" s="91">
        <f t="shared" si="1"/>
        <v>2</v>
      </c>
      <c r="K13" s="92">
        <v>19</v>
      </c>
    </row>
    <row r="14" spans="1:11" ht="26.25" customHeight="1" thickBot="1">
      <c r="A14" s="10" t="s">
        <v>123</v>
      </c>
      <c r="B14" s="11">
        <f t="shared" si="0"/>
        <v>45</v>
      </c>
      <c r="C14" s="11">
        <v>28</v>
      </c>
      <c r="D14" s="11"/>
      <c r="E14" s="11"/>
      <c r="F14" s="11"/>
      <c r="G14" s="11"/>
      <c r="H14" s="11"/>
      <c r="I14" s="11"/>
      <c r="J14" s="91">
        <f t="shared" si="1"/>
        <v>0</v>
      </c>
      <c r="K14" s="92">
        <v>17</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7408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2.6997840172786174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20</v>
      </c>
      <c r="Q7" s="42">
        <f>C6-C7</f>
        <v>7388</v>
      </c>
      <c r="R7" s="42">
        <f t="shared" ref="R7:R15" si="5">SUM(N7:Q7)</f>
        <v>7408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71</v>
      </c>
      <c r="D8" s="34">
        <f>IF((AND(C67&gt;0,C8&gt;0)),(C8/C67),0)</f>
        <v>355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71</v>
      </c>
      <c r="Q8" s="42">
        <f>(C$67*L67)-C8</f>
        <v>-51</v>
      </c>
      <c r="R8" s="42">
        <f t="shared" si="5"/>
        <v>20.049999999999997</v>
      </c>
      <c r="S8" s="30">
        <f t="shared" si="6"/>
        <v>252.68012500000003</v>
      </c>
      <c r="T8" s="30">
        <f t="shared" si="7"/>
        <v>-3617.4500000000003</v>
      </c>
      <c r="U8" s="31">
        <f t="shared" si="8"/>
        <v>-6.9850343473994117E-2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71</v>
      </c>
      <c r="R9" s="42">
        <f t="shared" si="5"/>
        <v>71</v>
      </c>
      <c r="S9" s="30">
        <f t="shared" si="6"/>
        <v>0</v>
      </c>
      <c r="T9" s="30">
        <f t="shared" si="7"/>
        <v>0</v>
      </c>
      <c r="U9" s="31" t="str">
        <f t="shared" si="8"/>
        <v>- -</v>
      </c>
    </row>
    <row r="10" spans="2:21" ht="18" customHeight="1">
      <c r="B10" s="32" t="str">
        <f>'Data Entry'!A10</f>
        <v>5. Cases Involving Secure Detention</v>
      </c>
      <c r="C10" s="33">
        <f>'Data Entry'!C10</f>
        <v>9</v>
      </c>
      <c r="D10" s="34">
        <f>IF(((AND(C68&gt;0,C10&gt;0))),(C10/(C68)),0)</f>
        <v>12.67605633802817</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v>
      </c>
      <c r="Q10" s="42">
        <f>(C$68*L68)-C10</f>
        <v>62</v>
      </c>
      <c r="R10" s="42">
        <f t="shared" si="5"/>
        <v>71</v>
      </c>
      <c r="S10" s="30">
        <f t="shared" si="6"/>
        <v>0</v>
      </c>
      <c r="T10" s="30">
        <f t="shared" si="7"/>
        <v>0</v>
      </c>
      <c r="U10" s="31" t="str">
        <f t="shared" si="8"/>
        <v>- -</v>
      </c>
    </row>
    <row r="11" spans="2:21" ht="18" customHeight="1">
      <c r="B11" s="32" t="str">
        <f>'Data Entry'!A11</f>
        <v>6. Cases Petitioned (Charge Filed)</v>
      </c>
      <c r="C11" s="33">
        <f>'Data Entry'!C11</f>
        <v>57</v>
      </c>
      <c r="D11" s="34">
        <f>IF(((AND(C68&gt;0,C11&gt;0))),(C11/(C68)),0)</f>
        <v>80.281690140845072</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57</v>
      </c>
      <c r="Q11" s="42">
        <f>(C$68*L68)-C11</f>
        <v>14</v>
      </c>
      <c r="R11" s="42">
        <f t="shared" si="5"/>
        <v>71</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59.649122807017548</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22.999999999999993</v>
      </c>
      <c r="R12" s="42">
        <f t="shared" si="5"/>
        <v>56.999999999999993</v>
      </c>
      <c r="S12" s="30">
        <f t="shared" si="6"/>
        <v>0</v>
      </c>
      <c r="T12" s="30">
        <f t="shared" si="7"/>
        <v>0</v>
      </c>
      <c r="U12" s="31" t="str">
        <f t="shared" si="8"/>
        <v>- -</v>
      </c>
    </row>
    <row r="13" spans="2:21" ht="18" customHeight="1">
      <c r="B13" s="32" t="str">
        <f>'Data Entry'!A13</f>
        <v>8. Cases Resulting in Probation Placement</v>
      </c>
      <c r="C13" s="33">
        <f>'Data Entry'!C13</f>
        <v>52</v>
      </c>
      <c r="D13" s="34">
        <f>IF(((AND(C70&gt;0,C13&gt;0))),(C13/(C70)),0)</f>
        <v>152.94117647058823</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-18</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28</v>
      </c>
      <c r="D14" s="34">
        <f>IF(((AND(C70&gt;0,C14&gt;0))), ((C14/(C70))),0)</f>
        <v>82.35294117647058</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28</v>
      </c>
      <c r="Q14" s="42">
        <f>(C70*L70)-C14</f>
        <v>6</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56.999999999999993</v>
      </c>
      <c r="R15" s="42">
        <f t="shared" si="5"/>
        <v>56.999999999999993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7.4080000000000004</v>
      </c>
      <c r="D42" s="56">
        <f>E6/1000</f>
        <v>0</v>
      </c>
      <c r="E42" s="56">
        <f>MAX(C42:D42)</f>
        <v>7.4080000000000004</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0.71</v>
      </c>
      <c r="D44" s="56">
        <f>E8/100</f>
        <v>0</v>
      </c>
      <c r="E44" s="56">
        <f>MAX(C44:D44,0)</f>
        <v>0.71</v>
      </c>
      <c r="G44" s="1" t="str">
        <f>B44</f>
        <v>per 100 referrals</v>
      </c>
      <c r="L44" s="57">
        <v>100</v>
      </c>
      <c r="M44" s="57"/>
      <c r="R44" s="49"/>
    </row>
    <row r="45" spans="2:18" ht="15" hidden="1" customHeight="1">
      <c r="B45" s="49" t="s">
        <v>89</v>
      </c>
      <c r="C45" s="49">
        <f>C11/100</f>
        <v>0.56999999999999995</v>
      </c>
      <c r="D45" s="49">
        <f>E11/100</f>
        <v>0</v>
      </c>
      <c r="E45" s="56">
        <f>MAX(C45:D45,0)</f>
        <v>0.56999999999999995</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7.4080000000000004</v>
      </c>
      <c r="D48" s="56">
        <f>D42</f>
        <v>0</v>
      </c>
      <c r="E48" s="56">
        <f>MAX(C48:D48)</f>
        <v>7.4080000000000004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0.71</v>
      </c>
      <c r="D50" s="49">
        <f t="shared" si="9"/>
        <v>0</v>
      </c>
      <c r="E50" s="49">
        <f>MAX(C50:D50)</f>
        <v>0.71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0.56999999999999995</v>
      </c>
      <c r="D51" s="49">
        <f>IF(($E45&gt;0),D45,D44)</f>
        <v>0</v>
      </c>
      <c r="E51" s="49">
        <f>MAX(C51:D51)</f>
        <v>0.56999999999999995</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7.4080000000000004</v>
      </c>
      <c r="D54" s="56">
        <f>D48</f>
        <v>0</v>
      </c>
      <c r="E54" s="56">
        <f>MAX(C54:D54)</f>
        <v>7.4080000000000004</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0.71</v>
      </c>
      <c r="D56" s="49">
        <f t="shared" si="10"/>
        <v>0</v>
      </c>
      <c r="E56" s="49">
        <f>MAX(C56:D56)</f>
        <v>0.71</v>
      </c>
      <c r="G56" s="1" t="str">
        <f>G50</f>
        <v>per 100 referrals</v>
      </c>
      <c r="L56" s="58">
        <f>IF(($E50&gt;0),L50,L49)</f>
        <v>100</v>
      </c>
      <c r="M56" s="58"/>
    </row>
    <row r="57" spans="2:18" ht="15" hidden="1" customHeight="1">
      <c r="B57" s="49" t="str">
        <f>IF(($E51&gt;0),B51,B49)</f>
        <v>per 100 youth petitioned</v>
      </c>
      <c r="C57" s="49">
        <f>IF(($E51&gt;0),C51,C50)</f>
        <v>0.56999999999999995</v>
      </c>
      <c r="D57" s="49">
        <f>IF(($E51&gt;0),D51,D50)</f>
        <v>0</v>
      </c>
      <c r="E57" s="49">
        <f>MAX(C57:D57)</f>
        <v>0.56999999999999995</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7.4080000000000004</v>
      </c>
      <c r="D60" s="56">
        <f>D54</f>
        <v>0</v>
      </c>
      <c r="E60" s="56">
        <f>MAX(C60:D60)</f>
        <v>7.4080000000000004</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0.71</v>
      </c>
      <c r="D62" s="49">
        <f t="shared" si="11"/>
        <v>0</v>
      </c>
      <c r="E62" s="49">
        <f>MAX(C62:D62)</f>
        <v>0.71</v>
      </c>
      <c r="G62" s="1" t="str">
        <f>G56</f>
        <v>per 100 referrals</v>
      </c>
      <c r="L62" s="58">
        <f>IF(($E56&gt;0),L56,L55)</f>
        <v>100</v>
      </c>
      <c r="M62" s="58"/>
    </row>
    <row r="63" spans="2:18" ht="15" hidden="1" customHeight="1">
      <c r="B63" s="49" t="str">
        <f>IF(($E57&gt;0),B57,B55)</f>
        <v>per 100 youth petitioned</v>
      </c>
      <c r="C63" s="49">
        <f>IF(($E57&gt;0),C57,C56)</f>
        <v>0.56999999999999995</v>
      </c>
      <c r="D63" s="49">
        <f>IF(($E57&gt;0),D57,D56)</f>
        <v>0</v>
      </c>
      <c r="E63" s="49">
        <f>MAX(C63:D63)</f>
        <v>0.56999999999999995</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7.4080000000000004</v>
      </c>
      <c r="D66" s="56">
        <f>D60</f>
        <v>0</v>
      </c>
      <c r="E66" s="56">
        <f>MAX(C66:D66)</f>
        <v>7.4080000000000004</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0.71</v>
      </c>
      <c r="D68" s="49">
        <f t="shared" si="12"/>
        <v>0</v>
      </c>
      <c r="E68" s="49">
        <f>MAX(C68:D68)</f>
        <v>0.71</v>
      </c>
      <c r="G68" s="1" t="str">
        <f>G62</f>
        <v>per 100 referrals</v>
      </c>
      <c r="L68" s="58">
        <f>IF(($E62&gt;0),L62,L61)</f>
        <v>100</v>
      </c>
      <c r="M68" s="58">
        <f>IF((B68=G68),1,2)</f>
        <v>1</v>
      </c>
    </row>
    <row r="69" spans="2:13" ht="15" hidden="1" customHeight="1">
      <c r="B69" s="49" t="str">
        <f>IF(($E63&gt;0),B63,B61)</f>
        <v>per 100 youth petitioned</v>
      </c>
      <c r="C69" s="49">
        <f>IF(($E63&gt;0),C63,C62)</f>
        <v>0.56999999999999995</v>
      </c>
      <c r="D69" s="49">
        <f>IF(($E63&gt;0),D63,D62)</f>
        <v>0</v>
      </c>
      <c r="E69" s="49">
        <f>MAX(C69:D69)</f>
        <v>0.56999999999999995</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7408</v>
      </c>
      <c r="D6" s="34"/>
      <c r="E6" s="33">
        <f>'Data Entry'!J6</f>
        <v>890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2.6997840172786174</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890</v>
      </c>
      <c r="P7" s="42">
        <f t="shared" ref="P7:P15" si="4">C7</f>
        <v>20</v>
      </c>
      <c r="Q7" s="42">
        <f>C6-C7</f>
        <v>7388</v>
      </c>
      <c r="R7" s="42">
        <f t="shared" ref="R7:R15" si="5">SUM(N7:Q7)</f>
        <v>8298</v>
      </c>
      <c r="S7" s="30">
        <f t="shared" ref="S7:S15" si="6">R7*((((N7*Q7)-(O7*P7))^2))</f>
        <v>2629138320000</v>
      </c>
      <c r="T7" s="30">
        <f t="shared" ref="T7:T15" si="7">(N7+O7)*(P7+Q7)*(N7+P7)*(O7+Q7)</f>
        <v>1091556947200</v>
      </c>
      <c r="U7" s="31">
        <f t="shared" ref="U7:U15" si="8">IF((S7&gt;0),S7/T7,"- -")</f>
        <v>2.4086130611363123</v>
      </c>
    </row>
    <row r="8" spans="2:21" ht="18" customHeight="1">
      <c r="B8" s="32" t="str">
        <f>'Data Entry'!A8</f>
        <v>3. Refer to Juvenile Court</v>
      </c>
      <c r="C8" s="33">
        <f>'Data Entry'!C8</f>
        <v>71</v>
      </c>
      <c r="D8" s="34">
        <f>IF((AND(C67&gt;0,C8&gt;0)),(C8/C67),0)</f>
        <v>355</v>
      </c>
      <c r="E8" s="33">
        <f>'Data Entry'!J8</f>
        <v>7</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7</v>
      </c>
      <c r="O8" s="42">
        <f>((D67*L67)-E8)+0.05</f>
        <v>-6.95</v>
      </c>
      <c r="P8" s="42">
        <f t="shared" si="4"/>
        <v>71</v>
      </c>
      <c r="Q8" s="42">
        <f>(C$67*L67)-C8</f>
        <v>-51</v>
      </c>
      <c r="R8" s="42">
        <f t="shared" si="5"/>
        <v>20.049999999999997</v>
      </c>
      <c r="S8" s="30">
        <f t="shared" si="6"/>
        <v>373302.98012499989</v>
      </c>
      <c r="T8" s="30">
        <f t="shared" si="7"/>
        <v>-4520.099999999984</v>
      </c>
      <c r="U8" s="31">
        <f t="shared" si="8"/>
        <v>-82.587327741643151</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7.0000000000000009</v>
      </c>
      <c r="P9" s="42">
        <f t="shared" si="4"/>
        <v>0</v>
      </c>
      <c r="Q9" s="42">
        <f>(C$68*L68)-C9</f>
        <v>71</v>
      </c>
      <c r="R9" s="42">
        <f t="shared" si="5"/>
        <v>78</v>
      </c>
      <c r="S9" s="30">
        <f t="shared" si="6"/>
        <v>0</v>
      </c>
      <c r="T9" s="30">
        <f t="shared" si="7"/>
        <v>0</v>
      </c>
      <c r="U9" s="31" t="str">
        <f t="shared" si="8"/>
        <v>- -</v>
      </c>
    </row>
    <row r="10" spans="2:21" ht="18" customHeight="1">
      <c r="B10" s="32" t="str">
        <f>'Data Entry'!A10</f>
        <v>5. Cases Involving Secure Detention</v>
      </c>
      <c r="C10" s="33">
        <f>'Data Entry'!C10</f>
        <v>9</v>
      </c>
      <c r="D10" s="34">
        <f>IF(((AND(C68&gt;0,C10&gt;0))),(C10/(C68)),0)</f>
        <v>12.67605633802817</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7.0000000000000009</v>
      </c>
      <c r="P10" s="42">
        <f t="shared" si="4"/>
        <v>9</v>
      </c>
      <c r="Q10" s="42">
        <f>(C$68*L68)-C10</f>
        <v>62</v>
      </c>
      <c r="R10" s="42">
        <f t="shared" si="5"/>
        <v>78</v>
      </c>
      <c r="S10" s="30">
        <f t="shared" si="6"/>
        <v>309582.00000000006</v>
      </c>
      <c r="T10" s="30">
        <f t="shared" si="7"/>
        <v>308637.00000000006</v>
      </c>
      <c r="U10" s="31">
        <f t="shared" si="8"/>
        <v>1.0030618493570116</v>
      </c>
    </row>
    <row r="11" spans="2:21" ht="18" customHeight="1">
      <c r="B11" s="32" t="str">
        <f>'Data Entry'!A11</f>
        <v>6. Cases Petitioned (Charge Filed)</v>
      </c>
      <c r="C11" s="33">
        <f>'Data Entry'!C11</f>
        <v>57</v>
      </c>
      <c r="D11" s="34">
        <f>IF(((AND(C68&gt;0,C11&gt;0))),(C11/(C68)),0)</f>
        <v>80.281690140845072</v>
      </c>
      <c r="E11" s="33">
        <f>'Data Entry'!J11</f>
        <v>6</v>
      </c>
      <c r="F11" s="34">
        <f>IF(((AND($E$11&gt;0,$D$68&gt;0))),($E$11/($D$68)),0)</f>
        <v>85.714285714285708</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6</v>
      </c>
      <c r="O11" s="42">
        <f>(D$68*L68)-E11</f>
        <v>1.0000000000000009</v>
      </c>
      <c r="P11" s="42">
        <f t="shared" si="4"/>
        <v>57</v>
      </c>
      <c r="Q11" s="42">
        <f>(C$68*L68)-C11</f>
        <v>14</v>
      </c>
      <c r="R11" s="42">
        <f t="shared" si="5"/>
        <v>78</v>
      </c>
      <c r="S11" s="30">
        <f t="shared" si="6"/>
        <v>56861.999999999789</v>
      </c>
      <c r="T11" s="30">
        <f t="shared" si="7"/>
        <v>469665.00000000006</v>
      </c>
      <c r="U11" s="31">
        <f t="shared" si="8"/>
        <v>0.12106927277953389</v>
      </c>
    </row>
    <row r="12" spans="2:21" ht="18" customHeight="1">
      <c r="B12" s="32" t="str">
        <f>'Data Entry'!A12</f>
        <v>7. Cases Resulting in Delinquent Findings</v>
      </c>
      <c r="C12" s="33">
        <f>'Data Entry'!C12</f>
        <v>34</v>
      </c>
      <c r="D12" s="34">
        <f>IF(((AND(C69&gt;0,C12&gt;0))),(C12/(C69)),0)</f>
        <v>59.649122807017548</v>
      </c>
      <c r="E12" s="33">
        <f>'Data Entry'!J12</f>
        <v>3</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3</v>
      </c>
      <c r="O12" s="42">
        <f>(D69*L69)-E12</f>
        <v>3</v>
      </c>
      <c r="P12" s="42">
        <f t="shared" si="4"/>
        <v>34</v>
      </c>
      <c r="Q12" s="42">
        <f>(C69*L69)-C12</f>
        <v>22.999999999999993</v>
      </c>
      <c r="R12" s="42">
        <f t="shared" si="5"/>
        <v>62.999999999999993</v>
      </c>
      <c r="S12" s="30">
        <f t="shared" si="6"/>
        <v>68607.000000000102</v>
      </c>
      <c r="T12" s="30">
        <f t="shared" si="7"/>
        <v>329003.99999999988</v>
      </c>
      <c r="U12" s="31">
        <f t="shared" si="8"/>
        <v>0.20852937958201154</v>
      </c>
    </row>
    <row r="13" spans="2:21" ht="18" customHeight="1">
      <c r="B13" s="32" t="str">
        <f>'Data Entry'!A13</f>
        <v>8. Cases Resulting in Probation Placement</v>
      </c>
      <c r="C13" s="33">
        <f>'Data Entry'!C13</f>
        <v>52</v>
      </c>
      <c r="D13" s="34">
        <f>IF(((AND(C70&gt;0,C13&gt;0))),(C13/(C70)),0)</f>
        <v>152.94117647058823</v>
      </c>
      <c r="E13" s="33">
        <f>'Data Entry'!J13</f>
        <v>2</v>
      </c>
      <c r="F13" s="34">
        <f>IF(((AND($D$70&gt;0,$E$13&gt;0))),($E$13/($D$70)),0)</f>
        <v>66.666666666666671</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1</v>
      </c>
      <c r="P13" s="42">
        <f t="shared" si="4"/>
        <v>52</v>
      </c>
      <c r="Q13" s="42">
        <f>(C70*L70)-C13</f>
        <v>-18</v>
      </c>
      <c r="R13" s="42">
        <f t="shared" si="5"/>
        <v>37</v>
      </c>
      <c r="S13" s="30">
        <f t="shared" si="6"/>
        <v>286528</v>
      </c>
      <c r="T13" s="30">
        <f t="shared" si="7"/>
        <v>-93636</v>
      </c>
      <c r="U13" s="31">
        <f t="shared" si="8"/>
        <v>-3.0600196505617498</v>
      </c>
    </row>
    <row r="14" spans="2:21" ht="30.75" customHeight="1">
      <c r="B14" s="32" t="str">
        <f>'Data Entry'!A14</f>
        <v xml:space="preserve">9. Cases Resulting in Confinement in Secure Juvenile Correctional Facilities </v>
      </c>
      <c r="C14" s="33">
        <f>'Data Entry'!C14</f>
        <v>28</v>
      </c>
      <c r="D14" s="34">
        <f>IF(((AND(C70&gt;0,C14&gt;0))), ((C14/(C70))),0)</f>
        <v>82.35294117647058</v>
      </c>
      <c r="E14" s="33">
        <f>'Data Entry'!J14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3</v>
      </c>
      <c r="P14" s="42">
        <f t="shared" si="4"/>
        <v>28</v>
      </c>
      <c r="Q14" s="42">
        <f>(C70*L70)-C14</f>
        <v>6</v>
      </c>
      <c r="R14" s="42">
        <f t="shared" si="5"/>
        <v>37</v>
      </c>
      <c r="S14" s="30">
        <f t="shared" si="6"/>
        <v>261072</v>
      </c>
      <c r="T14" s="30">
        <f t="shared" si="7"/>
        <v>25704</v>
      </c>
      <c r="U14" s="31">
        <f t="shared" si="8"/>
        <v>10.156862745098039</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56.999999999999993</v>
      </c>
      <c r="R15" s="42">
        <f t="shared" si="5"/>
        <v>62.999999999999993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7.4080000000000004</v>
      </c>
      <c r="D42" s="56">
        <f>E6/1000</f>
        <v>0.89</v>
      </c>
      <c r="E42" s="56">
        <f>MAX(C42:D42)</f>
        <v>7.4080000000000004</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0.71</v>
      </c>
      <c r="D44" s="56">
        <f>E8/100</f>
        <v>7.0000000000000007E-2</v>
      </c>
      <c r="E44" s="56">
        <f>MAX(C44:D44,0)</f>
        <v>0.71</v>
      </c>
      <c r="G44" s="1" t="str">
        <f>B44</f>
        <v>per 100 referrals</v>
      </c>
      <c r="L44" s="57">
        <v>100</v>
      </c>
      <c r="M44" s="57"/>
      <c r="R44" s="49"/>
    </row>
    <row r="45" spans="2:18" ht="15" hidden="1" customHeight="1">
      <c r="B45" s="49" t="s">
        <v>89</v>
      </c>
      <c r="C45" s="49">
        <f>C11/100</f>
        <v>0.56999999999999995</v>
      </c>
      <c r="D45" s="49">
        <f>E11/100</f>
        <v>0.06</v>
      </c>
      <c r="E45" s="56">
        <f>MAX(C45:D45,0)</f>
        <v>0.56999999999999995</v>
      </c>
      <c r="G45" s="1" t="str">
        <f>B45</f>
        <v>per 100 youth petitioned</v>
      </c>
      <c r="L45" s="57">
        <v>100</v>
      </c>
      <c r="M45" s="57"/>
      <c r="R45" s="49"/>
    </row>
    <row r="46" spans="2:18" ht="15" hidden="1" customHeight="1">
      <c r="B46" s="49" t="s">
        <v>90</v>
      </c>
      <c r="C46" s="49">
        <f>C12/100</f>
        <v>0.34</v>
      </c>
      <c r="D46" s="49">
        <f>E12/100</f>
        <v>0.03</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7.4080000000000004</v>
      </c>
      <c r="D48" s="56">
        <f>D42</f>
        <v>0.89</v>
      </c>
      <c r="E48" s="56">
        <f>MAX(C48:D48)</f>
        <v>7.4080000000000004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0.71</v>
      </c>
      <c r="D50" s="49">
        <f t="shared" si="9"/>
        <v>7.0000000000000007E-2</v>
      </c>
      <c r="E50" s="49">
        <f>MAX(C50:D50)</f>
        <v>0.71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0.56999999999999995</v>
      </c>
      <c r="D51" s="49">
        <f>IF(($E45&gt;0),D45,D44)</f>
        <v>0.06</v>
      </c>
      <c r="E51" s="49">
        <f>MAX(C51:D51)</f>
        <v>0.56999999999999995</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0.03</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7.4080000000000004</v>
      </c>
      <c r="D54" s="56">
        <f>D48</f>
        <v>0.89</v>
      </c>
      <c r="E54" s="56">
        <f>MAX(C54:D54)</f>
        <v>7.4080000000000004</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0.71</v>
      </c>
      <c r="D56" s="49">
        <f t="shared" si="10"/>
        <v>7.0000000000000007E-2</v>
      </c>
      <c r="E56" s="49">
        <f>MAX(C56:D56)</f>
        <v>0.71</v>
      </c>
      <c r="G56" s="1" t="str">
        <f>G50</f>
        <v>per 100 referrals</v>
      </c>
      <c r="L56" s="58">
        <f>IF(($E50&gt;0),L50,L49)</f>
        <v>100</v>
      </c>
      <c r="M56" s="58"/>
    </row>
    <row r="57" spans="2:18" ht="15" hidden="1" customHeight="1">
      <c r="B57" s="49" t="str">
        <f>IF(($E51&gt;0),B51,B49)</f>
        <v>per 100 youth petitioned</v>
      </c>
      <c r="C57" s="49">
        <f>IF(($E51&gt;0),C51,C50)</f>
        <v>0.56999999999999995</v>
      </c>
      <c r="D57" s="49">
        <f>IF(($E51&gt;0),D51,D50)</f>
        <v>0.06</v>
      </c>
      <c r="E57" s="49">
        <f>MAX(C57:D57)</f>
        <v>0.56999999999999995</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0.03</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7.4080000000000004</v>
      </c>
      <c r="D60" s="56">
        <f>D54</f>
        <v>0.89</v>
      </c>
      <c r="E60" s="56">
        <f>MAX(C60:D60)</f>
        <v>7.4080000000000004</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0.71</v>
      </c>
      <c r="D62" s="49">
        <f t="shared" si="11"/>
        <v>7.0000000000000007E-2</v>
      </c>
      <c r="E62" s="49">
        <f>MAX(C62:D62)</f>
        <v>0.71</v>
      </c>
      <c r="G62" s="1" t="str">
        <f>G56</f>
        <v>per 100 referrals</v>
      </c>
      <c r="L62" s="58">
        <f>IF(($E56&gt;0),L56,L55)</f>
        <v>100</v>
      </c>
      <c r="M62" s="58"/>
    </row>
    <row r="63" spans="2:18" ht="15" hidden="1" customHeight="1">
      <c r="B63" s="49" t="str">
        <f>IF(($E57&gt;0),B57,B55)</f>
        <v>per 100 youth petitioned</v>
      </c>
      <c r="C63" s="49">
        <f>IF(($E57&gt;0),C57,C56)</f>
        <v>0.56999999999999995</v>
      </c>
      <c r="D63" s="49">
        <f>IF(($E57&gt;0),D57,D56)</f>
        <v>0.06</v>
      </c>
      <c r="E63" s="49">
        <f>MAX(C63:D63)</f>
        <v>0.56999999999999995</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0.03</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7.4080000000000004</v>
      </c>
      <c r="D66" s="56">
        <f>D60</f>
        <v>0.89</v>
      </c>
      <c r="E66" s="56">
        <f>MAX(C66:D66)</f>
        <v>7.4080000000000004</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0.71</v>
      </c>
      <c r="D68" s="49">
        <f t="shared" si="12"/>
        <v>7.0000000000000007E-2</v>
      </c>
      <c r="E68" s="49">
        <f>MAX(C68:D68)</f>
        <v>0.71</v>
      </c>
      <c r="G68" s="1" t="str">
        <f>G62</f>
        <v>per 100 referrals</v>
      </c>
      <c r="L68" s="58">
        <f>IF(($E62&gt;0),L62,L61)</f>
        <v>100</v>
      </c>
      <c r="M68" s="58">
        <f>IF((B68=G68),1,2)</f>
        <v>1</v>
      </c>
    </row>
    <row r="69" spans="2:13" ht="15" hidden="1" customHeight="1">
      <c r="B69" s="49" t="str">
        <f>IF(($E63&gt;0),B63,B61)</f>
        <v>per 100 youth petitioned</v>
      </c>
      <c r="C69" s="49">
        <f>IF(($E63&gt;0),C63,C62)</f>
        <v>0.56999999999999995</v>
      </c>
      <c r="D69" s="49">
        <f>IF(($E63&gt;0),D63,D62)</f>
        <v>0.06</v>
      </c>
      <c r="E69" s="49">
        <f>MAX(C69:D69)</f>
        <v>0.56999999999999995</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0.03</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Midland</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40</v>
      </c>
      <c r="O8" s="1">
        <f>Hawaiian!L8</f>
        <v>139</v>
      </c>
      <c r="P8" s="1">
        <f>'Am Indian'!L8</f>
        <v>139</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f>Hispanic!L14</f>
        <v>20</v>
      </c>
      <c r="N14" s="1" t="e">
        <f>Asian!L14</f>
        <v>#VALUE!</v>
      </c>
      <c r="O14" s="1" t="e">
        <f>Hawaiian!L14</f>
        <v>#VALUE!</v>
      </c>
      <c r="P14" s="1" t="e">
        <f>'Am Indian'!L14</f>
        <v>#VALUE!</v>
      </c>
      <c r="Q14" s="1" t="e">
        <f>'Other - Mixed'!L14</f>
        <v>#VALUE!</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8298</v>
      </c>
      <c r="D3" s="57">
        <f>'Data Entry'!C6</f>
        <v>7408</v>
      </c>
      <c r="E3" s="57">
        <f>'Data Entry'!D6</f>
        <v>205</v>
      </c>
      <c r="F3" s="57">
        <f>'Data Entry'!E6</f>
        <v>366</v>
      </c>
      <c r="G3" s="57">
        <f>'Data Entry'!F6</f>
        <v>269</v>
      </c>
      <c r="H3" s="57">
        <f>'Data Entry'!G6</f>
        <v>0</v>
      </c>
      <c r="I3" s="57">
        <f>'Data Entry'!H6</f>
        <v>50</v>
      </c>
      <c r="J3" s="57">
        <f>'Data Entry'!I6</f>
        <v>0</v>
      </c>
      <c r="K3" s="57">
        <f>'Data Entry'!J6</f>
        <v>890</v>
      </c>
    </row>
    <row r="4" spans="2:11" ht="15" customHeight="1">
      <c r="B4" s="16" t="s">
        <v>8</v>
      </c>
      <c r="C4" s="1">
        <f>IF((C$3&gt;0),(1000*('Data Entry'!B7/'Data Entry'!B$6)), 0)</f>
        <v>2.410219329959026</v>
      </c>
      <c r="D4" s="1">
        <f>IF((D$3&gt;0),(1000*('Data Entry'!C7/'Data Entry'!C$6)), 0)</f>
        <v>2.6997840172786174</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12.894673415280792</v>
      </c>
      <c r="D5" s="1">
        <f>IF((D$3&gt;0),(1000*('Data Entry'!C8/'Data Entry'!C$6)), 0)</f>
        <v>9.5842332613390919</v>
      </c>
      <c r="E5" s="1">
        <f>IF((E$3&gt;0),(1000*('Data Entry'!D8/'Data Entry'!D$6)), 0)</f>
        <v>24.390243902439025</v>
      </c>
      <c r="F5" s="1">
        <f>IF((F$3&gt;0),(1000*('Data Entry'!E8/'Data Entry'!E$6)), 0)</f>
        <v>5.4644808743169397</v>
      </c>
      <c r="G5" s="1">
        <f>IF((G$3&gt;0),(1000*('Data Entry'!F8/'Data Entry'!F$6)), 0)</f>
        <v>0</v>
      </c>
      <c r="H5" s="1">
        <f>IF((H$3&gt;0),(1000*('Data Entry'!G8/'Data Entry'!G$6)), 0)</f>
        <v>0</v>
      </c>
      <c r="I5" s="1">
        <f>IF((I$3&gt;0),(1000*('Data Entry'!H8/'Data Entry'!H$6)), 0)</f>
        <v>0</v>
      </c>
      <c r="J5" s="1">
        <f>IF((J$3&gt;0),(1000*('Data Entry'!I8/'Data Entry'!I$6)), 0)</f>
        <v>0</v>
      </c>
      <c r="K5" s="1">
        <f>IF((K$3&gt;0),(1000*('Data Entry'!J8/'Data Entry'!J$6)), 0)</f>
        <v>7.8651685393258433</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1.4461315979754157</v>
      </c>
      <c r="D7" s="1">
        <f>IF((D$3&gt;0),(1000*('Data Entry'!C10/'Data Entry'!C$6)), 0)</f>
        <v>1.2149028077753781</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10.243432152325862</v>
      </c>
      <c r="D8" s="1">
        <f>IF((D$3&gt;0),(1000*('Data Entry'!C11/'Data Entry'!C$6)), 0)</f>
        <v>7.694384449244061</v>
      </c>
      <c r="E8" s="1">
        <f>IF((E$3&gt;0),(1000*('Data Entry'!D11/'Data Entry'!D$6)), 0)</f>
        <v>19.512195121951219</v>
      </c>
      <c r="F8" s="1">
        <f>IF((F$3&gt;0),(1000*('Data Entry'!E11/'Data Entry'!E$6)), 0)</f>
        <v>5.4644808743169397</v>
      </c>
      <c r="G8" s="1">
        <f>IF((G$3&gt;0),(1000*('Data Entry'!F11/'Data Entry'!F$6)), 0)</f>
        <v>0</v>
      </c>
      <c r="H8" s="1">
        <f>IF((H$3&gt;0),(1000*('Data Entry'!G11/'Data Entry'!G$6)), 0)</f>
        <v>0</v>
      </c>
      <c r="I8" s="1">
        <f>IF((I$3&gt;0),(1000*('Data Entry'!H11/'Data Entry'!H$6)), 0)</f>
        <v>0</v>
      </c>
      <c r="J8" s="1">
        <f>IF((J$3&gt;0),(1000*('Data Entry'!I11/'Data Entry'!I$6)), 0)</f>
        <v>0</v>
      </c>
      <c r="K8" s="1">
        <f>IF((K$3&gt;0),(1000*('Data Entry'!J11/'Data Entry'!J$6)), 0)</f>
        <v>6.7415730337078656</v>
      </c>
    </row>
    <row r="9" spans="2:11" ht="15" customHeight="1">
      <c r="B9" s="16" t="s">
        <v>13</v>
      </c>
      <c r="C9" s="1">
        <f>IF((C$3&gt;0),(1000*('Data Entry'!B12/'Data Entry'!B$6)), 0)</f>
        <v>6.0255483248975654</v>
      </c>
      <c r="D9" s="1">
        <f>IF((D$3&gt;0),(1000*('Data Entry'!C12/'Data Entry'!C$6)), 0)</f>
        <v>4.5896328293736506</v>
      </c>
      <c r="E9" s="1">
        <f>IF((E$3&gt;0),(1000*('Data Entry'!D12/'Data Entry'!D$6)), 0)</f>
        <v>9.7560975609756095</v>
      </c>
      <c r="F9" s="1">
        <f>IF((F$3&gt;0),(1000*('Data Entry'!E12/'Data Entry'!E$6)), 0)</f>
        <v>2.7322404371584699</v>
      </c>
      <c r="G9" s="1">
        <f>IF((G$3&gt;0),(1000*('Data Entry'!F12/'Data Entry'!F$6)), 0)</f>
        <v>0</v>
      </c>
      <c r="H9" s="1">
        <f>IF((H$3&gt;0),(1000*('Data Entry'!G12/'Data Entry'!G$6)), 0)</f>
        <v>0</v>
      </c>
      <c r="I9" s="1">
        <f>IF((I$3&gt;0),(1000*('Data Entry'!H12/'Data Entry'!H$6)), 0)</f>
        <v>0</v>
      </c>
      <c r="J9" s="1">
        <f>IF((J$3&gt;0),(1000*('Data Entry'!I12/'Data Entry'!I$6)), 0)</f>
        <v>0</v>
      </c>
      <c r="K9" s="1">
        <f>IF((K$3&gt;0),(1000*('Data Entry'!J12/'Data Entry'!J$6)), 0)</f>
        <v>3.3707865168539328</v>
      </c>
    </row>
    <row r="10" spans="2:11" ht="15" customHeight="1">
      <c r="B10" s="16" t="s">
        <v>14</v>
      </c>
      <c r="C10" s="1">
        <f>IF((C$3&gt;0),(1000*('Data Entry'!B13/'Data Entry'!B$6)), 0)</f>
        <v>8.7973005543504463</v>
      </c>
      <c r="D10" s="1">
        <f>IF((D$3&gt;0),(1000*('Data Entry'!C13/'Data Entry'!C$6)), 0)</f>
        <v>7.0194384449244058</v>
      </c>
      <c r="E10" s="1">
        <f>IF((E$3&gt;0),(1000*('Data Entry'!D13/'Data Entry'!D$6)), 0)</f>
        <v>9.7560975609756095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2.2471910112359552</v>
      </c>
    </row>
    <row r="11" spans="2:11" ht="25.5" customHeight="1">
      <c r="B11" s="16" t="s">
        <v>15</v>
      </c>
      <c r="C11" s="1">
        <f>IF((C$3&gt;0),(1000*('Data Entry'!B14/'Data Entry'!B$6)), 0)</f>
        <v>5.4229934924078087</v>
      </c>
      <c r="D11" s="1">
        <f>IF((D$3&gt;0),(1000*('Data Entry'!C14/'Data Entry'!C$6)), 0)</f>
        <v>3.7796976241900651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Midland</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2.5448299553418074</v>
      </c>
      <c r="E20" s="72">
        <f t="shared" si="2"/>
        <v>0.57015315939351963</v>
      </c>
      <c r="F20" s="72" t="str">
        <f t="shared" si="2"/>
        <v>--</v>
      </c>
      <c r="G20" s="72" t="str">
        <f t="shared" si="2"/>
        <v>--</v>
      </c>
      <c r="H20" s="72" t="str">
        <f t="shared" si="2"/>
        <v>--</v>
      </c>
      <c r="I20" s="72" t="str">
        <f t="shared" si="2"/>
        <v>--</v>
      </c>
      <c r="J20" s="73">
        <f t="shared" si="2"/>
        <v>0.82063617661022326</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2.5359007274283267</v>
      </c>
      <c r="E23" s="72">
        <f t="shared" si="2"/>
        <v>0.71019077749017345</v>
      </c>
      <c r="F23" s="72" t="str">
        <f t="shared" si="2"/>
        <v>--</v>
      </c>
      <c r="G23" s="72" t="str">
        <f t="shared" si="2"/>
        <v>--</v>
      </c>
      <c r="H23" s="72" t="str">
        <f t="shared" si="2"/>
        <v>--</v>
      </c>
      <c r="I23" s="72" t="str">
        <f t="shared" si="2"/>
        <v>--</v>
      </c>
      <c r="J23" s="73">
        <f t="shared" si="2"/>
        <v>0.87616794795978714</v>
      </c>
    </row>
    <row r="24" spans="2:10" ht="15" customHeight="1">
      <c r="B24" s="71" t="s">
        <v>13</v>
      </c>
      <c r="C24" s="72">
        <f t="shared" si="2"/>
        <v>1</v>
      </c>
      <c r="D24" s="72">
        <f t="shared" si="2"/>
        <v>2.1256814921090386</v>
      </c>
      <c r="E24" s="72">
        <f t="shared" si="2"/>
        <v>0.59530697524911591</v>
      </c>
      <c r="F24" s="72" t="str">
        <f t="shared" si="2"/>
        <v>--</v>
      </c>
      <c r="G24" s="72" t="str">
        <f t="shared" si="2"/>
        <v>--</v>
      </c>
      <c r="H24" s="72" t="str">
        <f t="shared" si="2"/>
        <v>--</v>
      </c>
      <c r="I24" s="72" t="str">
        <f t="shared" si="2"/>
        <v>--</v>
      </c>
      <c r="J24" s="73">
        <f t="shared" si="2"/>
        <v>0.7344348975545274</v>
      </c>
    </row>
    <row r="25" spans="2:10" ht="15" customHeight="1">
      <c r="B25" s="71" t="s">
        <v>14</v>
      </c>
      <c r="C25" s="72">
        <f t="shared" si="2"/>
        <v>1</v>
      </c>
      <c r="D25" s="72">
        <f t="shared" si="2"/>
        <v>1.3898686679174483</v>
      </c>
      <c r="E25" s="72" t="str">
        <f t="shared" si="2"/>
        <v>--</v>
      </c>
      <c r="F25" s="72" t="str">
        <f t="shared" si="2"/>
        <v>--</v>
      </c>
      <c r="G25" s="72" t="str">
        <f t="shared" si="2"/>
        <v>--</v>
      </c>
      <c r="H25" s="72" t="str">
        <f t="shared" si="2"/>
        <v>--</v>
      </c>
      <c r="I25" s="72" t="str">
        <f t="shared" si="2"/>
        <v>--</v>
      </c>
      <c r="J25" s="73">
        <f t="shared" si="2"/>
        <v>0.32013828867761457</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Midland</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7408</v>
      </c>
      <c r="D7" s="104">
        <f>'Data Entry'!D6</f>
        <v>205</v>
      </c>
      <c r="E7" s="105"/>
      <c r="F7" s="106">
        <f>'Data Entry'!E6</f>
        <v>366</v>
      </c>
      <c r="G7" s="105"/>
      <c r="H7" s="106">
        <f>'Data Entry'!F6</f>
        <v>269</v>
      </c>
      <c r="I7" s="105"/>
      <c r="J7" s="106">
        <f>'Data Entry'!G6</f>
        <v>0</v>
      </c>
      <c r="K7" s="105"/>
      <c r="L7" s="106">
        <f>'Data Entry'!H6</f>
        <v>50</v>
      </c>
      <c r="M7" s="105"/>
      <c r="N7" s="106">
        <f>'Data Entry'!I6</f>
        <v>0</v>
      </c>
      <c r="O7" s="105"/>
      <c r="P7" s="106">
        <f>'Data Entry'!J6</f>
        <v>890</v>
      </c>
      <c r="Q7" s="107"/>
    </row>
    <row r="8" spans="2:26" s="1" customFormat="1" ht="15" customHeight="1">
      <c r="B8" s="142" t="s">
        <v>8</v>
      </c>
      <c r="C8" s="103">
        <f>'Data Entry'!C7</f>
        <v>20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c r="B9" s="142" t="s">
        <v>134</v>
      </c>
      <c r="C9" s="103">
        <f>'Data Entry'!C8</f>
        <v>71</v>
      </c>
      <c r="D9" s="108">
        <f>'Data Entry'!D8</f>
        <v>5</v>
      </c>
      <c r="E9" s="109" t="str">
        <f>'Black or African-American'!$G8</f>
        <v>**</v>
      </c>
      <c r="F9" s="110">
        <f>'Data Entry'!E8</f>
        <v>2</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7</v>
      </c>
      <c r="Q9" s="111" t="str">
        <f>'All Minorities'!G8</f>
        <v>**</v>
      </c>
      <c r="R9"/>
      <c r="T9" s="1">
        <f>'Black or African-American'!L8</f>
        <v>20</v>
      </c>
      <c r="U9" s="1">
        <f>Hispanic!L8</f>
        <v>20</v>
      </c>
      <c r="V9" s="1">
        <f>Asian!L8</f>
        <v>40</v>
      </c>
      <c r="W9" s="1">
        <f>Hawaiian!L8</f>
        <v>139</v>
      </c>
      <c r="X9" s="1">
        <f>'Am Indian'!L8</f>
        <v>139</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9</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57</v>
      </c>
      <c r="D12" s="112">
        <f>'Data Entry'!D11</f>
        <v>4</v>
      </c>
      <c r="E12" s="113" t="str">
        <f>'Black or African-American'!$G11</f>
        <v>**</v>
      </c>
      <c r="F12" s="114">
        <f>'Data Entry'!E11</f>
        <v>2</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6</v>
      </c>
      <c r="Q12" s="115" t="str">
        <f>'All Minorities'!G11</f>
        <v>**</v>
      </c>
      <c r="R12"/>
      <c r="T12" s="1">
        <f>'Black or African-American'!L11</f>
        <v>40</v>
      </c>
      <c r="U12" s="1">
        <f>Hispanic!L11</f>
        <v>40</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34</v>
      </c>
      <c r="D13" s="108">
        <f>'Data Entry'!D12</f>
        <v>2</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3</v>
      </c>
      <c r="Q13" s="111" t="str">
        <f>'All Minorities'!G12</f>
        <v>**</v>
      </c>
      <c r="R13"/>
      <c r="T13" s="1">
        <f>'Black or African-American'!L12</f>
        <v>40</v>
      </c>
      <c r="U13" s="1">
        <f>Hispanic!L12</f>
        <v>40</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52</v>
      </c>
      <c r="D14" s="112">
        <f>'Data Entry'!D13</f>
        <v>2</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2</v>
      </c>
      <c r="Q14" s="115" t="str">
        <f>'All Minorities'!G13</f>
        <v>**</v>
      </c>
      <c r="R14"/>
      <c r="T14" s="1">
        <f>'Black or African-American'!L13</f>
        <v>40</v>
      </c>
      <c r="U14" s="1">
        <f>Hispanic!L13</f>
        <v>40</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28</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20</v>
      </c>
      <c r="U15" s="1">
        <f>Hispanic!L14</f>
        <v>20</v>
      </c>
      <c r="V15" s="1" t="e">
        <f>Asian!L14</f>
        <v>#VALUE!</v>
      </c>
      <c r="W15" s="1" t="e">
        <f>Hawaiian!L14</f>
        <v>#VALUE!</v>
      </c>
      <c r="X15" s="1" t="e">
        <f>'Am Indian'!L14</f>
        <v>#VALUE!</v>
      </c>
      <c r="Y15" s="1" t="e">
        <f>'Other - Mixed'!L14</f>
        <v>#VALUE!</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Midland</v>
      </c>
    </row>
    <row r="6" spans="1:12">
      <c r="A6" s="135" t="str">
        <f>CONCATENATE("Percentage of Minorities at Stages of the Juvenile Justice System, ", A5, " 2022")</f>
        <v>Percentage of Minorities at Stages of the Juvenile Justice System, County: Midland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8.3235955056179769</v>
      </c>
    </row>
    <row r="8" spans="1:12" ht="25.5" customHeight="1">
      <c r="A8" s="151" t="str">
        <f>CONCATENATE("Confinement, total N=", 'Data Entry'!B14)</f>
        <v>Confinement, total N=45</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0.62222222222222223</v>
      </c>
      <c r="K8" s="96" t="str">
        <f>A8</f>
        <v>Confinement, total N=45</v>
      </c>
      <c r="L8">
        <f>I14/(SUM(B14:G14))</f>
        <v>8.3235955056179769</v>
      </c>
    </row>
    <row r="9" spans="1:12">
      <c r="A9" s="128" t="str">
        <f>CONCATENATE("Delinquent Findings, total N=", 'Data Entry'!B12)</f>
        <v>Delinquent Findings, total N=50</v>
      </c>
      <c r="B9" s="150">
        <f>'Data Entry'!D12/'Data Entry'!B12</f>
        <v>0.04</v>
      </c>
      <c r="C9" s="150">
        <f>'Data Entry'!E12/'Data Entry'!B12</f>
        <v>0.02</v>
      </c>
      <c r="D9" s="150">
        <f>'Data Entry'!F12/'Data Entry'!B12</f>
        <v>0</v>
      </c>
      <c r="E9" s="150">
        <f>'Data Entry'!G12/'Data Entry'!B12</f>
        <v>0</v>
      </c>
      <c r="F9" s="150">
        <f>'Data Entry'!H12/'Data Entry'!B12</f>
        <v>0</v>
      </c>
      <c r="G9" s="150">
        <f>'Data Entry'!I12/'Data Entry'!B12</f>
        <v>0</v>
      </c>
      <c r="H9" s="150">
        <f>SUM(D9:G9)/'Data Entry'!B12</f>
        <v>0</v>
      </c>
      <c r="I9" s="150">
        <f>'Data Entry'!C12/'Data Entry'!B12</f>
        <v>0.68</v>
      </c>
      <c r="K9" s="96" t="str">
        <f t="shared" si="0"/>
        <v>Delinquent Findings, total N=50</v>
      </c>
      <c r="L9">
        <f>I14/(SUM(B14:G14))</f>
        <v>8.3235955056179769</v>
      </c>
    </row>
    <row r="10" spans="1:12">
      <c r="A10" s="128" t="str">
        <f>CONCATENATE("Petitions, total N=", 'Data Entry'!B11)</f>
        <v>Petitions, total N=85</v>
      </c>
      <c r="B10" s="150">
        <f>'Data Entry'!D11/'Data Entry'!B11</f>
        <v>4.7058823529411764E-2</v>
      </c>
      <c r="C10" s="150">
        <f>'Data Entry'!E11/'Data Entry'!B11</f>
        <v>2.3529411764705882E-2</v>
      </c>
      <c r="D10" s="150">
        <f>'Data Entry'!F11/'Data Entry'!B11</f>
        <v>0</v>
      </c>
      <c r="E10" s="150">
        <f>'Data Entry'!G11/'Data Entry'!B11</f>
        <v>0</v>
      </c>
      <c r="F10" s="150">
        <f>'Data Entry'!H11/'Data Entry'!B11</f>
        <v>0</v>
      </c>
      <c r="G10" s="150">
        <f>'Data Entry'!I11/'Data Entry'!B11</f>
        <v>0</v>
      </c>
      <c r="H10" s="150">
        <f>SUM(D10:G10)/'Data Entry'!B11</f>
        <v>0</v>
      </c>
      <c r="I10" s="150">
        <f>'Data Entry'!C11/'Data Entry'!B11</f>
        <v>0.6705882352941176</v>
      </c>
      <c r="K10" s="96" t="str">
        <f t="shared" si="0"/>
        <v>Petitions, total N=85</v>
      </c>
      <c r="L10">
        <f>I14/(SUM(B14:G14))</f>
        <v>8.3235955056179769</v>
      </c>
    </row>
    <row r="11" spans="1:12">
      <c r="A11" s="128" t="str">
        <f>CONCATENATE("Detentions, total N=", 'Data Entry'!B10)</f>
        <v>Detentions, total N=12</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0.75</v>
      </c>
      <c r="K11" s="96" t="str">
        <f t="shared" si="0"/>
        <v>Detentions, total N=12</v>
      </c>
      <c r="L11">
        <f>I14/(SUM(B14:G14))</f>
        <v>8.3235955056179769</v>
      </c>
    </row>
    <row r="12" spans="1:12">
      <c r="A12" s="128" t="str">
        <f>CONCATENATE("Referrals, total N=", 'Data Entry'!B8)</f>
        <v>Referrals, total N=107</v>
      </c>
      <c r="B12" s="150">
        <f>'Data Entry'!D8/'Data Entry'!B8</f>
        <v>4.6728971962616821E-2</v>
      </c>
      <c r="C12" s="150">
        <f>'Data Entry'!E8/'Data Entry'!B8</f>
        <v>1.8691588785046728E-2</v>
      </c>
      <c r="D12" s="150">
        <f>'Data Entry'!F8/'Data Entry'!B8</f>
        <v>0</v>
      </c>
      <c r="E12" s="150">
        <f>'Data Entry'!G8/'Data Entry'!B8</f>
        <v>0</v>
      </c>
      <c r="F12" s="150">
        <f>'Data Entry'!H8/'Data Entry'!B8</f>
        <v>0</v>
      </c>
      <c r="G12" s="150">
        <f>'Data Entry'!I8/'Data Entry'!B8</f>
        <v>0</v>
      </c>
      <c r="H12" s="150">
        <f>SUM(D12:G12)/'Data Entry'!B8</f>
        <v>0</v>
      </c>
      <c r="I12" s="150">
        <f>'Data Entry'!C8/'Data Entry'!B8</f>
        <v>0.66355140186915884</v>
      </c>
      <c r="K12" s="96" t="str">
        <f t="shared" si="0"/>
        <v>Referrals, total N=107</v>
      </c>
      <c r="L12">
        <f>I14/(SUM(B14:G14))</f>
        <v>8.3235955056179769</v>
      </c>
    </row>
    <row r="13" spans="1:12">
      <c r="A13" s="128" t="str">
        <f>CONCATENATE("Arrests, total N=", 'Data Entry'!B7)</f>
        <v>Arrests, total N=20</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N=20</v>
      </c>
      <c r="L13">
        <f>I14/(SUM(B14:G14))</f>
        <v>8.3235955056179769</v>
      </c>
    </row>
    <row r="14" spans="1:12">
      <c r="A14" s="128" t="str">
        <f>CONCATENATE("Population, total N=", 'Data Entry'!B6)</f>
        <v>Population, total N=8298</v>
      </c>
      <c r="B14" s="150">
        <f>'Data Entry'!D6/'Data Entry'!B6</f>
        <v>2.4704748132080019E-2</v>
      </c>
      <c r="C14" s="150">
        <f>'Data Entry'!E6/'Data Entry'!B6</f>
        <v>4.4107013738250184E-2</v>
      </c>
      <c r="D14" s="150">
        <f>'Data Entry'!F6/'Data Entry'!B6</f>
        <v>3.2417449987948904E-2</v>
      </c>
      <c r="E14" s="150">
        <f>'Data Entry'!G6/'Data Entry'!B6</f>
        <v>0</v>
      </c>
      <c r="F14" s="150">
        <f>'Data Entry'!H6/'Data Entry'!B6</f>
        <v>6.0255483248975658E-3</v>
      </c>
      <c r="G14" s="150">
        <f>'Data Entry'!I6/'Data Entry'!B6</f>
        <v>0</v>
      </c>
      <c r="H14" s="150">
        <f>SUM(D14:G14)/'Data Entry'!B6</f>
        <v>4.6328028817602397E-6</v>
      </c>
      <c r="I14" s="150">
        <f>'Data Entry'!C6/'Data Entry'!B6</f>
        <v>0.8927452398168233</v>
      </c>
      <c r="K14" s="96" t="str">
        <f t="shared" si="0"/>
        <v>Population, total N=8298</v>
      </c>
      <c r="L14">
        <f>I14/(SUM(B14:G14))</f>
        <v>8.3235955056179769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Midland</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7408</v>
      </c>
      <c r="D7" s="104">
        <f>'Data Entry'!D6</f>
        <v>205</v>
      </c>
      <c r="E7" s="105"/>
      <c r="F7" s="106">
        <f>'Data Entry'!E6</f>
        <v>366</v>
      </c>
      <c r="G7" s="105"/>
      <c r="H7" s="106">
        <f>'Data Entry'!F6</f>
        <v>269</v>
      </c>
      <c r="I7" s="105"/>
      <c r="J7" s="106">
        <f>'Data Entry'!J6</f>
        <v>890</v>
      </c>
      <c r="K7" s="107"/>
    </row>
    <row r="8" spans="2:30" s="1" customFormat="1" ht="15" customHeight="1">
      <c r="B8" s="121" t="s">
        <v>8</v>
      </c>
      <c r="C8" s="103">
        <f>'Data Entry'!C7</f>
        <v>20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c r="B9" s="121" t="s">
        <v>134</v>
      </c>
      <c r="C9" s="103">
        <f>'Data Entry'!C8</f>
        <v>71</v>
      </c>
      <c r="D9" s="108">
        <f>'Data Entry'!D8</f>
        <v>5</v>
      </c>
      <c r="E9" s="109" t="str">
        <f>'Black or African-American'!$G8</f>
        <v>**</v>
      </c>
      <c r="F9" s="110">
        <f>'Data Entry'!E8</f>
        <v>2</v>
      </c>
      <c r="G9" s="109" t="str">
        <f>Hispanic!G8</f>
        <v>**</v>
      </c>
      <c r="H9" s="110">
        <f>'Data Entry'!F8</f>
        <v>0</v>
      </c>
      <c r="I9" s="109" t="str">
        <f>Asian!G8</f>
        <v>**</v>
      </c>
      <c r="J9" s="110">
        <f>'Data Entry'!J8</f>
        <v>7</v>
      </c>
      <c r="K9" s="111" t="str">
        <f>'All Minorities'!G8</f>
        <v>**</v>
      </c>
      <c r="L9"/>
      <c r="N9" s="1">
        <f>'Black or African-American'!L8</f>
        <v>20</v>
      </c>
      <c r="O9" s="1">
        <f>Hispanic!L8</f>
        <v>20</v>
      </c>
      <c r="P9" s="1">
        <f>Asian!L8</f>
        <v>40</v>
      </c>
      <c r="Q9" s="1">
        <f>Hawaiian!L8</f>
        <v>139</v>
      </c>
      <c r="R9" s="1">
        <f>'Am Indian'!L8</f>
        <v>139</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9</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57</v>
      </c>
      <c r="D12" s="112">
        <f>'Data Entry'!D11</f>
        <v>4</v>
      </c>
      <c r="E12" s="113" t="str">
        <f>'Black or African-American'!$G11</f>
        <v>**</v>
      </c>
      <c r="F12" s="114">
        <f>'Data Entry'!E11</f>
        <v>2</v>
      </c>
      <c r="G12" s="113" t="str">
        <f>Hispanic!G11</f>
        <v>**</v>
      </c>
      <c r="H12" s="114">
        <f>'Data Entry'!F11</f>
        <v>0</v>
      </c>
      <c r="I12" s="113" t="str">
        <f>Asian!G11</f>
        <v>--</v>
      </c>
      <c r="J12" s="114">
        <f>'Data Entry'!J11</f>
        <v>6</v>
      </c>
      <c r="K12" s="115" t="str">
        <f>'All Minorities'!G11</f>
        <v>**</v>
      </c>
      <c r="L12"/>
      <c r="N12" s="1">
        <f>'Black or African-American'!L11</f>
        <v>40</v>
      </c>
      <c r="O12" s="1">
        <f>Hispanic!L11</f>
        <v>40</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34</v>
      </c>
      <c r="D13" s="108">
        <f>'Data Entry'!D12</f>
        <v>2</v>
      </c>
      <c r="E13" s="109" t="str">
        <f>'Black or African-American'!$G12</f>
        <v>**</v>
      </c>
      <c r="F13" s="110">
        <f>'Data Entry'!E12</f>
        <v>1</v>
      </c>
      <c r="G13" s="109" t="str">
        <f>Hispanic!G12</f>
        <v>**</v>
      </c>
      <c r="H13" s="110">
        <f>'Data Entry'!F12</f>
        <v>0</v>
      </c>
      <c r="I13" s="109" t="str">
        <f>Asian!G12</f>
        <v>--</v>
      </c>
      <c r="J13" s="110">
        <f>'Data Entry'!J12</f>
        <v>3</v>
      </c>
      <c r="K13" s="111" t="str">
        <f>'All Minorities'!G12</f>
        <v>**</v>
      </c>
      <c r="L13"/>
      <c r="N13" s="1">
        <f>'Black or African-American'!L12</f>
        <v>40</v>
      </c>
      <c r="O13" s="1">
        <f>Hispanic!L12</f>
        <v>40</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52</v>
      </c>
      <c r="D14" s="112">
        <f>'Data Entry'!D13</f>
        <v>2</v>
      </c>
      <c r="E14" s="113" t="str">
        <f>'Black or African-American'!$G13</f>
        <v>**</v>
      </c>
      <c r="F14" s="114">
        <f>'Data Entry'!E13</f>
        <v>0</v>
      </c>
      <c r="G14" s="113" t="str">
        <f>Hispanic!G13</f>
        <v>**</v>
      </c>
      <c r="H14" s="114">
        <f>'Data Entry'!F13</f>
        <v>0</v>
      </c>
      <c r="I14" s="113" t="str">
        <f>Asian!G13</f>
        <v>--</v>
      </c>
      <c r="J14" s="114">
        <f>'Data Entry'!J13</f>
        <v>2</v>
      </c>
      <c r="K14" s="115" t="str">
        <f>'All Minorities'!G13</f>
        <v>**</v>
      </c>
      <c r="L14"/>
      <c r="N14" s="1">
        <f>'Black or African-American'!L13</f>
        <v>40</v>
      </c>
      <c r="O14" s="1">
        <f>Hispanic!L13</f>
        <v>40</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28</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20</v>
      </c>
      <c r="O15" s="1">
        <f>Hispanic!L14</f>
        <v>20</v>
      </c>
      <c r="P15" s="1" t="e">
        <f>Asian!L14</f>
        <v>#VALUE!</v>
      </c>
      <c r="Q15" s="1" t="e">
        <f>Hawaiian!L14</f>
        <v>#VALUE!</v>
      </c>
      <c r="R15" s="1" t="e">
        <f>'Am Indian'!L14</f>
        <v>#VALUE!</v>
      </c>
      <c r="S15" s="1" t="e">
        <f>'Other - Mixed'!L14</f>
        <v>#VALUE!</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7408</v>
      </c>
      <c r="D6" s="34"/>
      <c r="E6" s="33">
        <f>'Data Entry'!D6</f>
        <v>205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2.6997840172786174</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205</v>
      </c>
      <c r="P7" s="42">
        <f t="shared" ref="P7:P15" si="2">C7</f>
        <v>20</v>
      </c>
      <c r="Q7" s="42">
        <f>C6-C7</f>
        <v>7388</v>
      </c>
      <c r="R7" s="42">
        <f t="shared" ref="R7:R15" si="3">SUM(N7:Q7)</f>
        <v>7613</v>
      </c>
      <c r="S7" s="30">
        <f t="shared" ref="S7:S15" si="4">R7*((((N7*Q7)-(O7*P7))^2))</f>
        <v>127974530000</v>
      </c>
      <c r="T7" s="30">
        <f t="shared" ref="T7:T15" si="5">(N7+O7)*(P7+Q7)*(N7+P7)*(O7+Q7)</f>
        <v>230620670400</v>
      </c>
      <c r="U7" s="31">
        <f t="shared" ref="U7:U15" si="6">IF((S7&gt;0),S7/T7,"- -")</f>
        <v>0.55491352868775634</v>
      </c>
    </row>
    <row r="8" spans="2:21" ht="18" customHeight="1">
      <c r="B8" s="32" t="str">
        <f>'Data Entry'!A8</f>
        <v>3. Refer to Juvenile Court</v>
      </c>
      <c r="C8" s="33">
        <f>'Data Entry'!C8</f>
        <v>71</v>
      </c>
      <c r="D8" s="34">
        <f>IF((AND(C67&gt;0,C8&gt;0)),(C8/C67),0)</f>
        <v>355</v>
      </c>
      <c r="E8" s="33">
        <f>'Data Entry'!D8</f>
        <v>5</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5</v>
      </c>
      <c r="O8" s="42">
        <f>((D67*L67)-E8)+0.05</f>
        <v>-4.95</v>
      </c>
      <c r="P8" s="42">
        <f t="shared" si="2"/>
        <v>71</v>
      </c>
      <c r="Q8" s="42">
        <f>(C$67*L67)-C8</f>
        <v>-51</v>
      </c>
      <c r="R8" s="42">
        <f t="shared" si="3"/>
        <v>20.049999999999997</v>
      </c>
      <c r="S8" s="30">
        <f t="shared" si="4"/>
        <v>186517.18012499993</v>
      </c>
      <c r="T8" s="30">
        <f t="shared" si="5"/>
        <v>-4252.1999999999853</v>
      </c>
      <c r="U8" s="31">
        <f t="shared" si="6"/>
        <v>-43.863689413715385</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5</v>
      </c>
      <c r="P9" s="42">
        <f t="shared" si="2"/>
        <v>0</v>
      </c>
      <c r="Q9" s="42">
        <f>(C$68*L68)-C9</f>
        <v>71</v>
      </c>
      <c r="R9" s="42">
        <f t="shared" si="3"/>
        <v>76</v>
      </c>
      <c r="S9" s="30">
        <f t="shared" si="4"/>
        <v>0</v>
      </c>
      <c r="T9" s="30">
        <f t="shared" si="5"/>
        <v>0</v>
      </c>
      <c r="U9" s="31" t="str">
        <f t="shared" si="6"/>
        <v>- -</v>
      </c>
    </row>
    <row r="10" spans="2:21" ht="18" customHeight="1">
      <c r="B10" s="32" t="str">
        <f>'Data Entry'!A10</f>
        <v>5. Cases Involving Secure Detention</v>
      </c>
      <c r="C10" s="33">
        <f>'Data Entry'!C10</f>
        <v>9</v>
      </c>
      <c r="D10" s="34">
        <f>IF(((AND(C68&gt;0,C10&gt;0))),(C10/(C68)),0)</f>
        <v>12.67605633802817</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5</v>
      </c>
      <c r="P10" s="42">
        <f t="shared" si="2"/>
        <v>9</v>
      </c>
      <c r="Q10" s="42">
        <f>(C$68*L68)-C10</f>
        <v>62</v>
      </c>
      <c r="R10" s="42">
        <f t="shared" si="3"/>
        <v>76</v>
      </c>
      <c r="S10" s="30">
        <f t="shared" si="4"/>
        <v>153900</v>
      </c>
      <c r="T10" s="30">
        <f t="shared" si="5"/>
        <v>214065</v>
      </c>
      <c r="U10" s="31">
        <f t="shared" si="6"/>
        <v>0.71894050872398574</v>
      </c>
    </row>
    <row r="11" spans="2:21" ht="18" customHeight="1">
      <c r="B11" s="32" t="str">
        <f>'Data Entry'!A11</f>
        <v>6. Cases Petitioned (Charge Filed)</v>
      </c>
      <c r="C11" s="33">
        <f>'Data Entry'!C11</f>
        <v>57</v>
      </c>
      <c r="D11" s="34">
        <f>IF(((AND(C68&gt;0,C11&gt;0))),(C11/(C68)),0)</f>
        <v>80.281690140845072</v>
      </c>
      <c r="E11" s="33">
        <f>'Data Entry'!D11</f>
        <v>4</v>
      </c>
      <c r="F11" s="34">
        <f>IF(((AND($E$11&gt;0,$D$68&gt;0))),($E$11/($D$68)),0)</f>
        <v>80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4</v>
      </c>
      <c r="O11" s="42">
        <f>(D$68*L68)-E11</f>
        <v>1</v>
      </c>
      <c r="P11" s="42">
        <f t="shared" si="2"/>
        <v>57</v>
      </c>
      <c r="Q11" s="42">
        <f>(C$68*L68)-C11</f>
        <v>14</v>
      </c>
      <c r="R11" s="42">
        <f t="shared" si="3"/>
        <v>76</v>
      </c>
      <c r="S11" s="30">
        <f t="shared" si="4"/>
        <v>76</v>
      </c>
      <c r="T11" s="30">
        <f t="shared" si="5"/>
        <v>324825</v>
      </c>
      <c r="U11" s="31">
        <f t="shared" si="6"/>
        <v>2.3397213884399293E-4</v>
      </c>
    </row>
    <row r="12" spans="2:21" ht="18" customHeight="1">
      <c r="B12" s="32" t="str">
        <f>'Data Entry'!A12</f>
        <v>7. Cases Resulting in Delinquent Findings</v>
      </c>
      <c r="C12" s="33">
        <f>'Data Entry'!C12</f>
        <v>34</v>
      </c>
      <c r="D12" s="34">
        <f>IF(((AND(C69&gt;0,C12&gt;0))),(C12/(C69)),0)</f>
        <v>59.649122807017548</v>
      </c>
      <c r="E12" s="33">
        <f>'Data Entry'!D12</f>
        <v>2</v>
      </c>
      <c r="F12" s="34">
        <f>IF(((AND($D$69&gt;0,$E$12&gt;0))),(E12/(D69)),0)</f>
        <v>50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2</v>
      </c>
      <c r="P12" s="42">
        <f t="shared" si="2"/>
        <v>34</v>
      </c>
      <c r="Q12" s="42">
        <f>(C69*L69)-C12</f>
        <v>22.999999999999993</v>
      </c>
      <c r="R12" s="42">
        <f t="shared" si="3"/>
        <v>60.999999999999993</v>
      </c>
      <c r="S12" s="30">
        <f t="shared" si="4"/>
        <v>29524.000000000036</v>
      </c>
      <c r="T12" s="30">
        <f t="shared" si="5"/>
        <v>205199.99999999988</v>
      </c>
      <c r="U12" s="31">
        <f t="shared" si="6"/>
        <v>0.14387914230019519</v>
      </c>
    </row>
    <row r="13" spans="2:21" ht="18" customHeight="1">
      <c r="B13" s="32" t="str">
        <f>'Data Entry'!A13</f>
        <v>8. Cases Resulting in Probation Placement</v>
      </c>
      <c r="C13" s="33">
        <f>'Data Entry'!C13</f>
        <v>52</v>
      </c>
      <c r="D13" s="34">
        <f>IF(((AND(C70&gt;0,C13&gt;0))),(C13/(C70)),0)</f>
        <v>152.94117647058823</v>
      </c>
      <c r="E13" s="33">
        <f>'Data Entry'!D13</f>
        <v>2</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0</v>
      </c>
      <c r="P13" s="42">
        <f t="shared" si="2"/>
        <v>52</v>
      </c>
      <c r="Q13" s="42">
        <f>(C70*L70)-C13</f>
        <v>-18</v>
      </c>
      <c r="R13" s="42">
        <f t="shared" si="3"/>
        <v>36</v>
      </c>
      <c r="S13" s="30">
        <f t="shared" si="4"/>
        <v>46656</v>
      </c>
      <c r="T13" s="30">
        <f t="shared" si="5"/>
        <v>-66096</v>
      </c>
      <c r="U13" s="31">
        <f t="shared" si="6"/>
        <v>-0.70588235294117652</v>
      </c>
    </row>
    <row r="14" spans="2:21" ht="30.75" customHeight="1">
      <c r="B14" s="32" t="str">
        <f>'Data Entry'!A14</f>
        <v xml:space="preserve">9. Cases Resulting in Confinement in Secure Juvenile Correctional Facilities </v>
      </c>
      <c r="C14" s="33">
        <f>'Data Entry'!C14</f>
        <v>28</v>
      </c>
      <c r="D14" s="34">
        <f>IF(((AND(C70&gt;0,C14&gt;0))), ((C14/(C70))),0)</f>
        <v>82.35294117647058</v>
      </c>
      <c r="E14" s="33">
        <f>'Data Entry'!D14</f>
        <v>0</v>
      </c>
      <c r="F14" s="34">
        <f>IF(((AND($D$70&gt;0,$E$14&gt;0))), (($E$14/($D$70))),0)</f>
        <v>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0</v>
      </c>
      <c r="O14" s="42">
        <f>(D70*L70)-E14</f>
        <v>2</v>
      </c>
      <c r="P14" s="42">
        <f t="shared" si="2"/>
        <v>28</v>
      </c>
      <c r="Q14" s="42">
        <f>(C70*L70)-C14</f>
        <v>6</v>
      </c>
      <c r="R14" s="42">
        <f t="shared" si="3"/>
        <v>36</v>
      </c>
      <c r="S14" s="30">
        <f t="shared" si="4"/>
        <v>112896</v>
      </c>
      <c r="T14" s="30">
        <f t="shared" si="5"/>
        <v>15232</v>
      </c>
      <c r="U14" s="31">
        <f t="shared" si="6"/>
        <v>7.4117647058823533</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4</v>
      </c>
      <c r="P15" s="42">
        <f t="shared" si="2"/>
        <v>0</v>
      </c>
      <c r="Q15" s="42">
        <f>(C69*L69)-C15</f>
        <v>56.999999999999993</v>
      </c>
      <c r="R15" s="42">
        <f t="shared" si="3"/>
        <v>60.999999999999993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7.4080000000000004</v>
      </c>
      <c r="D42" s="56">
        <f>E6/1000</f>
        <v>0.20499999999999999</v>
      </c>
      <c r="E42" s="56">
        <f>MAX(C42:D42)</f>
        <v>7.4080000000000004</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0.71</v>
      </c>
      <c r="D44" s="56">
        <f>E8/100</f>
        <v>0.05</v>
      </c>
      <c r="E44" s="56">
        <f>MAX(C44:D44,0)</f>
        <v>0.71</v>
      </c>
      <c r="G44" s="1" t="str">
        <f>B44</f>
        <v>per 100 referrals</v>
      </c>
      <c r="L44" s="57">
        <v>100</v>
      </c>
      <c r="M44" s="57"/>
      <c r="R44" s="49"/>
    </row>
    <row r="45" spans="2:18" ht="15" hidden="1" customHeight="1">
      <c r="B45" s="49" t="s">
        <v>89</v>
      </c>
      <c r="C45" s="49">
        <f>C11/100</f>
        <v>0.56999999999999995</v>
      </c>
      <c r="D45" s="49">
        <f>E11/100</f>
        <v>0.04</v>
      </c>
      <c r="E45" s="56">
        <f>MAX(C45:D45,0)</f>
        <v>0.56999999999999995</v>
      </c>
      <c r="G45" s="1" t="str">
        <f>B45</f>
        <v>per 100 youth petitioned</v>
      </c>
      <c r="L45" s="57">
        <v>100</v>
      </c>
      <c r="M45" s="57"/>
      <c r="R45" s="49"/>
    </row>
    <row r="46" spans="2:18" ht="15" hidden="1" customHeight="1">
      <c r="B46" s="49" t="s">
        <v>90</v>
      </c>
      <c r="C46" s="49">
        <f>C12/100</f>
        <v>0.34</v>
      </c>
      <c r="D46" s="49">
        <f>E12/100</f>
        <v>0.02</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7.4080000000000004</v>
      </c>
      <c r="D48" s="56">
        <f>D42</f>
        <v>0.20499999999999999</v>
      </c>
      <c r="E48" s="56">
        <f>MAX(C48:D48)</f>
        <v>7.4080000000000004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0.71</v>
      </c>
      <c r="D50" s="49">
        <f t="shared" si="9"/>
        <v>0.05</v>
      </c>
      <c r="E50" s="49">
        <f>MAX(C50:D50)</f>
        <v>0.71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0.56999999999999995</v>
      </c>
      <c r="D51" s="49">
        <f>IF(($E45&gt;0),D45,D44)</f>
        <v>0.04</v>
      </c>
      <c r="E51" s="49">
        <f>MAX(C51:D51)</f>
        <v>0.56999999999999995</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0.02</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7.4080000000000004</v>
      </c>
      <c r="D54" s="56">
        <f>D48</f>
        <v>0.20499999999999999</v>
      </c>
      <c r="E54" s="56">
        <f>MAX(C54:D54)</f>
        <v>7.4080000000000004</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0.71</v>
      </c>
      <c r="D56" s="49">
        <f t="shared" si="10"/>
        <v>0.05</v>
      </c>
      <c r="E56" s="49">
        <f>MAX(C56:D56)</f>
        <v>0.71</v>
      </c>
      <c r="G56" s="1" t="str">
        <f>G50</f>
        <v>per 100 referrals</v>
      </c>
      <c r="L56" s="58">
        <f>IF(($E50&gt;0),L50,L49)</f>
        <v>100</v>
      </c>
      <c r="M56" s="58"/>
    </row>
    <row r="57" spans="2:18" ht="15" hidden="1" customHeight="1">
      <c r="B57" s="49" t="str">
        <f>IF(($E51&gt;0),B51,B49)</f>
        <v>per 100 youth petitioned</v>
      </c>
      <c r="C57" s="49">
        <f>IF(($E51&gt;0),C51,C50)</f>
        <v>0.56999999999999995</v>
      </c>
      <c r="D57" s="49">
        <f>IF(($E51&gt;0),D51,D50)</f>
        <v>0.04</v>
      </c>
      <c r="E57" s="49">
        <f>MAX(C57:D57)</f>
        <v>0.56999999999999995</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0.02</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7.4080000000000004</v>
      </c>
      <c r="D60" s="56">
        <f>D54</f>
        <v>0.20499999999999999</v>
      </c>
      <c r="E60" s="56">
        <f>MAX(C60:D60)</f>
        <v>7.4080000000000004</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0.71</v>
      </c>
      <c r="D62" s="49">
        <f t="shared" si="11"/>
        <v>0.05</v>
      </c>
      <c r="E62" s="49">
        <f>MAX(C62:D62)</f>
        <v>0.71</v>
      </c>
      <c r="G62" s="1" t="str">
        <f>G56</f>
        <v>per 100 referrals</v>
      </c>
      <c r="L62" s="58">
        <f>IF(($E56&gt;0),L56,L55)</f>
        <v>100</v>
      </c>
      <c r="M62" s="58"/>
    </row>
    <row r="63" spans="2:18" ht="15" hidden="1" customHeight="1">
      <c r="B63" s="49" t="str">
        <f>IF(($E57&gt;0),B57,B55)</f>
        <v>per 100 youth petitioned</v>
      </c>
      <c r="C63" s="49">
        <f>IF(($E57&gt;0),C57,C56)</f>
        <v>0.56999999999999995</v>
      </c>
      <c r="D63" s="49">
        <f>IF(($E57&gt;0),D57,D56)</f>
        <v>0.04</v>
      </c>
      <c r="E63" s="49">
        <f>MAX(C63:D63)</f>
        <v>0.56999999999999995</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0.02</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7.4080000000000004</v>
      </c>
      <c r="D66" s="56">
        <f>D60</f>
        <v>0.20499999999999999</v>
      </c>
      <c r="E66" s="56">
        <f>MAX(C66:D66)</f>
        <v>7.4080000000000004</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0.71</v>
      </c>
      <c r="D68" s="49">
        <f t="shared" si="12"/>
        <v>0.05</v>
      </c>
      <c r="E68" s="49">
        <f>MAX(C68:D68)</f>
        <v>0.71</v>
      </c>
      <c r="G68" s="1" t="str">
        <f>G62</f>
        <v>per 100 referrals</v>
      </c>
      <c r="L68" s="58">
        <f>IF(($E62&gt;0),L62,L61)</f>
        <v>100</v>
      </c>
      <c r="M68" s="58">
        <f>IF((B68=G68),1,2)</f>
        <v>1</v>
      </c>
    </row>
    <row r="69" spans="2:13" ht="15" hidden="1" customHeight="1">
      <c r="B69" s="49" t="str">
        <f>IF(($E63&gt;0),B63,B61)</f>
        <v>per 100 youth petitioned</v>
      </c>
      <c r="C69" s="49">
        <f>IF(($E63&gt;0),C63,C62)</f>
        <v>0.56999999999999995</v>
      </c>
      <c r="D69" s="49">
        <f>IF(($E63&gt;0),D63,D62)</f>
        <v>0.04</v>
      </c>
      <c r="E69" s="49">
        <f>MAX(C69:D69)</f>
        <v>0.56999999999999995</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0.02</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7408</v>
      </c>
      <c r="D6" s="34"/>
      <c r="E6" s="33">
        <f>'Data Entry'!F6</f>
        <v>269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2.6997840172786174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269</v>
      </c>
      <c r="P7" s="42">
        <f t="shared" ref="P7:P15" si="4">C7</f>
        <v>20</v>
      </c>
      <c r="Q7" s="42">
        <f>C6-C7</f>
        <v>7388</v>
      </c>
      <c r="R7" s="42">
        <f t="shared" ref="R7:R15" si="5">SUM(N7:Q7)</f>
        <v>7677</v>
      </c>
      <c r="S7" s="30">
        <f t="shared" ref="S7:S15" si="6">R7*((((N7*Q7)-(O7*P7))^2))</f>
        <v>222206158800</v>
      </c>
      <c r="T7" s="30">
        <f t="shared" ref="T7:T15" si="7">(N7+O7)*(P7+Q7)*(N7+P7)*(O7+Q7)</f>
        <v>305170041280</v>
      </c>
      <c r="U7" s="31">
        <f t="shared" ref="U7:U15" si="8">IF((S7&gt;0),S7/T7,"- -")</f>
        <v>0.72813883652530997</v>
      </c>
    </row>
    <row r="8" spans="2:21" ht="18" customHeight="1">
      <c r="B8" s="32" t="str">
        <f>'Data Entry'!A8</f>
        <v>3. Refer to Juvenile Court</v>
      </c>
      <c r="C8" s="33">
        <f>'Data Entry'!C8</f>
        <v>71</v>
      </c>
      <c r="D8" s="34">
        <f>IF((AND(C67&gt;0,C8&gt;0)),(C8/C67),0)</f>
        <v>355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71</v>
      </c>
      <c r="Q8" s="42">
        <f>(C$67*L67)-C8</f>
        <v>-51</v>
      </c>
      <c r="R8" s="42">
        <f t="shared" si="5"/>
        <v>20.049999999999997</v>
      </c>
      <c r="S8" s="30">
        <f t="shared" si="6"/>
        <v>252.68012500000003</v>
      </c>
      <c r="T8" s="30">
        <f t="shared" si="7"/>
        <v>-3617.4500000000003</v>
      </c>
      <c r="U8" s="31">
        <f t="shared" si="8"/>
        <v>-6.9850343473994117E-2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71</v>
      </c>
      <c r="R9" s="42">
        <f t="shared" si="5"/>
        <v>71</v>
      </c>
      <c r="S9" s="30">
        <f t="shared" si="6"/>
        <v>0</v>
      </c>
      <c r="T9" s="30">
        <f t="shared" si="7"/>
        <v>0</v>
      </c>
      <c r="U9" s="31" t="str">
        <f t="shared" si="8"/>
        <v>- -</v>
      </c>
    </row>
    <row r="10" spans="2:21" ht="18" customHeight="1">
      <c r="B10" s="32" t="str">
        <f>'Data Entry'!A10</f>
        <v>5. Cases Involving Secure Detention</v>
      </c>
      <c r="C10" s="33">
        <f>'Data Entry'!C10</f>
        <v>9</v>
      </c>
      <c r="D10" s="34">
        <f>IF(((AND(C68&gt;0,C10&gt;0))),(C10/(C68)),0)</f>
        <v>12.67605633802817</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v>
      </c>
      <c r="Q10" s="42">
        <f>(C$68*L68)-C10</f>
        <v>62</v>
      </c>
      <c r="R10" s="42">
        <f t="shared" si="5"/>
        <v>71</v>
      </c>
      <c r="S10" s="30">
        <f t="shared" si="6"/>
        <v>0</v>
      </c>
      <c r="T10" s="30">
        <f t="shared" si="7"/>
        <v>0</v>
      </c>
      <c r="U10" s="31" t="str">
        <f t="shared" si="8"/>
        <v>- -</v>
      </c>
    </row>
    <row r="11" spans="2:21" ht="18" customHeight="1">
      <c r="B11" s="32" t="str">
        <f>'Data Entry'!A11</f>
        <v>6. Cases Petitioned (Charge Filed)</v>
      </c>
      <c r="C11" s="33">
        <f>'Data Entry'!C11</f>
        <v>57</v>
      </c>
      <c r="D11" s="34">
        <f>IF(((AND(C68&gt;0,C11&gt;0))),(C11/(C68)),0)</f>
        <v>80.281690140845072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57</v>
      </c>
      <c r="Q11" s="42">
        <f>(C$68*L68)-C11</f>
        <v>14</v>
      </c>
      <c r="R11" s="42">
        <f t="shared" si="5"/>
        <v>71</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59.649122807017548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22.999999999999993</v>
      </c>
      <c r="R12" s="42">
        <f t="shared" si="5"/>
        <v>56.999999999999993</v>
      </c>
      <c r="S12" s="30">
        <f t="shared" si="6"/>
        <v>0</v>
      </c>
      <c r="T12" s="30">
        <f t="shared" si="7"/>
        <v>0</v>
      </c>
      <c r="U12" s="31" t="str">
        <f t="shared" si="8"/>
        <v>- -</v>
      </c>
    </row>
    <row r="13" spans="2:21" ht="18" customHeight="1">
      <c r="B13" s="32" t="str">
        <f>'Data Entry'!A13</f>
        <v>8. Cases Resulting in Probation Placement</v>
      </c>
      <c r="C13" s="33">
        <f>'Data Entry'!C13</f>
        <v>52</v>
      </c>
      <c r="D13" s="34">
        <f>IF(((AND(C70&gt;0,C13&gt;0))),(C13/(C70)),0)</f>
        <v>152.94117647058823</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-18</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28</v>
      </c>
      <c r="D14" s="34">
        <f>IF(((AND(C70&gt;0,C14&gt;0))), ((C14/(C70))),0)</f>
        <v>82.35294117647058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28</v>
      </c>
      <c r="Q14" s="42">
        <f>(C70*L70)-C14</f>
        <v>6</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56.999999999999993</v>
      </c>
      <c r="R15" s="42">
        <f t="shared" si="5"/>
        <v>56.999999999999993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7.4080000000000004</v>
      </c>
      <c r="D42" s="56">
        <f>E6/1000</f>
        <v>0.26900000000000002</v>
      </c>
      <c r="E42" s="56">
        <f>MAX(C42:D42)</f>
        <v>7.4080000000000004</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0.71</v>
      </c>
      <c r="D44" s="56">
        <f>E8/100</f>
        <v>0</v>
      </c>
      <c r="E44" s="56">
        <f>MAX(C44:D44,0)</f>
        <v>0.71</v>
      </c>
      <c r="G44" s="1" t="str">
        <f>B44</f>
        <v>per 100 referrals</v>
      </c>
      <c r="L44" s="57">
        <v>100</v>
      </c>
      <c r="M44" s="57"/>
      <c r="R44" s="49"/>
    </row>
    <row r="45" spans="2:18" ht="15" hidden="1" customHeight="1">
      <c r="B45" s="49" t="s">
        <v>89</v>
      </c>
      <c r="C45" s="49">
        <f>C11/100</f>
        <v>0.56999999999999995</v>
      </c>
      <c r="D45" s="49">
        <f>E11/100</f>
        <v>0</v>
      </c>
      <c r="E45" s="56">
        <f>MAX(C45:D45,0)</f>
        <v>0.56999999999999995</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7.4080000000000004</v>
      </c>
      <c r="D48" s="56">
        <f>D42</f>
        <v>0.26900000000000002</v>
      </c>
      <c r="E48" s="56">
        <f>MAX(C48:D48)</f>
        <v>7.4080000000000004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0.71</v>
      </c>
      <c r="D50" s="49">
        <f t="shared" si="9"/>
        <v>0</v>
      </c>
      <c r="E50" s="49">
        <f>MAX(C50:D50)</f>
        <v>0.71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0.56999999999999995</v>
      </c>
      <c r="D51" s="49">
        <f>IF(($E45&gt;0),D45,D44)</f>
        <v>0</v>
      </c>
      <c r="E51" s="49">
        <f>MAX(C51:D51)</f>
        <v>0.56999999999999995</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7.4080000000000004</v>
      </c>
      <c r="D54" s="56">
        <f>D48</f>
        <v>0.26900000000000002</v>
      </c>
      <c r="E54" s="56">
        <f>MAX(C54:D54)</f>
        <v>7.4080000000000004</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0.71</v>
      </c>
      <c r="D56" s="49">
        <f t="shared" si="10"/>
        <v>0</v>
      </c>
      <c r="E56" s="49">
        <f>MAX(C56:D56)</f>
        <v>0.71</v>
      </c>
      <c r="G56" s="1" t="str">
        <f>G50</f>
        <v>per 100 referrals</v>
      </c>
      <c r="L56" s="58">
        <f>IF(($E50&gt;0),L50,L49)</f>
        <v>100</v>
      </c>
      <c r="M56" s="58"/>
    </row>
    <row r="57" spans="2:18" ht="15" hidden="1" customHeight="1">
      <c r="B57" s="49" t="str">
        <f>IF(($E51&gt;0),B51,B49)</f>
        <v>per 100 youth petitioned</v>
      </c>
      <c r="C57" s="49">
        <f>IF(($E51&gt;0),C51,C50)</f>
        <v>0.56999999999999995</v>
      </c>
      <c r="D57" s="49">
        <f>IF(($E51&gt;0),D51,D50)</f>
        <v>0</v>
      </c>
      <c r="E57" s="49">
        <f>MAX(C57:D57)</f>
        <v>0.56999999999999995</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7.4080000000000004</v>
      </c>
      <c r="D60" s="56">
        <f>D54</f>
        <v>0.26900000000000002</v>
      </c>
      <c r="E60" s="56">
        <f>MAX(C60:D60)</f>
        <v>7.4080000000000004</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0.71</v>
      </c>
      <c r="D62" s="49">
        <f t="shared" si="11"/>
        <v>0</v>
      </c>
      <c r="E62" s="49">
        <f>MAX(C62:D62)</f>
        <v>0.71</v>
      </c>
      <c r="G62" s="1" t="str">
        <f>G56</f>
        <v>per 100 referrals</v>
      </c>
      <c r="L62" s="58">
        <f>IF(($E56&gt;0),L56,L55)</f>
        <v>100</v>
      </c>
      <c r="M62" s="58"/>
    </row>
    <row r="63" spans="2:18" ht="15" hidden="1" customHeight="1">
      <c r="B63" s="49" t="str">
        <f>IF(($E57&gt;0),B57,B55)</f>
        <v>per 100 youth petitioned</v>
      </c>
      <c r="C63" s="49">
        <f>IF(($E57&gt;0),C57,C56)</f>
        <v>0.56999999999999995</v>
      </c>
      <c r="D63" s="49">
        <f>IF(($E57&gt;0),D57,D56)</f>
        <v>0</v>
      </c>
      <c r="E63" s="49">
        <f>MAX(C63:D63)</f>
        <v>0.56999999999999995</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7.4080000000000004</v>
      </c>
      <c r="D66" s="56">
        <f>D60</f>
        <v>0.26900000000000002</v>
      </c>
      <c r="E66" s="56">
        <f>MAX(C66:D66)</f>
        <v>7.4080000000000004</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0.71</v>
      </c>
      <c r="D68" s="49">
        <f t="shared" si="12"/>
        <v>0</v>
      </c>
      <c r="E68" s="49">
        <f>MAX(C68:D68)</f>
        <v>0.71</v>
      </c>
      <c r="G68" s="1" t="str">
        <f>G62</f>
        <v>per 100 referrals</v>
      </c>
      <c r="L68" s="58">
        <f>IF(($E62&gt;0),L62,L61)</f>
        <v>100</v>
      </c>
      <c r="M68" s="58">
        <f>IF((B68=G68),1,2)</f>
        <v>1</v>
      </c>
    </row>
    <row r="69" spans="2:13" ht="15" hidden="1" customHeight="1">
      <c r="B69" s="49" t="str">
        <f>IF(($E63&gt;0),B63,B61)</f>
        <v>per 100 youth petitioned</v>
      </c>
      <c r="C69" s="49">
        <f>IF(($E63&gt;0),C63,C62)</f>
        <v>0.56999999999999995</v>
      </c>
      <c r="D69" s="49">
        <f>IF(($E63&gt;0),D63,D62)</f>
        <v>0</v>
      </c>
      <c r="E69" s="49">
        <f>MAX(C69:D69)</f>
        <v>0.56999999999999995</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7408</v>
      </c>
      <c r="D6" s="34"/>
      <c r="E6" s="33">
        <f>'Data Entry'!E6</f>
        <v>366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2.6997840172786174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366</v>
      </c>
      <c r="P7" s="42">
        <f t="shared" ref="P7:P15" si="4">C7</f>
        <v>20</v>
      </c>
      <c r="Q7" s="42">
        <f>C6-C7</f>
        <v>7388</v>
      </c>
      <c r="R7" s="42">
        <f t="shared" ref="R7:R15" si="5">SUM(N7:Q7)</f>
        <v>7774</v>
      </c>
      <c r="S7" s="30">
        <f t="shared" ref="S7:S15" si="6">R7*((((N7*Q7)-(O7*P7))^2))</f>
        <v>416549577600</v>
      </c>
      <c r="T7" s="30">
        <f t="shared" ref="T7:T15" si="7">(N7+O7)*(P7+Q7)*(N7+P7)*(O7+Q7)</f>
        <v>420472746240</v>
      </c>
      <c r="U7" s="31">
        <f t="shared" ref="U7:U15" si="8">IF((S7&gt;0),S7/T7,"- -")</f>
        <v>0.99066962442849815</v>
      </c>
    </row>
    <row r="8" spans="2:21" ht="18" customHeight="1">
      <c r="B8" s="32" t="str">
        <f>'Data Entry'!A8</f>
        <v>3. Refer to Juvenile Court</v>
      </c>
      <c r="C8" s="33">
        <f>'Data Entry'!C8</f>
        <v>71</v>
      </c>
      <c r="D8" s="34">
        <f>IF((AND(C67&gt;0,C8&gt;0)),(C8/C67),0)</f>
        <v>355</v>
      </c>
      <c r="E8" s="33">
        <f>'Data Entry'!E8</f>
        <v>2</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v>
      </c>
      <c r="O8" s="42">
        <f>((D67*L67)-E8)+0.05</f>
        <v>-1.95</v>
      </c>
      <c r="P8" s="42">
        <f t="shared" si="4"/>
        <v>71</v>
      </c>
      <c r="Q8" s="42">
        <f>(C$67*L67)-C8</f>
        <v>-51</v>
      </c>
      <c r="R8" s="42">
        <f t="shared" si="5"/>
        <v>20.049999999999997</v>
      </c>
      <c r="S8" s="30">
        <f t="shared" si="6"/>
        <v>26638.48012499998</v>
      </c>
      <c r="T8" s="30">
        <f t="shared" si="7"/>
        <v>-3865.350000000004</v>
      </c>
      <c r="U8" s="31">
        <f t="shared" si="8"/>
        <v>-6.8916088129147299</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71</v>
      </c>
      <c r="R9" s="42">
        <f t="shared" si="5"/>
        <v>73</v>
      </c>
      <c r="S9" s="30">
        <f t="shared" si="6"/>
        <v>0</v>
      </c>
      <c r="T9" s="30">
        <f t="shared" si="7"/>
        <v>0</v>
      </c>
      <c r="U9" s="31" t="str">
        <f t="shared" si="8"/>
        <v>- -</v>
      </c>
    </row>
    <row r="10" spans="2:21" ht="18" customHeight="1">
      <c r="B10" s="32" t="str">
        <f>'Data Entry'!A10</f>
        <v>5. Cases Involving Secure Detention</v>
      </c>
      <c r="C10" s="33">
        <f>'Data Entry'!C10</f>
        <v>9</v>
      </c>
      <c r="D10" s="34">
        <f>IF(((AND(C68&gt;0,C10&gt;0))),(C10/(C68)),0)</f>
        <v>12.67605633802817</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9</v>
      </c>
      <c r="Q10" s="42">
        <f>(C$68*L68)-C10</f>
        <v>62</v>
      </c>
      <c r="R10" s="42">
        <f t="shared" si="5"/>
        <v>73</v>
      </c>
      <c r="S10" s="30">
        <f t="shared" si="6"/>
        <v>23652</v>
      </c>
      <c r="T10" s="30">
        <f t="shared" si="7"/>
        <v>81792</v>
      </c>
      <c r="U10" s="31">
        <f t="shared" si="8"/>
        <v>0.28917253521126762</v>
      </c>
    </row>
    <row r="11" spans="2:21" ht="18" customHeight="1">
      <c r="B11" s="32" t="str">
        <f>'Data Entry'!A11</f>
        <v>6. Cases Petitioned (Charge Filed)</v>
      </c>
      <c r="C11" s="33">
        <f>'Data Entry'!C11</f>
        <v>57</v>
      </c>
      <c r="D11" s="34">
        <f>IF(((AND(C68&gt;0,C11&gt;0))),(C11/(C68)),0)</f>
        <v>80.281690140845072</v>
      </c>
      <c r="E11" s="33">
        <f>'Data Entry'!E11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0</v>
      </c>
      <c r="P11" s="42">
        <f t="shared" si="4"/>
        <v>57</v>
      </c>
      <c r="Q11" s="42">
        <f>(C$68*L68)-C11</f>
        <v>14</v>
      </c>
      <c r="R11" s="42">
        <f t="shared" si="5"/>
        <v>73</v>
      </c>
      <c r="S11" s="30">
        <f t="shared" si="6"/>
        <v>57232</v>
      </c>
      <c r="T11" s="30">
        <f t="shared" si="7"/>
        <v>117292</v>
      </c>
      <c r="U11" s="31">
        <f t="shared" si="8"/>
        <v>0.48794461685366436</v>
      </c>
    </row>
    <row r="12" spans="2:21" ht="18" customHeight="1">
      <c r="B12" s="32" t="str">
        <f>'Data Entry'!A12</f>
        <v>7. Cases Resulting in Delinquent Findings</v>
      </c>
      <c r="C12" s="33">
        <f>'Data Entry'!C12</f>
        <v>34</v>
      </c>
      <c r="D12" s="34">
        <f>IF(((AND(C69&gt;0,C12&gt;0))),(C12/(C69)),0)</f>
        <v>59.649122807017548</v>
      </c>
      <c r="E12" s="33">
        <f>'Data Entry'!E12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v>
      </c>
      <c r="P12" s="42">
        <f t="shared" si="4"/>
        <v>34</v>
      </c>
      <c r="Q12" s="42">
        <f>(C69*L69)-C12</f>
        <v>22.999999999999993</v>
      </c>
      <c r="R12" s="42">
        <f t="shared" si="5"/>
        <v>58.999999999999993</v>
      </c>
      <c r="S12" s="30">
        <f t="shared" si="6"/>
        <v>7139.0000000000082</v>
      </c>
      <c r="T12" s="30">
        <f t="shared" si="7"/>
        <v>95759.999999999956</v>
      </c>
      <c r="U12" s="31">
        <f t="shared" si="8"/>
        <v>7.4550960735171382E-2</v>
      </c>
    </row>
    <row r="13" spans="2:21" ht="18" customHeight="1">
      <c r="B13" s="32" t="str">
        <f>'Data Entry'!A13</f>
        <v>8. Cases Resulting in Probation Placement</v>
      </c>
      <c r="C13" s="33">
        <f>'Data Entry'!C13</f>
        <v>52</v>
      </c>
      <c r="D13" s="34">
        <f>IF(((AND(C70&gt;0,C13&gt;0))),(C13/(C70)),0)</f>
        <v>152.94117647058823</v>
      </c>
      <c r="E13" s="33">
        <f>'Data Entry'!E13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1</v>
      </c>
      <c r="P13" s="42">
        <f t="shared" si="4"/>
        <v>52</v>
      </c>
      <c r="Q13" s="42">
        <f>(C70*L70)-C13</f>
        <v>-18</v>
      </c>
      <c r="R13" s="42">
        <f t="shared" si="5"/>
        <v>35</v>
      </c>
      <c r="S13" s="30">
        <f t="shared" si="6"/>
        <v>94640</v>
      </c>
      <c r="T13" s="30">
        <f t="shared" si="7"/>
        <v>-30056</v>
      </c>
      <c r="U13" s="31">
        <f t="shared" si="8"/>
        <v>-3.14878892733564</v>
      </c>
    </row>
    <row r="14" spans="2:21" ht="30.75" customHeight="1">
      <c r="B14" s="32" t="str">
        <f>'Data Entry'!A14</f>
        <v xml:space="preserve">9. Cases Resulting in Confinement in Secure Juvenile Correctional Facilities </v>
      </c>
      <c r="C14" s="33">
        <f>'Data Entry'!C14</f>
        <v>28</v>
      </c>
      <c r="D14" s="34">
        <f>IF(((AND(C70&gt;0,C14&gt;0))), ((C14/(C70))),0)</f>
        <v>82.35294117647058</v>
      </c>
      <c r="E14" s="33">
        <f>'Data Entry'!E14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1</v>
      </c>
      <c r="P14" s="42">
        <f t="shared" si="4"/>
        <v>28</v>
      </c>
      <c r="Q14" s="42">
        <f>(C70*L70)-C14</f>
        <v>6</v>
      </c>
      <c r="R14" s="42">
        <f t="shared" si="5"/>
        <v>35</v>
      </c>
      <c r="S14" s="30">
        <f t="shared" si="6"/>
        <v>27440</v>
      </c>
      <c r="T14" s="30">
        <f t="shared" si="7"/>
        <v>6664</v>
      </c>
      <c r="U14" s="31">
        <f t="shared" si="8"/>
        <v>4.117647058823529</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56.999999999999993</v>
      </c>
      <c r="R15" s="42">
        <f t="shared" si="5"/>
        <v>58.999999999999993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7.4080000000000004</v>
      </c>
      <c r="D42" s="56">
        <f>E6/1000</f>
        <v>0.36599999999999999</v>
      </c>
      <c r="E42" s="56">
        <f>MAX(C42:D42)</f>
        <v>7.4080000000000004</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0.71</v>
      </c>
      <c r="D44" s="56">
        <f>E8/100</f>
        <v>0.02</v>
      </c>
      <c r="E44" s="56">
        <f>MAX(C44:D44,0)</f>
        <v>0.71</v>
      </c>
      <c r="G44" s="1" t="str">
        <f>B44</f>
        <v>per 100 referrals</v>
      </c>
      <c r="L44" s="57">
        <v>100</v>
      </c>
      <c r="M44" s="57"/>
      <c r="R44" s="49"/>
    </row>
    <row r="45" spans="2:18" ht="15" hidden="1" customHeight="1">
      <c r="B45" s="49" t="s">
        <v>89</v>
      </c>
      <c r="C45" s="49">
        <f>C11/100</f>
        <v>0.56999999999999995</v>
      </c>
      <c r="D45" s="49">
        <f>E11/100</f>
        <v>0.02</v>
      </c>
      <c r="E45" s="56">
        <f>MAX(C45:D45,0)</f>
        <v>0.56999999999999995</v>
      </c>
      <c r="G45" s="1" t="str">
        <f>B45</f>
        <v>per 100 youth petitioned</v>
      </c>
      <c r="L45" s="57">
        <v>100</v>
      </c>
      <c r="M45" s="57"/>
      <c r="R45" s="49"/>
    </row>
    <row r="46" spans="2:18" ht="15" hidden="1" customHeight="1">
      <c r="B46" s="49" t="s">
        <v>90</v>
      </c>
      <c r="C46" s="49">
        <f>C12/100</f>
        <v>0.34</v>
      </c>
      <c r="D46" s="49">
        <f>E12/100</f>
        <v>0.01</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7.4080000000000004</v>
      </c>
      <c r="D48" s="56">
        <f>D42</f>
        <v>0.36599999999999999</v>
      </c>
      <c r="E48" s="56">
        <f>MAX(C48:D48)</f>
        <v>7.4080000000000004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0.71</v>
      </c>
      <c r="D50" s="49">
        <f t="shared" si="9"/>
        <v>0.02</v>
      </c>
      <c r="E50" s="49">
        <f>MAX(C50:D50)</f>
        <v>0.71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0.56999999999999995</v>
      </c>
      <c r="D51" s="49">
        <f>IF(($E45&gt;0),D45,D44)</f>
        <v>0.02</v>
      </c>
      <c r="E51" s="49">
        <f>MAX(C51:D51)</f>
        <v>0.56999999999999995</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0.01</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7.4080000000000004</v>
      </c>
      <c r="D54" s="56">
        <f>D48</f>
        <v>0.36599999999999999</v>
      </c>
      <c r="E54" s="56">
        <f>MAX(C54:D54)</f>
        <v>7.4080000000000004</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0.71</v>
      </c>
      <c r="D56" s="49">
        <f t="shared" si="10"/>
        <v>0.02</v>
      </c>
      <c r="E56" s="49">
        <f>MAX(C56:D56)</f>
        <v>0.71</v>
      </c>
      <c r="G56" s="1" t="str">
        <f>G50</f>
        <v>per 100 referrals</v>
      </c>
      <c r="L56" s="58">
        <f>IF(($E50&gt;0),L50,L49)</f>
        <v>100</v>
      </c>
      <c r="M56" s="58"/>
    </row>
    <row r="57" spans="2:18" ht="15" hidden="1" customHeight="1">
      <c r="B57" s="49" t="str">
        <f>IF(($E51&gt;0),B51,B49)</f>
        <v>per 100 youth petitioned</v>
      </c>
      <c r="C57" s="49">
        <f>IF(($E51&gt;0),C51,C50)</f>
        <v>0.56999999999999995</v>
      </c>
      <c r="D57" s="49">
        <f>IF(($E51&gt;0),D51,D50)</f>
        <v>0.02</v>
      </c>
      <c r="E57" s="49">
        <f>MAX(C57:D57)</f>
        <v>0.56999999999999995</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0.01</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7.4080000000000004</v>
      </c>
      <c r="D60" s="56">
        <f>D54</f>
        <v>0.36599999999999999</v>
      </c>
      <c r="E60" s="56">
        <f>MAX(C60:D60)</f>
        <v>7.4080000000000004</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0.71</v>
      </c>
      <c r="D62" s="49">
        <f t="shared" si="11"/>
        <v>0.02</v>
      </c>
      <c r="E62" s="49">
        <f>MAX(C62:D62)</f>
        <v>0.71</v>
      </c>
      <c r="G62" s="1" t="str">
        <f>G56</f>
        <v>per 100 referrals</v>
      </c>
      <c r="L62" s="58">
        <f>IF(($E56&gt;0),L56,L55)</f>
        <v>100</v>
      </c>
      <c r="M62" s="58"/>
    </row>
    <row r="63" spans="2:18" ht="15" hidden="1" customHeight="1">
      <c r="B63" s="49" t="str">
        <f>IF(($E57&gt;0),B57,B55)</f>
        <v>per 100 youth petitioned</v>
      </c>
      <c r="C63" s="49">
        <f>IF(($E57&gt;0),C57,C56)</f>
        <v>0.56999999999999995</v>
      </c>
      <c r="D63" s="49">
        <f>IF(($E57&gt;0),D57,D56)</f>
        <v>0.02</v>
      </c>
      <c r="E63" s="49">
        <f>MAX(C63:D63)</f>
        <v>0.56999999999999995</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0.01</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7.4080000000000004</v>
      </c>
      <c r="D66" s="56">
        <f>D60</f>
        <v>0.36599999999999999</v>
      </c>
      <c r="E66" s="56">
        <f>MAX(C66:D66)</f>
        <v>7.4080000000000004</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0.71</v>
      </c>
      <c r="D68" s="49">
        <f t="shared" si="12"/>
        <v>0.02</v>
      </c>
      <c r="E68" s="49">
        <f>MAX(C68:D68)</f>
        <v>0.71</v>
      </c>
      <c r="G68" s="1" t="str">
        <f>G62</f>
        <v>per 100 referrals</v>
      </c>
      <c r="L68" s="58">
        <f>IF(($E62&gt;0),L62,L61)</f>
        <v>100</v>
      </c>
      <c r="M68" s="58">
        <f>IF((B68=G68),1,2)</f>
        <v>1</v>
      </c>
    </row>
    <row r="69" spans="2:13" ht="15" hidden="1" customHeight="1">
      <c r="B69" s="49" t="str">
        <f>IF(($E63&gt;0),B63,B61)</f>
        <v>per 100 youth petitioned</v>
      </c>
      <c r="C69" s="49">
        <f>IF(($E63&gt;0),C63,C62)</f>
        <v>0.56999999999999995</v>
      </c>
      <c r="D69" s="49">
        <f>IF(($E63&gt;0),D63,D62)</f>
        <v>0.02</v>
      </c>
      <c r="E69" s="49">
        <f>MAX(C69:D69)</f>
        <v>0.56999999999999995</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0.01</v>
      </c>
      <c r="E70" s="56">
        <f>MAX(C70:D70)</f>
        <v>0.34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7408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2.6997840172786174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20</v>
      </c>
      <c r="Q7" s="42">
        <f>C6-C7</f>
        <v>7388</v>
      </c>
      <c r="R7" s="42">
        <f t="shared" ref="R7:R15" si="5">SUM(N7:Q7)</f>
        <v>7408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71</v>
      </c>
      <c r="D8" s="34">
        <f>IF((AND(C67&gt;0,C8&gt;0)),(C8/C67),0)</f>
        <v>355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71</v>
      </c>
      <c r="Q8" s="42">
        <f>(C$67*L67)-C8</f>
        <v>-51</v>
      </c>
      <c r="R8" s="42">
        <f t="shared" si="5"/>
        <v>20.049999999999997</v>
      </c>
      <c r="S8" s="30">
        <f t="shared" si="6"/>
        <v>252.68012500000003</v>
      </c>
      <c r="T8" s="30">
        <f t="shared" si="7"/>
        <v>-3617.4500000000003</v>
      </c>
      <c r="U8" s="31">
        <f t="shared" si="8"/>
        <v>-6.9850343473994117E-2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71</v>
      </c>
      <c r="R9" s="42">
        <f t="shared" si="5"/>
        <v>71</v>
      </c>
      <c r="S9" s="30">
        <f t="shared" si="6"/>
        <v>0</v>
      </c>
      <c r="T9" s="30">
        <f t="shared" si="7"/>
        <v>0</v>
      </c>
      <c r="U9" s="31" t="str">
        <f t="shared" si="8"/>
        <v>- -</v>
      </c>
    </row>
    <row r="10" spans="2:21" ht="18" customHeight="1">
      <c r="B10" s="32" t="str">
        <f>'Data Entry'!A10</f>
        <v>5. Cases Involving Secure Detention</v>
      </c>
      <c r="C10" s="33">
        <f>'Data Entry'!C10</f>
        <v>9</v>
      </c>
      <c r="D10" s="34">
        <f>IF(((AND(C68&gt;0,C10&gt;0))),(C10/(C68)),0)</f>
        <v>12.67605633802817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v>
      </c>
      <c r="Q10" s="42">
        <f>(C$68*L68)-C10</f>
        <v>62</v>
      </c>
      <c r="R10" s="42">
        <f t="shared" si="5"/>
        <v>71</v>
      </c>
      <c r="S10" s="30">
        <f t="shared" si="6"/>
        <v>0</v>
      </c>
      <c r="T10" s="30">
        <f t="shared" si="7"/>
        <v>0</v>
      </c>
      <c r="U10" s="31" t="str">
        <f t="shared" si="8"/>
        <v>- -</v>
      </c>
    </row>
    <row r="11" spans="2:21" ht="18" customHeight="1">
      <c r="B11" s="32" t="str">
        <f>'Data Entry'!A11</f>
        <v>6. Cases Petitioned (Charge Filed)</v>
      </c>
      <c r="C11" s="33">
        <f>'Data Entry'!C11</f>
        <v>57</v>
      </c>
      <c r="D11" s="34">
        <f>IF(((AND(C68&gt;0,C11&gt;0))),(C11/(C68)),0)</f>
        <v>80.281690140845072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57</v>
      </c>
      <c r="Q11" s="42">
        <f>(C$68*L68)-C11</f>
        <v>14</v>
      </c>
      <c r="R11" s="42">
        <f t="shared" si="5"/>
        <v>71</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59.649122807017548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22.999999999999993</v>
      </c>
      <c r="R12" s="42">
        <f t="shared" si="5"/>
        <v>56.999999999999993</v>
      </c>
      <c r="S12" s="30">
        <f t="shared" si="6"/>
        <v>0</v>
      </c>
      <c r="T12" s="30">
        <f t="shared" si="7"/>
        <v>0</v>
      </c>
      <c r="U12" s="31" t="str">
        <f t="shared" si="8"/>
        <v>- -</v>
      </c>
    </row>
    <row r="13" spans="2:21" ht="18" customHeight="1">
      <c r="B13" s="32" t="str">
        <f>'Data Entry'!A13</f>
        <v>8. Cases Resulting in Probation Placement</v>
      </c>
      <c r="C13" s="33">
        <f>'Data Entry'!C13</f>
        <v>52</v>
      </c>
      <c r="D13" s="34">
        <f>IF(((AND(C70&gt;0,C13&gt;0))),(C13/(C70)),0)</f>
        <v>152.94117647058823</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-18</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28</v>
      </c>
      <c r="D14" s="34">
        <f>IF(((AND(C70&gt;0,C14&gt;0))), ((C14/(C70))),0)</f>
        <v>82.35294117647058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28</v>
      </c>
      <c r="Q14" s="42">
        <f>(C70*L70)-C14</f>
        <v>6</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56.999999999999993</v>
      </c>
      <c r="R15" s="42">
        <f t="shared" si="5"/>
        <v>56.999999999999993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7.4080000000000004</v>
      </c>
      <c r="D42" s="56">
        <f>E6/1000</f>
        <v>0</v>
      </c>
      <c r="E42" s="56">
        <f>MAX(C42:D42)</f>
        <v>7.4080000000000004</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0.71</v>
      </c>
      <c r="D44" s="56">
        <f>E8/100</f>
        <v>0</v>
      </c>
      <c r="E44" s="56">
        <f>MAX(C44:D44,0)</f>
        <v>0.71</v>
      </c>
      <c r="G44" s="1" t="str">
        <f>B44</f>
        <v>per 100 referrals</v>
      </c>
      <c r="L44" s="57">
        <v>100</v>
      </c>
      <c r="M44" s="57"/>
      <c r="R44" s="49"/>
    </row>
    <row r="45" spans="2:18" ht="15" hidden="1" customHeight="1">
      <c r="B45" s="49" t="s">
        <v>89</v>
      </c>
      <c r="C45" s="49">
        <f>C11/100</f>
        <v>0.56999999999999995</v>
      </c>
      <c r="D45" s="49">
        <f>E11/100</f>
        <v>0</v>
      </c>
      <c r="E45" s="56">
        <f>MAX(C45:D45,0)</f>
        <v>0.56999999999999995</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7.4080000000000004</v>
      </c>
      <c r="D48" s="56">
        <f>D42</f>
        <v>0</v>
      </c>
      <c r="E48" s="56">
        <f>MAX(C48:D48)</f>
        <v>7.4080000000000004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0.71</v>
      </c>
      <c r="D50" s="49">
        <f t="shared" si="9"/>
        <v>0</v>
      </c>
      <c r="E50" s="49">
        <f>MAX(C50:D50)</f>
        <v>0.71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0.56999999999999995</v>
      </c>
      <c r="D51" s="49">
        <f>IF(($E45&gt;0),D45,D44)</f>
        <v>0</v>
      </c>
      <c r="E51" s="49">
        <f>MAX(C51:D51)</f>
        <v>0.56999999999999995</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7.4080000000000004</v>
      </c>
      <c r="D54" s="56">
        <f>D48</f>
        <v>0</v>
      </c>
      <c r="E54" s="56">
        <f>MAX(C54:D54)</f>
        <v>7.4080000000000004</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0.71</v>
      </c>
      <c r="D56" s="49">
        <f t="shared" si="10"/>
        <v>0</v>
      </c>
      <c r="E56" s="49">
        <f>MAX(C56:D56)</f>
        <v>0.71</v>
      </c>
      <c r="G56" s="1" t="str">
        <f>G50</f>
        <v>per 100 referrals</v>
      </c>
      <c r="L56" s="58">
        <f>IF(($E50&gt;0),L50,L49)</f>
        <v>100</v>
      </c>
      <c r="M56" s="58"/>
    </row>
    <row r="57" spans="2:18" ht="15" hidden="1" customHeight="1">
      <c r="B57" s="49" t="str">
        <f>IF(($E51&gt;0),B51,B49)</f>
        <v>per 100 youth petitioned</v>
      </c>
      <c r="C57" s="49">
        <f>IF(($E51&gt;0),C51,C50)</f>
        <v>0.56999999999999995</v>
      </c>
      <c r="D57" s="49">
        <f>IF(($E51&gt;0),D51,D50)</f>
        <v>0</v>
      </c>
      <c r="E57" s="49">
        <f>MAX(C57:D57)</f>
        <v>0.56999999999999995</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7.4080000000000004</v>
      </c>
      <c r="D60" s="56">
        <f>D54</f>
        <v>0</v>
      </c>
      <c r="E60" s="56">
        <f>MAX(C60:D60)</f>
        <v>7.4080000000000004</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0.71</v>
      </c>
      <c r="D62" s="49">
        <f t="shared" si="11"/>
        <v>0</v>
      </c>
      <c r="E62" s="49">
        <f>MAX(C62:D62)</f>
        <v>0.71</v>
      </c>
      <c r="G62" s="1" t="str">
        <f>G56</f>
        <v>per 100 referrals</v>
      </c>
      <c r="L62" s="58">
        <f>IF(($E56&gt;0),L56,L55)</f>
        <v>100</v>
      </c>
      <c r="M62" s="58"/>
    </row>
    <row r="63" spans="2:18" ht="15" hidden="1" customHeight="1">
      <c r="B63" s="49" t="str">
        <f>IF(($E57&gt;0),B57,B55)</f>
        <v>per 100 youth petitioned</v>
      </c>
      <c r="C63" s="49">
        <f>IF(($E57&gt;0),C57,C56)</f>
        <v>0.56999999999999995</v>
      </c>
      <c r="D63" s="49">
        <f>IF(($E57&gt;0),D57,D56)</f>
        <v>0</v>
      </c>
      <c r="E63" s="49">
        <f>MAX(C63:D63)</f>
        <v>0.56999999999999995</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7.4080000000000004</v>
      </c>
      <c r="D66" s="56">
        <f>D60</f>
        <v>0</v>
      </c>
      <c r="E66" s="56">
        <f>MAX(C66:D66)</f>
        <v>7.4080000000000004</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0.71</v>
      </c>
      <c r="D68" s="49">
        <f t="shared" si="12"/>
        <v>0</v>
      </c>
      <c r="E68" s="49">
        <f>MAX(C68:D68)</f>
        <v>0.71</v>
      </c>
      <c r="G68" s="1" t="str">
        <f>G62</f>
        <v>per 100 referrals</v>
      </c>
      <c r="L68" s="58">
        <f>IF(($E62&gt;0),L62,L61)</f>
        <v>100</v>
      </c>
      <c r="M68" s="58">
        <f>IF((B68=G68),1,2)</f>
        <v>1</v>
      </c>
    </row>
    <row r="69" spans="2:13" ht="15" hidden="1" customHeight="1">
      <c r="B69" s="49" t="str">
        <f>IF(($E63&gt;0),B63,B61)</f>
        <v>per 100 youth petitioned</v>
      </c>
      <c r="C69" s="49">
        <f>IF(($E63&gt;0),C63,C62)</f>
        <v>0.56999999999999995</v>
      </c>
      <c r="D69" s="49">
        <f>IF(($E63&gt;0),D63,D62)</f>
        <v>0</v>
      </c>
      <c r="E69" s="49">
        <f>MAX(C69:D69)</f>
        <v>0.56999999999999995</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7408</v>
      </c>
      <c r="D6" s="34"/>
      <c r="E6" s="33">
        <f>'Data Entry'!H6</f>
        <v>50</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20</v>
      </c>
      <c r="D7" s="34">
        <f>IF((AND(C66&gt;0,C7&gt;0)),(C7/C66),0)</f>
        <v>2.6997840172786174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50</v>
      </c>
      <c r="P7" s="42">
        <f t="shared" ref="P7:P15" si="4">C7</f>
        <v>20</v>
      </c>
      <c r="Q7" s="42">
        <f>C6-C7</f>
        <v>7388</v>
      </c>
      <c r="R7" s="42">
        <f t="shared" ref="R7:R15" si="5">SUM(N7:Q7)</f>
        <v>7458</v>
      </c>
      <c r="S7" s="30">
        <f t="shared" ref="S7:S15" si="6">R7*((((N7*Q7)-(O7*P7))^2))</f>
        <v>7458000000</v>
      </c>
      <c r="T7" s="30">
        <f t="shared" ref="T7:T15" si="7">(N7+O7)*(P7+Q7)*(N7+P7)*(O7+Q7)</f>
        <v>55100704000</v>
      </c>
      <c r="U7" s="31">
        <f t="shared" ref="U7:U15" si="8">IF((S7&gt;0),S7/T7,"- -")</f>
        <v>0.13535217263285784</v>
      </c>
    </row>
    <row r="8" spans="2:21" ht="18" customHeight="1">
      <c r="B8" s="32" t="str">
        <f>'Data Entry'!A8</f>
        <v>3. Refer to Juvenile Court</v>
      </c>
      <c r="C8" s="33">
        <f>'Data Entry'!C8</f>
        <v>71</v>
      </c>
      <c r="D8" s="34">
        <f>IF((AND(C67&gt;0,C8&gt;0)),(C8/C67),0)</f>
        <v>355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71</v>
      </c>
      <c r="Q8" s="42">
        <f>(C$67*L67)-C8</f>
        <v>-51</v>
      </c>
      <c r="R8" s="42">
        <f t="shared" si="5"/>
        <v>20.049999999999997</v>
      </c>
      <c r="S8" s="30">
        <f t="shared" si="6"/>
        <v>252.68012500000003</v>
      </c>
      <c r="T8" s="30">
        <f t="shared" si="7"/>
        <v>-3617.4500000000003</v>
      </c>
      <c r="U8" s="31">
        <f t="shared" si="8"/>
        <v>-6.9850343473994117E-2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71</v>
      </c>
      <c r="R9" s="42">
        <f t="shared" si="5"/>
        <v>71</v>
      </c>
      <c r="S9" s="30">
        <f t="shared" si="6"/>
        <v>0</v>
      </c>
      <c r="T9" s="30">
        <f t="shared" si="7"/>
        <v>0</v>
      </c>
      <c r="U9" s="31" t="str">
        <f t="shared" si="8"/>
        <v>- -</v>
      </c>
    </row>
    <row r="10" spans="2:21" ht="18" customHeight="1">
      <c r="B10" s="32" t="str">
        <f>'Data Entry'!A10</f>
        <v>5. Cases Involving Secure Detention</v>
      </c>
      <c r="C10" s="33">
        <f>'Data Entry'!C10</f>
        <v>9</v>
      </c>
      <c r="D10" s="34">
        <f>IF(((AND(C68&gt;0,C10&gt;0))),(C10/(C68)),0)</f>
        <v>12.67605633802817</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v>
      </c>
      <c r="Q10" s="42">
        <f>(C$68*L68)-C10</f>
        <v>62</v>
      </c>
      <c r="R10" s="42">
        <f t="shared" si="5"/>
        <v>71</v>
      </c>
      <c r="S10" s="30">
        <f t="shared" si="6"/>
        <v>0</v>
      </c>
      <c r="T10" s="30">
        <f t="shared" si="7"/>
        <v>0</v>
      </c>
      <c r="U10" s="31" t="str">
        <f t="shared" si="8"/>
        <v>- -</v>
      </c>
    </row>
    <row r="11" spans="2:21" ht="18" customHeight="1">
      <c r="B11" s="32" t="str">
        <f>'Data Entry'!A11</f>
        <v>6. Cases Petitioned (Charge Filed)</v>
      </c>
      <c r="C11" s="33">
        <f>'Data Entry'!C11</f>
        <v>57</v>
      </c>
      <c r="D11" s="34">
        <f>IF(((AND(C68&gt;0,C11&gt;0))),(C11/(C68)),0)</f>
        <v>80.281690140845072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57</v>
      </c>
      <c r="Q11" s="42">
        <f>(C$68*L68)-C11</f>
        <v>14</v>
      </c>
      <c r="R11" s="42">
        <f t="shared" si="5"/>
        <v>71</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59.649122807017548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22.999999999999993</v>
      </c>
      <c r="R12" s="42">
        <f t="shared" si="5"/>
        <v>56.999999999999993</v>
      </c>
      <c r="S12" s="30">
        <f t="shared" si="6"/>
        <v>0</v>
      </c>
      <c r="T12" s="30">
        <f t="shared" si="7"/>
        <v>0</v>
      </c>
      <c r="U12" s="31" t="str">
        <f t="shared" si="8"/>
        <v>- -</v>
      </c>
    </row>
    <row r="13" spans="2:21" ht="18" customHeight="1">
      <c r="B13" s="32" t="str">
        <f>'Data Entry'!A13</f>
        <v>8. Cases Resulting in Probation Placement</v>
      </c>
      <c r="C13" s="33">
        <f>'Data Entry'!C13</f>
        <v>52</v>
      </c>
      <c r="D13" s="34">
        <f>IF(((AND(C70&gt;0,C13&gt;0))),(C13/(C70)),0)</f>
        <v>152.94117647058823</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-18</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28</v>
      </c>
      <c r="D14" s="34">
        <f>IF(((AND(C70&gt;0,C14&gt;0))), ((C14/(C70))),0)</f>
        <v>82.35294117647058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28</v>
      </c>
      <c r="Q14" s="42">
        <f>(C70*L70)-C14</f>
        <v>6</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56.999999999999993</v>
      </c>
      <c r="R15" s="42">
        <f t="shared" si="5"/>
        <v>56.999999999999993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7.4080000000000004</v>
      </c>
      <c r="D42" s="56">
        <f>E6/1000</f>
        <v>0.05</v>
      </c>
      <c r="E42" s="56">
        <f>MAX(C42:D42)</f>
        <v>7.4080000000000004</v>
      </c>
      <c r="G42" s="1" t="str">
        <f>B42</f>
        <v>per 1000 youth</v>
      </c>
      <c r="L42" s="57">
        <v>1000</v>
      </c>
      <c r="M42" s="57"/>
      <c r="R42" s="49"/>
    </row>
    <row r="43" spans="2:18" ht="15" hidden="1" customHeight="1">
      <c r="B43" s="49" t="s">
        <v>87</v>
      </c>
      <c r="C43" s="56">
        <f>C7/100</f>
        <v>0.2</v>
      </c>
      <c r="D43" s="56">
        <f>E7/100</f>
        <v>0</v>
      </c>
      <c r="E43" s="56">
        <f>MAX(C43:D43,0)</f>
        <v>0.2</v>
      </c>
      <c r="G43" s="1" t="str">
        <f>B43</f>
        <v>per 100 arrests</v>
      </c>
      <c r="L43" s="57">
        <v>100</v>
      </c>
      <c r="M43" s="57"/>
      <c r="R43" s="49"/>
    </row>
    <row r="44" spans="2:18" ht="15" hidden="1" customHeight="1">
      <c r="B44" s="49" t="s">
        <v>88</v>
      </c>
      <c r="C44" s="56">
        <f>C8/100</f>
        <v>0.71</v>
      </c>
      <c r="D44" s="56">
        <f>E8/100</f>
        <v>0</v>
      </c>
      <c r="E44" s="56">
        <f>MAX(C44:D44,0)</f>
        <v>0.71</v>
      </c>
      <c r="G44" s="1" t="str">
        <f>B44</f>
        <v>per 100 referrals</v>
      </c>
      <c r="L44" s="57">
        <v>100</v>
      </c>
      <c r="M44" s="57"/>
      <c r="R44" s="49"/>
    </row>
    <row r="45" spans="2:18" ht="15" hidden="1" customHeight="1">
      <c r="B45" s="49" t="s">
        <v>89</v>
      </c>
      <c r="C45" s="49">
        <f>C11/100</f>
        <v>0.56999999999999995</v>
      </c>
      <c r="D45" s="49">
        <f>E11/100</f>
        <v>0</v>
      </c>
      <c r="E45" s="56">
        <f>MAX(C45:D45,0)</f>
        <v>0.56999999999999995</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7.4080000000000004</v>
      </c>
      <c r="D48" s="56">
        <f>D42</f>
        <v>0.05</v>
      </c>
      <c r="E48" s="56">
        <f>MAX(C48:D48)</f>
        <v>7.4080000000000004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v>
      </c>
      <c r="D49" s="49">
        <f t="shared" si="9"/>
        <v>0</v>
      </c>
      <c r="E49" s="49">
        <f>MAX(C49:D49)</f>
        <v>0.2</v>
      </c>
      <c r="G49" s="1" t="str">
        <f>G43</f>
        <v>per 100 arrests</v>
      </c>
      <c r="L49" s="58">
        <f>IF(($E43&gt;0),L43,L42)</f>
        <v>100</v>
      </c>
      <c r="M49" s="58"/>
      <c r="N49" s="21"/>
      <c r="O49" s="21"/>
      <c r="P49" s="21"/>
      <c r="Q49" s="21"/>
      <c r="R49" s="21"/>
    </row>
    <row r="50" spans="2:18" ht="15" hidden="1" customHeight="1">
      <c r="B50" s="49" t="str">
        <f t="shared" si="9"/>
        <v>per 100 referrals</v>
      </c>
      <c r="C50" s="49">
        <f t="shared" si="9"/>
        <v>0.71</v>
      </c>
      <c r="D50" s="49">
        <f t="shared" si="9"/>
        <v>0</v>
      </c>
      <c r="E50" s="49">
        <f>MAX(C50:D50)</f>
        <v>0.71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0.56999999999999995</v>
      </c>
      <c r="D51" s="49">
        <f>IF(($E45&gt;0),D45,D44)</f>
        <v>0</v>
      </c>
      <c r="E51" s="49">
        <f>MAX(C51:D51)</f>
        <v>0.56999999999999995</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7.4080000000000004</v>
      </c>
      <c r="D54" s="56">
        <f>D48</f>
        <v>0.05</v>
      </c>
      <c r="E54" s="56">
        <f>MAX(C54:D54)</f>
        <v>7.4080000000000004</v>
      </c>
      <c r="G54" s="1" t="str">
        <f>G48</f>
        <v>per 1000 youth</v>
      </c>
      <c r="L54" s="58">
        <f>L48</f>
        <v>1000</v>
      </c>
      <c r="M54" s="58"/>
    </row>
    <row r="55" spans="2:18" ht="15" hidden="1" customHeight="1">
      <c r="B55" s="49" t="str">
        <f t="shared" ref="B55:D56" si="10">IF(($E49&gt;0),B49,B48)</f>
        <v>per 100 arrests</v>
      </c>
      <c r="C55" s="49">
        <f t="shared" si="10"/>
        <v>0.2</v>
      </c>
      <c r="D55" s="49">
        <f t="shared" si="10"/>
        <v>0</v>
      </c>
      <c r="E55" s="49">
        <f>MAX(C55:D55)</f>
        <v>0.2</v>
      </c>
      <c r="G55" s="1" t="str">
        <f>G49</f>
        <v>per 100 arrests</v>
      </c>
      <c r="L55" s="58">
        <f>IF(($E49&gt;0),L49,L48)</f>
        <v>100</v>
      </c>
      <c r="M55" s="58"/>
    </row>
    <row r="56" spans="2:18" ht="15" hidden="1" customHeight="1">
      <c r="B56" s="49" t="str">
        <f t="shared" si="10"/>
        <v>per 100 referrals</v>
      </c>
      <c r="C56" s="49">
        <f t="shared" si="10"/>
        <v>0.71</v>
      </c>
      <c r="D56" s="49">
        <f t="shared" si="10"/>
        <v>0</v>
      </c>
      <c r="E56" s="49">
        <f>MAX(C56:D56)</f>
        <v>0.71</v>
      </c>
      <c r="G56" s="1" t="str">
        <f>G50</f>
        <v>per 100 referrals</v>
      </c>
      <c r="L56" s="58">
        <f>IF(($E50&gt;0),L50,L49)</f>
        <v>100</v>
      </c>
      <c r="M56" s="58"/>
    </row>
    <row r="57" spans="2:18" ht="15" hidden="1" customHeight="1">
      <c r="B57" s="49" t="str">
        <f>IF(($E51&gt;0),B51,B49)</f>
        <v>per 100 youth petitioned</v>
      </c>
      <c r="C57" s="49">
        <f>IF(($E51&gt;0),C51,C50)</f>
        <v>0.56999999999999995</v>
      </c>
      <c r="D57" s="49">
        <f>IF(($E51&gt;0),D51,D50)</f>
        <v>0</v>
      </c>
      <c r="E57" s="49">
        <f>MAX(C57:D57)</f>
        <v>0.56999999999999995</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7.4080000000000004</v>
      </c>
      <c r="D60" s="56">
        <f>D54</f>
        <v>0.05</v>
      </c>
      <c r="E60" s="56">
        <f>MAX(C60:D60)</f>
        <v>7.4080000000000004</v>
      </c>
      <c r="G60" s="1" t="str">
        <f>G54</f>
        <v>per 1000 youth</v>
      </c>
      <c r="L60" s="58">
        <f>L54</f>
        <v>1000</v>
      </c>
      <c r="M60" s="58"/>
    </row>
    <row r="61" spans="2:18" ht="15" hidden="1" customHeight="1">
      <c r="B61" s="49" t="str">
        <f t="shared" ref="B61:D62" si="11">IF(($E55&gt;0),B55,B54)</f>
        <v>per 100 arrests</v>
      </c>
      <c r="C61" s="49">
        <f t="shared" si="11"/>
        <v>0.2</v>
      </c>
      <c r="D61" s="49">
        <f t="shared" si="11"/>
        <v>0</v>
      </c>
      <c r="E61" s="49">
        <f>MAX(C61:D61)</f>
        <v>0.2</v>
      </c>
      <c r="G61" s="1" t="str">
        <f>G55</f>
        <v>per 100 arrests</v>
      </c>
      <c r="L61" s="58">
        <f>IF(($E55&gt;0),L55,L54)</f>
        <v>100</v>
      </c>
      <c r="M61" s="58"/>
    </row>
    <row r="62" spans="2:18" ht="15" hidden="1" customHeight="1">
      <c r="B62" s="49" t="str">
        <f t="shared" si="11"/>
        <v>per 100 referrals</v>
      </c>
      <c r="C62" s="49">
        <f t="shared" si="11"/>
        <v>0.71</v>
      </c>
      <c r="D62" s="49">
        <f t="shared" si="11"/>
        <v>0</v>
      </c>
      <c r="E62" s="49">
        <f>MAX(C62:D62)</f>
        <v>0.71</v>
      </c>
      <c r="G62" s="1" t="str">
        <f>G56</f>
        <v>per 100 referrals</v>
      </c>
      <c r="L62" s="58">
        <f>IF(($E56&gt;0),L56,L55)</f>
        <v>100</v>
      </c>
      <c r="M62" s="58"/>
    </row>
    <row r="63" spans="2:18" ht="15" hidden="1" customHeight="1">
      <c r="B63" s="49" t="str">
        <f>IF(($E57&gt;0),B57,B55)</f>
        <v>per 100 youth petitioned</v>
      </c>
      <c r="C63" s="49">
        <f>IF(($E57&gt;0),C57,C56)</f>
        <v>0.56999999999999995</v>
      </c>
      <c r="D63" s="49">
        <f>IF(($E57&gt;0),D57,D56)</f>
        <v>0</v>
      </c>
      <c r="E63" s="49">
        <f>MAX(C63:D63)</f>
        <v>0.56999999999999995</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7.4080000000000004</v>
      </c>
      <c r="D66" s="56">
        <f>D60</f>
        <v>0.05</v>
      </c>
      <c r="E66" s="56">
        <f>MAX(C66:D66)</f>
        <v>7.4080000000000004</v>
      </c>
      <c r="G66" s="1" t="str">
        <f>G60</f>
        <v>per 1000 youth</v>
      </c>
      <c r="L66" s="58">
        <f>L60</f>
        <v>1000</v>
      </c>
      <c r="M66" s="58">
        <f>IF((B66=G66),1,2)</f>
        <v>1</v>
      </c>
    </row>
    <row r="67" spans="2:13" ht="15" hidden="1" customHeight="1">
      <c r="B67" s="49" t="str">
        <f t="shared" ref="B67:D68" si="12">IF(($E61&gt;0),B61,B60)</f>
        <v>per 100 arrests</v>
      </c>
      <c r="C67" s="49">
        <f t="shared" si="12"/>
        <v>0.2</v>
      </c>
      <c r="D67" s="49">
        <f t="shared" si="12"/>
        <v>0</v>
      </c>
      <c r="E67" s="49">
        <f>MAX(C67:D67)</f>
        <v>0.2</v>
      </c>
      <c r="G67" s="1" t="str">
        <f>G61</f>
        <v>per 100 arrests</v>
      </c>
      <c r="L67" s="58">
        <f>IF(($E61&gt;0),L61,L60)</f>
        <v>100</v>
      </c>
      <c r="M67" s="58">
        <f>IF((B67=G67),1,2)</f>
        <v>1</v>
      </c>
    </row>
    <row r="68" spans="2:13" ht="15" hidden="1" customHeight="1">
      <c r="B68" s="49" t="str">
        <f t="shared" si="12"/>
        <v>per 100 referrals</v>
      </c>
      <c r="C68" s="49">
        <f t="shared" si="12"/>
        <v>0.71</v>
      </c>
      <c r="D68" s="49">
        <f t="shared" si="12"/>
        <v>0</v>
      </c>
      <c r="E68" s="49">
        <f>MAX(C68:D68)</f>
        <v>0.71</v>
      </c>
      <c r="G68" s="1" t="str">
        <f>G62</f>
        <v>per 100 referrals</v>
      </c>
      <c r="L68" s="58">
        <f>IF(($E62&gt;0),L62,L61)</f>
        <v>100</v>
      </c>
      <c r="M68" s="58">
        <f>IF((B68=G68),1,2)</f>
        <v>1</v>
      </c>
    </row>
    <row r="69" spans="2:13" ht="15" hidden="1" customHeight="1">
      <c r="B69" s="49" t="str">
        <f>IF(($E63&gt;0),B63,B61)</f>
        <v>per 100 youth petitioned</v>
      </c>
      <c r="C69" s="49">
        <f>IF(($E63&gt;0),C63,C62)</f>
        <v>0.56999999999999995</v>
      </c>
      <c r="D69" s="49">
        <f>IF(($E63&gt;0),D63,D62)</f>
        <v>0</v>
      </c>
      <c r="E69" s="49">
        <f>MAX(C69:D69)</f>
        <v>0.56999999999999995</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U47JMPN4QEAR-1806752177-30485</_dlc_DocId>
    <_dlc_DocIdUrl xmlns="ac3811b5-0f3e-49e2-ba69-f2ffa0c782af">
      <Url>https://michiganphi.sharepoint.com/sites/CMDMC/_layouts/15/DocIdRedir.aspx?ID=U47JMPN4QEAR-1806752177-30485</Url>
      <Description>U47JMPN4QEAR-1806752177-30485</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CD16ACD-9EEC-41EC-BB7A-C9E3B1F751EC}"/>
</file>

<file path=customXml/itemProps2.xml><?xml version="1.0" encoding="utf-8"?>
<ds:datastoreItem xmlns:ds="http://schemas.openxmlformats.org/officeDocument/2006/customXml" ds:itemID="{39CB8A0D-18B9-4B56-B05A-336872A190A3}">
  <ds:schemaRefs>
    <ds:schemaRef ds:uri="http://schemas.microsoft.com/sharepoint/v3/contenttype/forms"/>
  </ds:schemaRefs>
</ds:datastoreItem>
</file>

<file path=customXml/itemProps3.xml><?xml version="1.0" encoding="utf-8"?>
<ds:datastoreItem xmlns:ds="http://schemas.openxmlformats.org/officeDocument/2006/customXml" ds:itemID="{409F1FEA-4F58-40D4-BE94-1A097C4EEF1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400CE96C-C77F-428A-82D0-068450B871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5ce0672f-a4d2-423f-ac63-ddb409c7748b</vt:lpwstr>
  </property>
</Properties>
</file>